
<file path=[Content_Types].xml><?xml version="1.0" encoding="utf-8"?>
<Types xmlns="http://schemas.openxmlformats.org/package/2006/content-types">
  <Default Extension="xml" ContentType="application/xml"/>
  <Default Extension="vml" ContentType="application/vnd.openxmlformats-officedocument.vmlDrawing"/>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trlProps/ctrlProp1.xml" ContentType="application/vnd.ms-excel.controlproperties+xml"/>
  <Override PartName="/xl/ctrlProps/ctrlProp10.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xml" ContentType="application/vnd.ms-excel.controlproperties+xml"/>
  <Override PartName="/xl/ctrlProps/ctrlProp20.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1600" windowHeight="9105" tabRatio="655" firstSheet="1" activeTab="12"/>
  </bookViews>
  <sheets>
    <sheet name="规则" sheetId="78" state="hidden" r:id="rId1"/>
    <sheet name="初始化表" sheetId="1" r:id="rId2"/>
    <sheet name="导入决策" sheetId="50" r:id="rId3"/>
    <sheet name="工资系数初始化" sheetId="16" r:id="rId4"/>
    <sheet name="初期" sheetId="2" r:id="rId5"/>
    <sheet name="第1期" sheetId="40" r:id="rId6"/>
    <sheet name="第2期" sheetId="41" r:id="rId7"/>
    <sheet name="第3期" sheetId="42" r:id="rId8"/>
    <sheet name="第4期" sheetId="43" r:id="rId9"/>
    <sheet name="第5期" sheetId="44" r:id="rId10"/>
    <sheet name="第6期" sheetId="45" r:id="rId11"/>
    <sheet name="第7期" sheetId="46" r:id="rId12"/>
    <sheet name="第8期" sheetId="47" r:id="rId13"/>
    <sheet name="综合分析" sheetId="13" state="hidden" r:id="rId14"/>
    <sheet name="场景分析" sheetId="22" state="hidden" r:id="rId15"/>
    <sheet name="时间序列预测" sheetId="49" state="hidden" r:id="rId16"/>
  </sheets>
  <definedNames>
    <definedName name="solver_adj" localSheetId="5" hidden="1">第1期!$R$45</definedName>
    <definedName name="solver_adj" localSheetId="6" hidden="1">第2期!$R$45</definedName>
    <definedName name="solver_adj" localSheetId="7" hidden="1">第3期!$R$45</definedName>
    <definedName name="solver_adj" localSheetId="8" hidden="1">第4期!$R$45</definedName>
    <definedName name="solver_adj" localSheetId="9" hidden="1">第5期!$R$45</definedName>
    <definedName name="solver_adj" localSheetId="10" hidden="1">第6期!$R$45</definedName>
    <definedName name="solver_adj" localSheetId="11" hidden="1">第7期!$R$45</definedName>
    <definedName name="solver_adj" localSheetId="12" hidden="1">第8期!$R$45</definedName>
    <definedName name="solver_cvg" localSheetId="5" hidden="1">0.0001</definedName>
    <definedName name="solver_cvg" localSheetId="6" hidden="1">0.0001</definedName>
    <definedName name="solver_cvg" localSheetId="7" hidden="1">0.0001</definedName>
    <definedName name="solver_cvg" localSheetId="8" hidden="1">0.0001</definedName>
    <definedName name="solver_cvg" localSheetId="9" hidden="1">0.0001</definedName>
    <definedName name="solver_cvg" localSheetId="10" hidden="1">0.0001</definedName>
    <definedName name="solver_cvg" localSheetId="11" hidden="1">0.0001</definedName>
    <definedName name="solver_cvg" localSheetId="12" hidden="1">0.0001</definedName>
    <definedName name="solver_drv" localSheetId="5" hidden="1">1</definedName>
    <definedName name="solver_drv" localSheetId="6" hidden="1">1</definedName>
    <definedName name="solver_drv" localSheetId="7" hidden="1">1</definedName>
    <definedName name="solver_drv" localSheetId="8" hidden="1">1</definedName>
    <definedName name="solver_drv" localSheetId="9" hidden="1">1</definedName>
    <definedName name="solver_drv" localSheetId="10" hidden="1">1</definedName>
    <definedName name="solver_drv" localSheetId="11" hidden="1">1</definedName>
    <definedName name="solver_drv" localSheetId="12" hidden="1">1</definedName>
    <definedName name="solver_eng" localSheetId="5" hidden="1">3</definedName>
    <definedName name="solver_eng" localSheetId="6" hidden="1">3</definedName>
    <definedName name="solver_eng" localSheetId="7" hidden="1">3</definedName>
    <definedName name="solver_eng" localSheetId="8" hidden="1">3</definedName>
    <definedName name="solver_eng" localSheetId="9" hidden="1">3</definedName>
    <definedName name="solver_eng" localSheetId="10" hidden="1">3</definedName>
    <definedName name="solver_eng" localSheetId="11" hidden="1">3</definedName>
    <definedName name="solver_eng" localSheetId="12" hidden="1">3</definedName>
    <definedName name="solver_est" localSheetId="5" hidden="1">1</definedName>
    <definedName name="solver_est" localSheetId="6" hidden="1">1</definedName>
    <definedName name="solver_est" localSheetId="7" hidden="1">1</definedName>
    <definedName name="solver_est" localSheetId="8" hidden="1">1</definedName>
    <definedName name="solver_est" localSheetId="9" hidden="1">1</definedName>
    <definedName name="solver_est" localSheetId="10" hidden="1">1</definedName>
    <definedName name="solver_est" localSheetId="11" hidden="1">1</definedName>
    <definedName name="solver_est" localSheetId="12" hidden="1">1</definedName>
    <definedName name="solver_itr" localSheetId="5" hidden="1">2147483647</definedName>
    <definedName name="solver_itr" localSheetId="6" hidden="1">2147483647</definedName>
    <definedName name="solver_itr" localSheetId="7" hidden="1">2147483647</definedName>
    <definedName name="solver_itr" localSheetId="8" hidden="1">2147483647</definedName>
    <definedName name="solver_itr" localSheetId="9" hidden="1">2147483647</definedName>
    <definedName name="solver_itr" localSheetId="10" hidden="1">2147483647</definedName>
    <definedName name="solver_itr" localSheetId="11" hidden="1">2147483647</definedName>
    <definedName name="solver_itr" localSheetId="12" hidden="1">2147483647</definedName>
    <definedName name="solver_lhs1" localSheetId="5" hidden="1">第1期!$R$45</definedName>
    <definedName name="solver_lhs1" localSheetId="6" hidden="1">第2期!$R$45</definedName>
    <definedName name="solver_lhs1" localSheetId="7" hidden="1">第3期!$R$45</definedName>
    <definedName name="solver_lhs1" localSheetId="8" hidden="1">第4期!$R$45</definedName>
    <definedName name="solver_lhs1" localSheetId="9" hidden="1">第5期!$R$45</definedName>
    <definedName name="solver_lhs1" localSheetId="10" hidden="1">第6期!$R$45</definedName>
    <definedName name="solver_lhs1" localSheetId="11" hidden="1">第7期!$R$45</definedName>
    <definedName name="solver_lhs1" localSheetId="12" hidden="1">第8期!$R$45</definedName>
    <definedName name="solver_lhs2" localSheetId="5" hidden="1">第1期!$R$45</definedName>
    <definedName name="solver_lhs2" localSheetId="6" hidden="1">第2期!$R$45</definedName>
    <definedName name="solver_lhs2" localSheetId="7" hidden="1">第3期!$R$45</definedName>
    <definedName name="solver_lhs2" localSheetId="8" hidden="1">第4期!$R$45</definedName>
    <definedName name="solver_lhs2" localSheetId="9" hidden="1">第5期!$R$45</definedName>
    <definedName name="solver_lhs2" localSheetId="10" hidden="1">第6期!$R$45</definedName>
    <definedName name="solver_lhs2" localSheetId="11" hidden="1">第7期!$R$45</definedName>
    <definedName name="solver_lhs2" localSheetId="12" hidden="1">第8期!$R$45</definedName>
    <definedName name="solver_mip" localSheetId="5" hidden="1">2147483647</definedName>
    <definedName name="solver_mip" localSheetId="6" hidden="1">2147483647</definedName>
    <definedName name="solver_mip" localSheetId="7" hidden="1">2147483647</definedName>
    <definedName name="solver_mip" localSheetId="8" hidden="1">2147483647</definedName>
    <definedName name="solver_mip" localSheetId="9" hidden="1">2147483647</definedName>
    <definedName name="solver_mip" localSheetId="10" hidden="1">2147483647</definedName>
    <definedName name="solver_mip" localSheetId="11" hidden="1">2147483647</definedName>
    <definedName name="solver_mip" localSheetId="12" hidden="1">2147483647</definedName>
    <definedName name="solver_mni" localSheetId="5" hidden="1">30</definedName>
    <definedName name="solver_mni" localSheetId="6" hidden="1">30</definedName>
    <definedName name="solver_mni" localSheetId="7" hidden="1">30</definedName>
    <definedName name="solver_mni" localSheetId="8" hidden="1">30</definedName>
    <definedName name="solver_mni" localSheetId="9" hidden="1">30</definedName>
    <definedName name="solver_mni" localSheetId="10" hidden="1">30</definedName>
    <definedName name="solver_mni" localSheetId="11" hidden="1">30</definedName>
    <definedName name="solver_mni" localSheetId="12" hidden="1">30</definedName>
    <definedName name="solver_mrt" localSheetId="5" hidden="1">0.075</definedName>
    <definedName name="solver_mrt" localSheetId="6" hidden="1">0.075</definedName>
    <definedName name="solver_mrt" localSheetId="7" hidden="1">0.075</definedName>
    <definedName name="solver_mrt" localSheetId="8" hidden="1">0.075</definedName>
    <definedName name="solver_mrt" localSheetId="9" hidden="1">0.075</definedName>
    <definedName name="solver_mrt" localSheetId="10" hidden="1">0.075</definedName>
    <definedName name="solver_mrt" localSheetId="11" hidden="1">0.075</definedName>
    <definedName name="solver_mrt" localSheetId="12" hidden="1">0.075</definedName>
    <definedName name="solver_msl" localSheetId="5" hidden="1">2</definedName>
    <definedName name="solver_msl" localSheetId="6" hidden="1">2</definedName>
    <definedName name="solver_msl" localSheetId="7" hidden="1">2</definedName>
    <definedName name="solver_msl" localSheetId="8" hidden="1">2</definedName>
    <definedName name="solver_msl" localSheetId="9" hidden="1">2</definedName>
    <definedName name="solver_msl" localSheetId="10" hidden="1">2</definedName>
    <definedName name="solver_msl" localSheetId="11" hidden="1">2</definedName>
    <definedName name="solver_msl" localSheetId="12" hidden="1">2</definedName>
    <definedName name="solver_neg" localSheetId="5" hidden="1">1</definedName>
    <definedName name="solver_neg" localSheetId="6" hidden="1">1</definedName>
    <definedName name="solver_neg" localSheetId="7" hidden="1">1</definedName>
    <definedName name="solver_neg" localSheetId="8" hidden="1">1</definedName>
    <definedName name="solver_neg" localSheetId="9" hidden="1">1</definedName>
    <definedName name="solver_neg" localSheetId="10" hidden="1">1</definedName>
    <definedName name="solver_neg" localSheetId="11" hidden="1">1</definedName>
    <definedName name="solver_neg" localSheetId="12" hidden="1">1</definedName>
    <definedName name="solver_nod" localSheetId="5" hidden="1">2147483647</definedName>
    <definedName name="solver_nod" localSheetId="6" hidden="1">2147483647</definedName>
    <definedName name="solver_nod" localSheetId="7" hidden="1">2147483647</definedName>
    <definedName name="solver_nod" localSheetId="8" hidden="1">2147483647</definedName>
    <definedName name="solver_nod" localSheetId="9" hidden="1">2147483647</definedName>
    <definedName name="solver_nod" localSheetId="10" hidden="1">2147483647</definedName>
    <definedName name="solver_nod" localSheetId="11" hidden="1">2147483647</definedName>
    <definedName name="solver_nod" localSheetId="12" hidden="1">2147483647</definedName>
    <definedName name="solver_num" localSheetId="5" hidden="1">2</definedName>
    <definedName name="solver_num" localSheetId="6" hidden="1">2</definedName>
    <definedName name="solver_num" localSheetId="7" hidden="1">2</definedName>
    <definedName name="solver_num" localSheetId="8" hidden="1">2</definedName>
    <definedName name="solver_num" localSheetId="9" hidden="1">2</definedName>
    <definedName name="solver_num" localSheetId="10" hidden="1">2</definedName>
    <definedName name="solver_num" localSheetId="11" hidden="1">2</definedName>
    <definedName name="solver_num" localSheetId="12" hidden="1">2</definedName>
    <definedName name="solver_nwt" localSheetId="5" hidden="1">1</definedName>
    <definedName name="solver_nwt" localSheetId="6" hidden="1">1</definedName>
    <definedName name="solver_nwt" localSheetId="7" hidden="1">1</definedName>
    <definedName name="solver_nwt" localSheetId="8" hidden="1">1</definedName>
    <definedName name="solver_nwt" localSheetId="9" hidden="1">1</definedName>
    <definedName name="solver_nwt" localSheetId="10" hidden="1">1</definedName>
    <definedName name="solver_nwt" localSheetId="11" hidden="1">1</definedName>
    <definedName name="solver_nwt" localSheetId="12" hidden="1">1</definedName>
    <definedName name="solver_opt" localSheetId="5" hidden="1">第1期!$R$46</definedName>
    <definedName name="solver_opt" localSheetId="6" hidden="1">第2期!$R$46</definedName>
    <definedName name="solver_opt" localSheetId="7" hidden="1">第3期!$R$46</definedName>
    <definedName name="solver_opt" localSheetId="8" hidden="1">第4期!$R$46</definedName>
    <definedName name="solver_opt" localSheetId="9" hidden="1">第5期!$R$46</definedName>
    <definedName name="solver_opt" localSheetId="10" hidden="1">第6期!$R$46</definedName>
    <definedName name="solver_opt" localSheetId="11" hidden="1">第7期!$R$46</definedName>
    <definedName name="solver_opt" localSheetId="12" hidden="1">第8期!$R$46</definedName>
    <definedName name="solver_pre" localSheetId="5" hidden="1">0.000001</definedName>
    <definedName name="solver_pre" localSheetId="6" hidden="1">0.000001</definedName>
    <definedName name="solver_pre" localSheetId="7" hidden="1">0.000001</definedName>
    <definedName name="solver_pre" localSheetId="8" hidden="1">0.000001</definedName>
    <definedName name="solver_pre" localSheetId="9" hidden="1">0.000001</definedName>
    <definedName name="solver_pre" localSheetId="10" hidden="1">0.000001</definedName>
    <definedName name="solver_pre" localSheetId="11" hidden="1">0.000001</definedName>
    <definedName name="solver_pre" localSheetId="12" hidden="1">0.000001</definedName>
    <definedName name="solver_rbv" localSheetId="5" hidden="1">1</definedName>
    <definedName name="solver_rbv" localSheetId="6" hidden="1">1</definedName>
    <definedName name="solver_rbv" localSheetId="7" hidden="1">1</definedName>
    <definedName name="solver_rbv" localSheetId="8" hidden="1">1</definedName>
    <definedName name="solver_rbv" localSheetId="9" hidden="1">1</definedName>
    <definedName name="solver_rbv" localSheetId="10" hidden="1">1</definedName>
    <definedName name="solver_rbv" localSheetId="11" hidden="1">1</definedName>
    <definedName name="solver_rbv" localSheetId="12" hidden="1">1</definedName>
    <definedName name="solver_rel1" localSheetId="5" hidden="1">1</definedName>
    <definedName name="solver_rel1" localSheetId="6" hidden="1">1</definedName>
    <definedName name="solver_rel1" localSheetId="7" hidden="1">1</definedName>
    <definedName name="solver_rel1" localSheetId="8" hidden="1">1</definedName>
    <definedName name="solver_rel1" localSheetId="9" hidden="1">1</definedName>
    <definedName name="solver_rel1" localSheetId="10" hidden="1">1</definedName>
    <definedName name="solver_rel1" localSheetId="11" hidden="1">1</definedName>
    <definedName name="solver_rel1" localSheetId="12" hidden="1">1</definedName>
    <definedName name="solver_rel2" localSheetId="5" hidden="1">3</definedName>
    <definedName name="solver_rel2" localSheetId="6" hidden="1">3</definedName>
    <definedName name="solver_rel2" localSheetId="7" hidden="1">3</definedName>
    <definedName name="solver_rel2" localSheetId="8" hidden="1">3</definedName>
    <definedName name="solver_rel2" localSheetId="9" hidden="1">3</definedName>
    <definedName name="solver_rel2" localSheetId="10" hidden="1">3</definedName>
    <definedName name="solver_rel2" localSheetId="11" hidden="1">3</definedName>
    <definedName name="solver_rel2" localSheetId="12" hidden="1">3</definedName>
    <definedName name="solver_rhs1" localSheetId="5" hidden="1">1.4</definedName>
    <definedName name="solver_rhs1" localSheetId="6" hidden="1">1.4</definedName>
    <definedName name="solver_rhs1" localSheetId="7" hidden="1">1.4</definedName>
    <definedName name="solver_rhs1" localSheetId="8" hidden="1">1.4</definedName>
    <definedName name="solver_rhs1" localSheetId="9" hidden="1">1.4</definedName>
    <definedName name="solver_rhs1" localSheetId="10" hidden="1">1.4</definedName>
    <definedName name="solver_rhs1" localSheetId="11" hidden="1">1.4</definedName>
    <definedName name="solver_rhs1" localSheetId="12" hidden="1">1.4</definedName>
    <definedName name="solver_rhs2" localSheetId="5" hidden="1">1.18</definedName>
    <definedName name="solver_rhs2" localSheetId="6" hidden="1">1.18</definedName>
    <definedName name="solver_rhs2" localSheetId="7" hidden="1">1.18</definedName>
    <definedName name="solver_rhs2" localSheetId="8" hidden="1">1.18</definedName>
    <definedName name="solver_rhs2" localSheetId="9" hidden="1">1.18</definedName>
    <definedName name="solver_rhs2" localSheetId="10" hidden="1">1.18</definedName>
    <definedName name="solver_rhs2" localSheetId="11" hidden="1">1.18</definedName>
    <definedName name="solver_rhs2" localSheetId="12" hidden="1">1.18</definedName>
    <definedName name="solver_rlx" localSheetId="5" hidden="1">2</definedName>
    <definedName name="solver_rlx" localSheetId="6" hidden="1">2</definedName>
    <definedName name="solver_rlx" localSheetId="7" hidden="1">2</definedName>
    <definedName name="solver_rlx" localSheetId="8" hidden="1">2</definedName>
    <definedName name="solver_rlx" localSheetId="9" hidden="1">2</definedName>
    <definedName name="solver_rlx" localSheetId="10" hidden="1">2</definedName>
    <definedName name="solver_rlx" localSheetId="11" hidden="1">2</definedName>
    <definedName name="solver_rlx" localSheetId="12" hidden="1">2</definedName>
    <definedName name="solver_rsd" localSheetId="5" hidden="1">0</definedName>
    <definedName name="solver_rsd" localSheetId="6" hidden="1">0</definedName>
    <definedName name="solver_rsd" localSheetId="7" hidden="1">0</definedName>
    <definedName name="solver_rsd" localSheetId="8" hidden="1">0</definedName>
    <definedName name="solver_rsd" localSheetId="9" hidden="1">0</definedName>
    <definedName name="solver_rsd" localSheetId="10" hidden="1">0</definedName>
    <definedName name="solver_rsd" localSheetId="11" hidden="1">0</definedName>
    <definedName name="solver_rsd" localSheetId="12" hidden="1">0</definedName>
    <definedName name="solver_scl" localSheetId="5" hidden="1">1</definedName>
    <definedName name="solver_scl" localSheetId="6" hidden="1">1</definedName>
    <definedName name="solver_scl" localSheetId="7" hidden="1">1</definedName>
    <definedName name="solver_scl" localSheetId="8" hidden="1">1</definedName>
    <definedName name="solver_scl" localSheetId="9" hidden="1">1</definedName>
    <definedName name="solver_scl" localSheetId="10" hidden="1">1</definedName>
    <definedName name="solver_scl" localSheetId="11" hidden="1">1</definedName>
    <definedName name="solver_scl" localSheetId="12" hidden="1">1</definedName>
    <definedName name="solver_sho" localSheetId="5" hidden="1">2</definedName>
    <definedName name="solver_sho" localSheetId="6" hidden="1">2</definedName>
    <definedName name="solver_sho" localSheetId="7" hidden="1">2</definedName>
    <definedName name="solver_sho" localSheetId="8" hidden="1">2</definedName>
    <definedName name="solver_sho" localSheetId="9" hidden="1">2</definedName>
    <definedName name="solver_sho" localSheetId="10" hidden="1">2</definedName>
    <definedName name="solver_sho" localSheetId="11" hidden="1">2</definedName>
    <definedName name="solver_sho" localSheetId="12" hidden="1">2</definedName>
    <definedName name="solver_ssz" localSheetId="5" hidden="1">100</definedName>
    <definedName name="solver_ssz" localSheetId="6" hidden="1">100</definedName>
    <definedName name="solver_ssz" localSheetId="7" hidden="1">100</definedName>
    <definedName name="solver_ssz" localSheetId="8" hidden="1">100</definedName>
    <definedName name="solver_ssz" localSheetId="9" hidden="1">100</definedName>
    <definedName name="solver_ssz" localSheetId="10" hidden="1">100</definedName>
    <definedName name="solver_ssz" localSheetId="11" hidden="1">100</definedName>
    <definedName name="solver_ssz" localSheetId="12" hidden="1">100</definedName>
    <definedName name="solver_tim" localSheetId="5" hidden="1">2147483647</definedName>
    <definedName name="solver_tim" localSheetId="6" hidden="1">2147483647</definedName>
    <definedName name="solver_tim" localSheetId="7" hidden="1">2147483647</definedName>
    <definedName name="solver_tim" localSheetId="8" hidden="1">2147483647</definedName>
    <definedName name="solver_tim" localSheetId="9" hidden="1">2147483647</definedName>
    <definedName name="solver_tim" localSheetId="10" hidden="1">2147483647</definedName>
    <definedName name="solver_tim" localSheetId="11" hidden="1">2147483647</definedName>
    <definedName name="solver_tim" localSheetId="12" hidden="1">2147483647</definedName>
    <definedName name="solver_tol" localSheetId="5" hidden="1">0.01</definedName>
    <definedName name="solver_tol" localSheetId="6" hidden="1">0.01</definedName>
    <definedName name="solver_tol" localSheetId="7" hidden="1">0.01</definedName>
    <definedName name="solver_tol" localSheetId="8" hidden="1">0.01</definedName>
    <definedName name="solver_tol" localSheetId="9" hidden="1">0.01</definedName>
    <definedName name="solver_tol" localSheetId="10" hidden="1">0.01</definedName>
    <definedName name="solver_tol" localSheetId="11" hidden="1">0.01</definedName>
    <definedName name="solver_tol" localSheetId="12" hidden="1">0.01</definedName>
    <definedName name="solver_typ" localSheetId="5" hidden="1">1</definedName>
    <definedName name="solver_typ" localSheetId="6" hidden="1">1</definedName>
    <definedName name="solver_typ" localSheetId="7" hidden="1">1</definedName>
    <definedName name="solver_typ" localSheetId="8" hidden="1">1</definedName>
    <definedName name="solver_typ" localSheetId="9" hidden="1">1</definedName>
    <definedName name="solver_typ" localSheetId="10" hidden="1">1</definedName>
    <definedName name="solver_typ" localSheetId="11" hidden="1">1</definedName>
    <definedName name="solver_typ" localSheetId="12" hidden="1">1</definedName>
    <definedName name="solver_val" localSheetId="5" hidden="1">0</definedName>
    <definedName name="solver_val" localSheetId="6" hidden="1">0</definedName>
    <definedName name="solver_val" localSheetId="7" hidden="1">0</definedName>
    <definedName name="solver_val" localSheetId="8" hidden="1">0</definedName>
    <definedName name="solver_val" localSheetId="9" hidden="1">0</definedName>
    <definedName name="solver_val" localSheetId="10" hidden="1">0</definedName>
    <definedName name="solver_val" localSheetId="11" hidden="1">0</definedName>
    <definedName name="solver_val" localSheetId="12" hidden="1">0</definedName>
    <definedName name="solver_ver" localSheetId="5" hidden="1">3</definedName>
    <definedName name="solver_ver" localSheetId="6" hidden="1">3</definedName>
    <definedName name="solver_ver" localSheetId="7" hidden="1">3</definedName>
    <definedName name="solver_ver" localSheetId="8" hidden="1">3</definedName>
    <definedName name="solver_ver" localSheetId="9" hidden="1">3</definedName>
    <definedName name="solver_ver" localSheetId="10" hidden="1">3</definedName>
    <definedName name="solver_ver" localSheetId="11" hidden="1">3</definedName>
    <definedName name="solver_ver" localSheetId="12" hidden="1">3</definedName>
    <definedName name="安置费">初始化表!$B$14</definedName>
    <definedName name="材料库存费">初始化表!$B$7</definedName>
    <definedName name="贷款利率">初始化表!$B$22</definedName>
    <definedName name="二班管理费">初始化表!$I$25:$I$28</definedName>
    <definedName name="二加工资">初始化表!$B$18</definedName>
    <definedName name="二正工资">初始化表!$B$17</definedName>
    <definedName name="国债利率">初始化表!$B$23</definedName>
    <definedName name="机器价格">初始化表!$B$8</definedName>
    <definedName name="基本工资">初始化表!$B$15</definedName>
    <definedName name="减税比例">初始化表!$B$26</definedName>
    <definedName name="培训费">初始化表!$B$13</definedName>
    <definedName name="评分标准">初始化表!$B$30:$B$36</definedName>
    <definedName name="税率">初始化表!$B$25</definedName>
    <definedName name="维修费">初始化表!$B$12</definedName>
    <definedName name="新人效率">初始化表!$H$4</definedName>
    <definedName name="一班管理费">初始化表!$H$25:$H$28</definedName>
    <definedName name="一加工资">初始化表!$B$16</definedName>
    <definedName name="原材料变动运费">初始化表!$B$10</definedName>
    <definedName name="原材料固定运费">初始化表!$B$9</definedName>
    <definedName name="原材料可用比例">初始化表!$B$11</definedName>
    <definedName name="原材料库存费">初始化表!$B$4</definedName>
    <definedName name="运出比例">初始化表!$B$4</definedName>
    <definedName name="债券利率">初始化表!$B$24</definedName>
    <definedName name="折旧率">初始化表!$H$5</definedName>
    <definedName name="资金时效">初始化表!$B$27</definedName>
    <definedName name="最低资金">初始化表!$B$21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陈世海</author>
  </authors>
  <commentList>
    <comment ref="BI30" authorId="0">
      <text>
        <r>
          <rPr>
            <b/>
            <sz val="14"/>
            <rFont val="宋体"/>
            <charset val="134"/>
          </rPr>
          <t>陈世海:</t>
        </r>
        <r>
          <rPr>
            <sz val="14"/>
            <rFont val="宋体"/>
            <charset val="134"/>
          </rPr>
          <t xml:space="preserve">
以自己的产能为基准，预测对手库存情况，适用于后期回暖或者市场崩得更厉害的时候</t>
        </r>
      </text>
    </comment>
    <comment ref="N60" authorId="0">
      <text>
        <r>
          <rPr>
            <b/>
            <sz val="16"/>
            <rFont val="宋体"/>
            <charset val="134"/>
          </rPr>
          <t>陈世海:</t>
        </r>
        <r>
          <rPr>
            <sz val="16"/>
            <rFont val="宋体"/>
            <charset val="134"/>
          </rPr>
          <t xml:space="preserve">
最适合于新场景的定价，这个价格略高，会产生库存，适用于参考,切忌供求差为0</t>
        </r>
      </text>
    </comment>
    <comment ref="N71" authorId="0">
      <text>
        <r>
          <rPr>
            <b/>
            <sz val="14"/>
            <rFont val="宋体"/>
            <charset val="134"/>
          </rPr>
          <t>陈世海:</t>
        </r>
        <r>
          <rPr>
            <sz val="14"/>
            <rFont val="宋体"/>
            <charset val="134"/>
          </rPr>
          <t xml:space="preserve">
预测库存，即填入预测库存量，现金流发生改变以预测现金情况</t>
        </r>
      </text>
    </comment>
  </commentList>
</comments>
</file>

<file path=xl/comments2.xml><?xml version="1.0" encoding="utf-8"?>
<comments xmlns="http://schemas.openxmlformats.org/spreadsheetml/2006/main">
  <authors>
    <author>陈世海</author>
  </authors>
  <commentList>
    <comment ref="BI30" authorId="0">
      <text>
        <r>
          <rPr>
            <b/>
            <sz val="14"/>
            <rFont val="宋体"/>
            <charset val="134"/>
          </rPr>
          <t>陈世海:</t>
        </r>
        <r>
          <rPr>
            <sz val="14"/>
            <rFont val="宋体"/>
            <charset val="134"/>
          </rPr>
          <t xml:space="preserve">
以自己的产能为基准，预测对手库存情况，适用于后期回暖或者市场崩得更厉害的时候</t>
        </r>
      </text>
    </comment>
    <comment ref="N60" authorId="0">
      <text>
        <r>
          <rPr>
            <b/>
            <sz val="16"/>
            <rFont val="宋体"/>
            <charset val="134"/>
          </rPr>
          <t>陈世海:</t>
        </r>
        <r>
          <rPr>
            <sz val="16"/>
            <rFont val="宋体"/>
            <charset val="134"/>
          </rPr>
          <t xml:space="preserve">
最适合于新场景的定价，这个价格略高，会产生库存，适用于参考</t>
        </r>
      </text>
    </comment>
    <comment ref="S72" authorId="0">
      <text>
        <r>
          <rPr>
            <b/>
            <sz val="12"/>
            <rFont val="宋体"/>
            <charset val="134"/>
          </rPr>
          <t>陈世海:</t>
        </r>
        <r>
          <rPr>
            <sz val="12"/>
            <rFont val="宋体"/>
            <charset val="134"/>
          </rPr>
          <t xml:space="preserve">
根据12市场价格差需求差拟定公参考</t>
        </r>
      </text>
    </comment>
  </commentList>
</comments>
</file>

<file path=xl/comments3.xml><?xml version="1.0" encoding="utf-8"?>
<comments xmlns="http://schemas.openxmlformats.org/spreadsheetml/2006/main">
  <authors>
    <author>陈世海</author>
  </authors>
  <commentList>
    <comment ref="BI30" authorId="0">
      <text>
        <r>
          <rPr>
            <b/>
            <sz val="14"/>
            <rFont val="宋体"/>
            <charset val="134"/>
          </rPr>
          <t>陈世海:</t>
        </r>
        <r>
          <rPr>
            <sz val="14"/>
            <rFont val="宋体"/>
            <charset val="134"/>
          </rPr>
          <t xml:space="preserve">
以自己的产能为基准，预测对手库存情况，适用于后期回暖或者市场崩得更厉害的时候</t>
        </r>
      </text>
    </comment>
    <comment ref="S72" authorId="0">
      <text>
        <r>
          <rPr>
            <b/>
            <sz val="12"/>
            <rFont val="宋体"/>
            <charset val="134"/>
          </rPr>
          <t>陈世海:</t>
        </r>
        <r>
          <rPr>
            <sz val="12"/>
            <rFont val="宋体"/>
            <charset val="134"/>
          </rPr>
          <t xml:space="preserve">
根据12市场价格差需求差拟定公参考</t>
        </r>
      </text>
    </comment>
    <comment ref="N77" authorId="0">
      <text>
        <r>
          <rPr>
            <b/>
            <sz val="14"/>
            <rFont val="宋体"/>
            <charset val="134"/>
          </rPr>
          <t>陈世海:</t>
        </r>
        <r>
          <rPr>
            <sz val="14"/>
            <rFont val="宋体"/>
            <charset val="134"/>
          </rPr>
          <t xml:space="preserve">
未模拟前用于预算，模拟后修改价格弹性用于定价</t>
        </r>
      </text>
    </comment>
    <comment ref="S96" authorId="0">
      <text>
        <r>
          <rPr>
            <b/>
            <sz val="14"/>
            <rFont val="宋体"/>
            <charset val="134"/>
          </rPr>
          <t>陈世海:</t>
        </r>
        <r>
          <rPr>
            <sz val="14"/>
            <rFont val="宋体"/>
            <charset val="134"/>
          </rPr>
          <t xml:space="preserve">
适用于新场景崩溃或者第三期后稳定市场</t>
        </r>
      </text>
    </comment>
  </commentList>
</comments>
</file>

<file path=xl/comments4.xml><?xml version="1.0" encoding="utf-8"?>
<comments xmlns="http://schemas.openxmlformats.org/spreadsheetml/2006/main">
  <authors>
    <author>陈世海</author>
  </authors>
  <commentList>
    <comment ref="BI30" authorId="0">
      <text>
        <r>
          <rPr>
            <b/>
            <sz val="14"/>
            <rFont val="宋体"/>
            <charset val="134"/>
          </rPr>
          <t>陈世海:</t>
        </r>
        <r>
          <rPr>
            <sz val="14"/>
            <rFont val="宋体"/>
            <charset val="134"/>
          </rPr>
          <t xml:space="preserve">
以自己的产能为基准，预测对手库存情况，适用于后期回暖或者市场崩得更厉害的时候</t>
        </r>
      </text>
    </comment>
    <comment ref="S72" authorId="0">
      <text>
        <r>
          <rPr>
            <b/>
            <sz val="12"/>
            <rFont val="宋体"/>
            <charset val="134"/>
          </rPr>
          <t>陈世海:</t>
        </r>
        <r>
          <rPr>
            <sz val="12"/>
            <rFont val="宋体"/>
            <charset val="134"/>
          </rPr>
          <t xml:space="preserve">
根据12市场价格差需求差拟定公参考</t>
        </r>
      </text>
    </comment>
    <comment ref="N77" authorId="0">
      <text>
        <r>
          <rPr>
            <b/>
            <sz val="14"/>
            <rFont val="宋体"/>
            <charset val="134"/>
          </rPr>
          <t>陈世海:</t>
        </r>
        <r>
          <rPr>
            <sz val="14"/>
            <rFont val="宋体"/>
            <charset val="134"/>
          </rPr>
          <t xml:space="preserve">
未模拟前用于预算，模拟后修改价格弹性用于定价</t>
        </r>
      </text>
    </comment>
    <comment ref="S77" authorId="0">
      <text>
        <r>
          <rPr>
            <b/>
            <sz val="14"/>
            <rFont val="宋体"/>
            <charset val="134"/>
          </rPr>
          <t>陈世海:</t>
        </r>
        <r>
          <rPr>
            <sz val="14"/>
            <rFont val="宋体"/>
            <charset val="134"/>
          </rPr>
          <t xml:space="preserve">
破产数量大于3时，需求上涨。</t>
        </r>
        <r>
          <rPr>
            <sz val="9"/>
            <rFont val="宋体"/>
            <charset val="134"/>
          </rPr>
          <t xml:space="preserve">
</t>
        </r>
      </text>
    </comment>
    <comment ref="S96" authorId="0">
      <text>
        <r>
          <rPr>
            <b/>
            <sz val="14"/>
            <rFont val="宋体"/>
            <charset val="134"/>
          </rPr>
          <t>陈世海:</t>
        </r>
        <r>
          <rPr>
            <sz val="14"/>
            <rFont val="宋体"/>
            <charset val="134"/>
          </rPr>
          <t xml:space="preserve">
适用于新场景崩溃或者第三期后稳定市场</t>
        </r>
      </text>
    </comment>
    <comment ref="T96" authorId="0">
      <text>
        <r>
          <rPr>
            <b/>
            <sz val="14"/>
            <rFont val="宋体"/>
            <charset val="134"/>
          </rPr>
          <t>陈世海:</t>
        </r>
        <r>
          <rPr>
            <sz val="14"/>
            <rFont val="宋体"/>
            <charset val="134"/>
          </rPr>
          <t xml:space="preserve">
适用于新场景崩溃或者第三期后稳定市场</t>
        </r>
      </text>
    </comment>
  </commentList>
</comments>
</file>

<file path=xl/comments5.xml><?xml version="1.0" encoding="utf-8"?>
<comments xmlns="http://schemas.openxmlformats.org/spreadsheetml/2006/main">
  <authors>
    <author>陈世海</author>
  </authors>
  <commentList>
    <comment ref="BI30" authorId="0">
      <text>
        <r>
          <rPr>
            <b/>
            <sz val="14"/>
            <rFont val="宋体"/>
            <charset val="134"/>
          </rPr>
          <t>陈世海:</t>
        </r>
        <r>
          <rPr>
            <sz val="14"/>
            <rFont val="宋体"/>
            <charset val="134"/>
          </rPr>
          <t xml:space="preserve">
以自己的产能为基准，预测对手库存情况，适用于后期回暖或者市场崩得更厉害的时候</t>
        </r>
      </text>
    </comment>
    <comment ref="S72" authorId="0">
      <text>
        <r>
          <rPr>
            <b/>
            <sz val="12"/>
            <rFont val="宋体"/>
            <charset val="134"/>
          </rPr>
          <t>陈世海:</t>
        </r>
        <r>
          <rPr>
            <sz val="12"/>
            <rFont val="宋体"/>
            <charset val="134"/>
          </rPr>
          <t xml:space="preserve">
根据12市场价格差需求差拟定公参考</t>
        </r>
      </text>
    </comment>
    <comment ref="N77" authorId="0">
      <text>
        <r>
          <rPr>
            <b/>
            <sz val="14"/>
            <rFont val="宋体"/>
            <charset val="134"/>
          </rPr>
          <t>陈世海:</t>
        </r>
        <r>
          <rPr>
            <sz val="14"/>
            <rFont val="宋体"/>
            <charset val="134"/>
          </rPr>
          <t xml:space="preserve">
未模拟前用于预算，模拟后修改价格弹性用于定价</t>
        </r>
      </text>
    </comment>
    <comment ref="S77" authorId="0">
      <text>
        <r>
          <rPr>
            <b/>
            <sz val="14"/>
            <rFont val="宋体"/>
            <charset val="134"/>
          </rPr>
          <t>陈世海:</t>
        </r>
        <r>
          <rPr>
            <sz val="14"/>
            <rFont val="宋体"/>
            <charset val="134"/>
          </rPr>
          <t xml:space="preserve">
破产数量大于3时，需求上涨。</t>
        </r>
        <r>
          <rPr>
            <sz val="9"/>
            <rFont val="宋体"/>
            <charset val="134"/>
          </rPr>
          <t xml:space="preserve">
</t>
        </r>
      </text>
    </comment>
    <comment ref="S96" authorId="0">
      <text>
        <r>
          <rPr>
            <b/>
            <sz val="14"/>
            <rFont val="宋体"/>
            <charset val="134"/>
          </rPr>
          <t>陈世海:</t>
        </r>
        <r>
          <rPr>
            <sz val="14"/>
            <rFont val="宋体"/>
            <charset val="134"/>
          </rPr>
          <t xml:space="preserve">
适用于新场景崩溃或者第三期后稳定市场</t>
        </r>
      </text>
    </comment>
    <comment ref="T96" authorId="0">
      <text>
        <r>
          <rPr>
            <b/>
            <sz val="14"/>
            <rFont val="宋体"/>
            <charset val="134"/>
          </rPr>
          <t>陈世海:</t>
        </r>
        <r>
          <rPr>
            <sz val="14"/>
            <rFont val="宋体"/>
            <charset val="134"/>
          </rPr>
          <t xml:space="preserve">
适用于新场景崩溃或者第三期后稳定市场</t>
        </r>
      </text>
    </comment>
  </commentList>
</comments>
</file>

<file path=xl/comments6.xml><?xml version="1.0" encoding="utf-8"?>
<comments xmlns="http://schemas.openxmlformats.org/spreadsheetml/2006/main">
  <authors>
    <author>陈世海</author>
  </authors>
  <commentList>
    <comment ref="BI30" authorId="0">
      <text>
        <r>
          <rPr>
            <b/>
            <sz val="14"/>
            <rFont val="宋体"/>
            <charset val="134"/>
          </rPr>
          <t>陈世海:</t>
        </r>
        <r>
          <rPr>
            <sz val="14"/>
            <rFont val="宋体"/>
            <charset val="134"/>
          </rPr>
          <t xml:space="preserve">
以自己的产能为基准，预测对手库存情况，适用于后期回暖或者市场崩得更厉害的时候</t>
        </r>
      </text>
    </comment>
    <comment ref="S72" authorId="0">
      <text>
        <r>
          <rPr>
            <b/>
            <sz val="12"/>
            <rFont val="宋体"/>
            <charset val="134"/>
          </rPr>
          <t>陈世海:</t>
        </r>
        <r>
          <rPr>
            <sz val="12"/>
            <rFont val="宋体"/>
            <charset val="134"/>
          </rPr>
          <t xml:space="preserve">
根据12市场价格差需求差拟定公参考</t>
        </r>
      </text>
    </comment>
    <comment ref="N77" authorId="0">
      <text>
        <r>
          <rPr>
            <b/>
            <sz val="14"/>
            <rFont val="宋体"/>
            <charset val="134"/>
          </rPr>
          <t>陈世海:</t>
        </r>
        <r>
          <rPr>
            <sz val="14"/>
            <rFont val="宋体"/>
            <charset val="134"/>
          </rPr>
          <t xml:space="preserve">
未模拟前用于预算，模拟后修改价格弹性用于定价</t>
        </r>
      </text>
    </comment>
    <comment ref="S77" authorId="0">
      <text>
        <r>
          <rPr>
            <b/>
            <sz val="14"/>
            <rFont val="宋体"/>
            <charset val="134"/>
          </rPr>
          <t>陈世海:</t>
        </r>
        <r>
          <rPr>
            <sz val="14"/>
            <rFont val="宋体"/>
            <charset val="134"/>
          </rPr>
          <t xml:space="preserve">
破产数量大于3时，需求上涨。</t>
        </r>
        <r>
          <rPr>
            <sz val="9"/>
            <rFont val="宋体"/>
            <charset val="134"/>
          </rPr>
          <t xml:space="preserve">
</t>
        </r>
      </text>
    </comment>
    <comment ref="S96" authorId="0">
      <text>
        <r>
          <rPr>
            <b/>
            <sz val="14"/>
            <rFont val="宋体"/>
            <charset val="134"/>
          </rPr>
          <t>陈世海:</t>
        </r>
        <r>
          <rPr>
            <sz val="14"/>
            <rFont val="宋体"/>
            <charset val="134"/>
          </rPr>
          <t xml:space="preserve">
适用于新场景崩溃或者第三期后稳定市场</t>
        </r>
      </text>
    </comment>
    <comment ref="T96" authorId="0">
      <text>
        <r>
          <rPr>
            <b/>
            <sz val="14"/>
            <rFont val="宋体"/>
            <charset val="134"/>
          </rPr>
          <t>陈世海:</t>
        </r>
        <r>
          <rPr>
            <sz val="14"/>
            <rFont val="宋体"/>
            <charset val="134"/>
          </rPr>
          <t xml:space="preserve">
适用于新场景崩溃或者第三期后稳定市场</t>
        </r>
      </text>
    </comment>
  </commentList>
</comments>
</file>

<file path=xl/comments7.xml><?xml version="1.0" encoding="utf-8"?>
<comments xmlns="http://schemas.openxmlformats.org/spreadsheetml/2006/main">
  <authors>
    <author>陈世海</author>
  </authors>
  <commentList>
    <comment ref="BI30" authorId="0">
      <text>
        <r>
          <rPr>
            <b/>
            <sz val="14"/>
            <rFont val="宋体"/>
            <charset val="134"/>
          </rPr>
          <t>陈世海:</t>
        </r>
        <r>
          <rPr>
            <sz val="14"/>
            <rFont val="宋体"/>
            <charset val="134"/>
          </rPr>
          <t xml:space="preserve">
以自己的产能为基准，预测对手库存情况，适用于后期回暖或者市场崩得更厉害的时候</t>
        </r>
      </text>
    </comment>
    <comment ref="S72" authorId="0">
      <text>
        <r>
          <rPr>
            <b/>
            <sz val="12"/>
            <rFont val="宋体"/>
            <charset val="134"/>
          </rPr>
          <t>陈世海:</t>
        </r>
        <r>
          <rPr>
            <sz val="12"/>
            <rFont val="宋体"/>
            <charset val="134"/>
          </rPr>
          <t xml:space="preserve">
根据12市场价格差需求差拟定公参考</t>
        </r>
      </text>
    </comment>
    <comment ref="N77" authorId="0">
      <text>
        <r>
          <rPr>
            <b/>
            <sz val="14"/>
            <rFont val="宋体"/>
            <charset val="134"/>
          </rPr>
          <t>陈世海:</t>
        </r>
        <r>
          <rPr>
            <sz val="14"/>
            <rFont val="宋体"/>
            <charset val="134"/>
          </rPr>
          <t xml:space="preserve">
未模拟前用于预算，模拟后修改价格弹性用于定价</t>
        </r>
      </text>
    </comment>
    <comment ref="S77" authorId="0">
      <text>
        <r>
          <rPr>
            <b/>
            <sz val="14"/>
            <rFont val="宋体"/>
            <charset val="134"/>
          </rPr>
          <t>陈世海:</t>
        </r>
        <r>
          <rPr>
            <sz val="14"/>
            <rFont val="宋体"/>
            <charset val="134"/>
          </rPr>
          <t xml:space="preserve">
破产数量大于3时，需求上涨。</t>
        </r>
        <r>
          <rPr>
            <sz val="9"/>
            <rFont val="宋体"/>
            <charset val="134"/>
          </rPr>
          <t xml:space="preserve">
</t>
        </r>
      </text>
    </comment>
    <comment ref="S96" authorId="0">
      <text>
        <r>
          <rPr>
            <b/>
            <sz val="14"/>
            <rFont val="宋体"/>
            <charset val="134"/>
          </rPr>
          <t>陈世海:</t>
        </r>
        <r>
          <rPr>
            <sz val="14"/>
            <rFont val="宋体"/>
            <charset val="134"/>
          </rPr>
          <t xml:space="preserve">
适用于新场景崩溃或者第三期后稳定市场</t>
        </r>
      </text>
    </comment>
    <comment ref="T96" authorId="0">
      <text>
        <r>
          <rPr>
            <b/>
            <sz val="14"/>
            <rFont val="宋体"/>
            <charset val="134"/>
          </rPr>
          <t>陈世海:</t>
        </r>
        <r>
          <rPr>
            <sz val="14"/>
            <rFont val="宋体"/>
            <charset val="134"/>
          </rPr>
          <t xml:space="preserve">
适用于新场景崩溃或者第三期后稳定市场</t>
        </r>
      </text>
    </comment>
  </commentList>
</comments>
</file>

<file path=xl/comments8.xml><?xml version="1.0" encoding="utf-8"?>
<comments xmlns="http://schemas.openxmlformats.org/spreadsheetml/2006/main">
  <authors>
    <author>陈世海</author>
  </authors>
  <commentList>
    <comment ref="S72" authorId="0">
      <text>
        <r>
          <rPr>
            <b/>
            <sz val="12"/>
            <rFont val="宋体"/>
            <charset val="134"/>
          </rPr>
          <t>陈世海:</t>
        </r>
        <r>
          <rPr>
            <sz val="12"/>
            <rFont val="宋体"/>
            <charset val="134"/>
          </rPr>
          <t xml:space="preserve">
根据12市场价格差需求差拟定公参考</t>
        </r>
      </text>
    </comment>
    <comment ref="N77" authorId="0">
      <text>
        <r>
          <rPr>
            <b/>
            <sz val="14"/>
            <rFont val="宋体"/>
            <charset val="134"/>
          </rPr>
          <t>陈世海:</t>
        </r>
        <r>
          <rPr>
            <sz val="14"/>
            <rFont val="宋体"/>
            <charset val="134"/>
          </rPr>
          <t xml:space="preserve">
未模拟前用于预算，模拟后修改价格弹性用于定价</t>
        </r>
      </text>
    </comment>
    <comment ref="S77" authorId="0">
      <text>
        <r>
          <rPr>
            <b/>
            <sz val="14"/>
            <rFont val="宋体"/>
            <charset val="134"/>
          </rPr>
          <t>陈世海:</t>
        </r>
        <r>
          <rPr>
            <sz val="14"/>
            <rFont val="宋体"/>
            <charset val="134"/>
          </rPr>
          <t xml:space="preserve">
破产数量大于3时，需求上涨。</t>
        </r>
        <r>
          <rPr>
            <sz val="9"/>
            <rFont val="宋体"/>
            <charset val="134"/>
          </rPr>
          <t xml:space="preserve">
</t>
        </r>
      </text>
    </comment>
    <comment ref="S96" authorId="0">
      <text>
        <r>
          <rPr>
            <b/>
            <sz val="14"/>
            <rFont val="宋体"/>
            <charset val="134"/>
          </rPr>
          <t>陈世海:</t>
        </r>
        <r>
          <rPr>
            <sz val="14"/>
            <rFont val="宋体"/>
            <charset val="134"/>
          </rPr>
          <t xml:space="preserve">
适用于新场景崩溃或者第三期后稳定市场</t>
        </r>
      </text>
    </comment>
    <comment ref="T96" authorId="0">
      <text>
        <r>
          <rPr>
            <b/>
            <sz val="14"/>
            <rFont val="宋体"/>
            <charset val="134"/>
          </rPr>
          <t>陈世海:</t>
        </r>
        <r>
          <rPr>
            <sz val="14"/>
            <rFont val="宋体"/>
            <charset val="134"/>
          </rPr>
          <t xml:space="preserve">
适用于新场景崩溃或者第三期后稳定市场</t>
        </r>
      </text>
    </comment>
  </commentList>
</comments>
</file>

<file path=xl/sharedStrings.xml><?xml version="1.0" encoding="utf-8"?>
<sst xmlns="http://schemas.openxmlformats.org/spreadsheetml/2006/main" count="8837" uniqueCount="920">
  <si>
    <t>主页</t>
  </si>
  <si>
    <t>网络对抗</t>
  </si>
  <si>
    <t>人机对战</t>
  </si>
  <si>
    <t>赛区</t>
  </si>
  <si>
    <t>北京时间 欢迎：1@380892 比赛：练习</t>
  </si>
  <si>
    <t>离开比赛</t>
  </si>
  <si>
    <t>制定决策 控制中心 制定战略 制定决策 (向导模式) 制定决策 (快捷模式)</t>
  </si>
  <si>
    <t>报表 公共报表 内部报表 市场消息</t>
  </si>
  <si>
    <t>模拟规则 中文 英文</t>
  </si>
  <si>
    <t>成绩报表 团队成绩</t>
  </si>
  <si>
    <t>iBizSim企业竞争模拟系统规则</t>
  </si>
  <si>
    <t>一、一般规则</t>
  </si>
  <si>
    <t>二、市场机制</t>
  </si>
  <si>
    <t>三、产品分销</t>
  </si>
  <si>
    <t>四、库存与预订</t>
  </si>
  <si>
    <t>五、生产作业</t>
  </si>
  <si>
    <t>六、研究开发</t>
  </si>
  <si>
    <t>七、人员招聘、退休与解聘</t>
  </si>
  <si>
    <t>八、资金筹措</t>
  </si>
  <si>
    <t>九、纳税与分红</t>
  </si>
  <si>
    <t>十、现金收支次序</t>
  </si>
  <si>
    <t>十一、评判标准</t>
  </si>
  <si>
    <t>模拟参加者要服从比赛管理者的领导和指挥，按时、按规定的方式提交决策。</t>
  </si>
  <si>
    <t>人机对战比赛无需管理员参与，用户提交经营决策后系统自动进行模拟。</t>
  </si>
  <si>
    <t>参加本次模拟的有20个组，代表20个相同类型、相同规模的企业（或称公司），它们可以生产4种产品，在4个市场上销售。模拟情景难度属第9级（共9级）。</t>
  </si>
  <si>
    <t>各公司每期（假定一期为一个季度）做一个决策。各公司要在管理者指定的时间以前将决策输入计算机（在网络上运行时），或将决策交给模拟管理者（在单机上运行时）。否则，模拟管理者可以将该公司上期的决策作为该公司本期的决策。</t>
  </si>
  <si>
    <t>公司做决策时应考虑本公司的现状、历史状况、经营环境以及其它公司的信息，综合运用学过的管理学知识，发挥集体智慧与创造精神，追求成功的目标。</t>
  </si>
  <si>
    <t>公司做决策时一定要注意决策的可行性。比如，安排生产时要有足够的机时、人力和原材料，要买机器要有足够的资金。当决策不可行时，模拟软件将改变公司的决策。这种改变有一定的随意性，并不遵循优化原则。</t>
  </si>
  <si>
    <t>返回顶部</t>
  </si>
  <si>
    <t>各市场对各种产品的需求与多种因素有关，符合基本的经济规律。对某公司的需求量依赖于该公司的决策及状况（包括对产品的定价、广告费、促销费用及市场份额等），也依赖于其它公司的决策及状况。同时，需求量也与整个市场的容量、经济发展水平、季节变动等因素有关。</t>
  </si>
  <si>
    <t>价格、广告和促销费的绝对值会影响需求，与其它公司比较的相对值也会影响需求。企业对产品的广告影响该产品在各个市场上的需求，可能有滞后作用。促销费包括营销人员费用等，企业在各市场的促销费影响它在该市场的各种产品的需求。</t>
  </si>
  <si>
    <t>企业的研发费、工人工资会影响产品的等级，等级高的产品可以较高的价格出售。</t>
  </si>
  <si>
    <t>模拟中发布的动态消息是对下期的经济环境、社会变革、自然现象等突发事件的预测，事件是否真正发生以及将造成多大影响都具有随机性，决策者要有风险意识。</t>
  </si>
  <si>
    <t>本期产品的75.0%和在工厂的全部库存可以运往各市场，市场之间不转运。</t>
  </si>
  <si>
    <t>产品运输固定费用（元）</t>
  </si>
  <si>
    <t>产品A</t>
  </si>
  <si>
    <t>产品B</t>
  </si>
  <si>
    <t>公司</t>
  </si>
  <si>
    <t>市场1</t>
  </si>
  <si>
    <t>市场2</t>
  </si>
  <si>
    <t>市场3</t>
  </si>
  <si>
    <t>市场4</t>
  </si>
  <si>
    <t>1@380892</t>
  </si>
  <si>
    <t>2@380892</t>
  </si>
  <si>
    <t>3@380892</t>
  </si>
  <si>
    <t>4@380892</t>
  </si>
  <si>
    <t>5@380892</t>
  </si>
  <si>
    <t>6@380892</t>
  </si>
  <si>
    <t>7@380892</t>
  </si>
  <si>
    <t>8@380892</t>
  </si>
  <si>
    <t>9@380892</t>
  </si>
  <si>
    <t>10@380892</t>
  </si>
  <si>
    <t>11@380892</t>
  </si>
  <si>
    <t>12@380892</t>
  </si>
  <si>
    <t>13@380892</t>
  </si>
  <si>
    <t>14@380892</t>
  </si>
  <si>
    <t>15@380892</t>
  </si>
  <si>
    <t>16@380892</t>
  </si>
  <si>
    <t>17@380892</t>
  </si>
  <si>
    <t>18@380892</t>
  </si>
  <si>
    <t>19@380892</t>
  </si>
  <si>
    <t>20@380892</t>
  </si>
  <si>
    <t>产品C</t>
  </si>
  <si>
    <t>产品D</t>
  </si>
  <si>
    <t>注意：只要有产品运往市场，就要付固定运输费用。</t>
  </si>
  <si>
    <t>产品运输变动费用（元）</t>
  </si>
  <si>
    <t>注意：变动运输费用是每个产品的运输费用。</t>
  </si>
  <si>
    <t>库存</t>
  </si>
  <si>
    <t>剩余原材料可存在企业的仓库，库存费为每元原材料每期0.05元。成品可存于工厂的仓库或各市场的仓库，单位成品每期库存费为：</t>
  </si>
  <si>
    <t>20.00元</t>
  </si>
  <si>
    <t>80.00元</t>
  </si>
  <si>
    <t>100.00元</t>
  </si>
  <si>
    <t>120.00元</t>
  </si>
  <si>
    <t>库存费在每期期末支付，库存量按期初和期末的平均数计算。</t>
  </si>
  <si>
    <t>预订</t>
  </si>
  <si>
    <t>当市场对某公司的产品需求多于公司在该市场的库存加本期运去的总量时，多余的需求按以下比例变为对下期的定货，到时以本期价格与下期价格较低者付款。公司下期的运到该市场的产品优先满足上期定货。若上期定货不能被满足，剩余的不再转为下期定货。</t>
  </si>
  <si>
    <t>注意：某公司不能满足的需求，除了转为下期定货，其余的可能变为对其它公司的需求。</t>
  </si>
  <si>
    <t>生产单个产品所需要的资源</t>
  </si>
  <si>
    <t>机器（时）</t>
  </si>
  <si>
    <t>人力（时）</t>
  </si>
  <si>
    <t>原材料（单位）</t>
  </si>
  <si>
    <t>班次</t>
  </si>
  <si>
    <t>第一班正班：6:00-14:00</t>
  </si>
  <si>
    <t>第一班加班：14:00-18:00</t>
  </si>
  <si>
    <t>第二班正班：14:00-22:00</t>
  </si>
  <si>
    <t>第二班加班：22:00-2:00</t>
  </si>
  <si>
    <t>一期正常班为520小时（一季度13周，每周40小时），加班为260小时。</t>
  </si>
  <si>
    <t>机器</t>
  </si>
  <si>
    <t>机器可在两班使用，但第一班加班和第二班用的机器总数不能多于公司机器总数。</t>
  </si>
  <si>
    <t>第一班加班用的机器在完工后的四小时也不能用于第二班正常班。</t>
  </si>
  <si>
    <t>机器价格为60,000.00元，折旧期为5年，每期（季度）折旧为5.0%，不管使用与否。</t>
  </si>
  <si>
    <t>若购买机器，本期末付款，下期运输安装，再一期才能使用，使用时才计算折旧。</t>
  </si>
  <si>
    <t>材料定购</t>
  </si>
  <si>
    <t>原材料价格</t>
  </si>
  <si>
    <t>原材的标价为１元，但可以根据定货的多少得到批量价格优惠。优惠价格如下。</t>
  </si>
  <si>
    <t>定购量 &gt;=</t>
  </si>
  <si>
    <t>单价</t>
  </si>
  <si>
    <t>原材料运输费用</t>
  </si>
  <si>
    <t>原材料的运输费用分固定费用（按是否定货）和变动费用（按定货量）。原材料的运输费固定费用为5000元，变动费用为0.02元。购原材料的运费算作本期的成本，批量优惠算作本期收入。</t>
  </si>
  <si>
    <t>原材料运输时间</t>
  </si>
  <si>
    <t>由于运输的原因，本期决策订购的原材料至多有50.0%可以用于本期使用。</t>
  </si>
  <si>
    <t>管理成本</t>
  </si>
  <si>
    <t>公司每期的固定费用与生产的产品和班次有关，具体见下表（单位：元）</t>
  </si>
  <si>
    <t>第一班</t>
  </si>
  <si>
    <t>第二班</t>
  </si>
  <si>
    <t>维修费</t>
  </si>
  <si>
    <t>每台机器每期的维修费为200.0元，不论使用与否。</t>
  </si>
  <si>
    <t>研发的作用</t>
  </si>
  <si>
    <t>企业要生产某种产品，需先投入基本的研发费用，其数量相当于下面的等级1。它包括为生产该新产品需要的专利的获得、设施的购置和技术的培训等。</t>
  </si>
  <si>
    <t>为了提高该产品的等级，企业还需要进一步投入研发费。它包括为提高产品质量的技术革新和生产工艺的改进等。这些费用相当于下面的等级2、3、4、5。若产品等级高，可以增加客户的需求。在计算成本时，将本期的研发费用平均分摊在本期和下一期。</t>
  </si>
  <si>
    <t>研发费用</t>
  </si>
  <si>
    <t>各种产品达到不同等级需要的累积研发费用（简单加总）如下：</t>
  </si>
  <si>
    <t>等级1</t>
  </si>
  <si>
    <t>等级2</t>
  </si>
  <si>
    <t>等级3</t>
  </si>
  <si>
    <t>等级4</t>
  </si>
  <si>
    <t>等级5</t>
  </si>
  <si>
    <t>说明：</t>
  </si>
  <si>
    <t>工人工资系数对产品等级的影响是在研发费用基础上的进一步调整。比如，研发费决定的产品等级为3，考虑工资系数后，产品等级调节后的区间为（3.0, 3.9）。</t>
  </si>
  <si>
    <t>考虑研发费的产品等级的提高要循序渐进，每期最多提高一级。</t>
  </si>
  <si>
    <t>新工人招聘与培训</t>
  </si>
  <si>
    <t>企业可以在每期期初招聘工人，但招收人数不得超过当期期初工人总数的50.0%。本期决策招收的新工人在本期为培训期。每个新工人的培训费为500.0元。培训期间新工人的作用和工资相当于正式工人的25.0%。经过一期培训后，新工人成为熟练工人。</t>
  </si>
  <si>
    <t>工人退休或解聘</t>
  </si>
  <si>
    <t>企业每期有3.0%的工人正常退休。企业决策时，可以根据情况解聘工人。决策单中的解聘工人数是退休和解聘人数之和。根据政府规定，退休和解聘人数之和不能多于期初工人数的10%。本期退休或解聘的工人不再参加本期的工作，企业要发给退休和解聘的工人每人一次性生活安置费1000.0元。</t>
  </si>
  <si>
    <t>员工待遇与激励</t>
  </si>
  <si>
    <t>工作小时基本工资</t>
  </si>
  <si>
    <t>第一班正班：3.0元</t>
  </si>
  <si>
    <t>第一班加班：4.5元</t>
  </si>
  <si>
    <t>第二班正班：4.0元</t>
  </si>
  <si>
    <t>第二班加班：6.0元</t>
  </si>
  <si>
    <t>每个工人只能上一种班，加班人数不能多于本班正班人数。未值班的工人按第一班正班付工资。</t>
  </si>
  <si>
    <t>员工激励</t>
  </si>
  <si>
    <t>以上的小时基本工资是本行业的基本工资，也是各企业确定工资的最低线。</t>
  </si>
  <si>
    <t>企业可以用提高工资系数的办法激励员工。设对应基本工资的工资系数为１，若工资系数为1.2，则实际工资为基本工资乘以1.2。提高工资系数有助于提高企业的产品质量，减少废品率，也可以提高产品的级别。当然，提高工资系数会增加成本。废品会浪费企业的资源、运费，还会因为顾客退换产品造成折价40%的经济损失。</t>
  </si>
  <si>
    <t>工资系数变化只对模拟难度5以上的情景。当难度等级小于5时系数设为１，在决策单上不包括工资系数，也不考虑废品率。</t>
  </si>
  <si>
    <t>银行贷款：</t>
  </si>
  <si>
    <t>模拟开始时各公司有现金3,000,000元。</t>
  </si>
  <si>
    <t>为了保证公司的运营，每期期末公司至少应有2,500,000元现金，若不足，在该公司信用额度的范围内，银行将在下期初自动给予贷款补足。</t>
  </si>
  <si>
    <t>企业也可以在决策时提出向银行贷款。但是，整个模拟期间贷款的总数不得超过8,000,000.0元的信用总额。</t>
  </si>
  <si>
    <t>银行贷款的本利在本期末偿还，年利率为8.0%（每期的利率为年利率的1/4）。</t>
  </si>
  <si>
    <t>国债：</t>
  </si>
  <si>
    <t>公司每期都可以买国债，年利率为6.0%。若购买国债，在本期末付款，本利在下期末兑现。</t>
  </si>
  <si>
    <t>发债券：</t>
  </si>
  <si>
    <t>公司为了筹集发展资金或应付财政困难，可以发行债券。当期发行的债券可以在期初得到现金。公司某期发行的债券数额与尚未归还的债券之和不得超过公司该期初净资产的50.0%。各期要按5.0%的比例偿还债券的本金，并付利息。债券的年利率为12.0%。公司模拟开始几期，可能已经发行了债券。未偿还的债券总量可在公司信息里查看。本期发行的债券本利的偿还从下一期开始。债券不能提前偿付或拖延。</t>
  </si>
  <si>
    <t>税务：</t>
  </si>
  <si>
    <t>公司缴税是公司对国家应尽的义务，也是评价公司经营绩效的一项重要指标。</t>
  </si>
  <si>
    <t>税金为本期净收益的30.0%，在本期末缴纳。</t>
  </si>
  <si>
    <t>本期净收益为负值时，可按该亏损额的30.0%在下一期（或以后几期）减税。</t>
  </si>
  <si>
    <t>分红：</t>
  </si>
  <si>
    <t>公司分红的条件：</t>
  </si>
  <si>
    <t>（1）应优先保证期末剩余的现金数量超过2,500,000元。</t>
  </si>
  <si>
    <t>（2）分红数量不能超过公司该期末的税后利润。</t>
  </si>
  <si>
    <t>注意：</t>
  </si>
  <si>
    <t>考虑到资金的时效性，公司累计缴税和累计分红按7.00%的年息计算。</t>
  </si>
  <si>
    <t>期初现金 +银行贷款 +发行债券</t>
  </si>
  <si>
    <t>-部分债券本 -债券息 -培训费 -退休费</t>
  </si>
  <si>
    <t>-基本工资（工人至少得到第一班正常班的工资） -机器维护费</t>
  </si>
  <si>
    <t>+紧急救援贷款 -研发费 -购原材料 -管理费</t>
  </si>
  <si>
    <t>-特殊班工资（第二班差额及加班） -运输费 -广告费 -促销费</t>
  </si>
  <si>
    <t>+销售收入 -存储费 +上期国债本息</t>
  </si>
  <si>
    <t>-本期银行贷款本息 -上期紧急救援贷款本息</t>
  </si>
  <si>
    <t>-税金 -买机器 -分红 -买国债</t>
  </si>
  <si>
    <t>警告：</t>
  </si>
  <si>
    <t>当资金不足时，将按以上次序支出，并修改决策。如果现金不够支付机器维护费以前的项目，会得到紧急救援贷款。此贷款年利率为40%，本息需在下期末偿还。</t>
  </si>
  <si>
    <t>企业发生紧急救援贷款，即为破产。</t>
  </si>
  <si>
    <t>每期模拟结束后，软件根据各企业的经营业绩评定一个综合成绩。评判的标准包含七项指标：本期利润、市场份额、累计分红、累计缴税、净资产、人均利润率、资本利润率。其中计算人均利润率的人数包括本期解聘的和本期新雇的工人，计算资本利润率的资本等于净资产加未偿还的债券。</t>
  </si>
  <si>
    <t>评定的方法是先按这些指标分别计算标准分，再按设定的权重计算出综合评分。</t>
  </si>
  <si>
    <t>各项指标的权重分别为： 0.2, 0.15, 0.1, 0.1, 0.2, 0.1, 0.15, 其中市场份额是按各个产品在各个市场的销售数量的占有率，分别计算标准分后再求平均的。</t>
  </si>
  <si>
    <t>标准分的算法是先求全部公司某指标的均值和标准差，用企业的指标减去均值，再除以该指标的标准差。标准分为0意味着企业的这一指标等于各企业的均值；标准分为正，表示该指标较好；若为负，表示该指标不佳。</t>
  </si>
  <si>
    <t>在计算标准分时，会考虑上期综合评分的影响，也会根据企业的发展潜力进行调整。如果企业所留现金小于本期期初现金或本期成本，这意味着经营的连续性不佳，其标准分将适当下调。</t>
  </si>
  <si>
    <t>软件将公布各企业七项指标各自的名次与综合评分。</t>
  </si>
  <si>
    <t xml:space="preserve">全国企业竞争模拟大赛组委会 </t>
  </si>
  <si>
    <t>京ICP备09047967号-6</t>
  </si>
  <si>
    <t>比赛系统</t>
  </si>
  <si>
    <t>账号</t>
  </si>
  <si>
    <t>gameid</t>
  </si>
  <si>
    <t>网址</t>
  </si>
  <si>
    <t>www.ibizsim.cn</t>
  </si>
  <si>
    <t>模式选择</t>
  </si>
  <si>
    <t>1.傻瓜模式</t>
  </si>
  <si>
    <t>2.辅助决策模式</t>
  </si>
  <si>
    <t>密码</t>
  </si>
  <si>
    <t>teamid</t>
  </si>
  <si>
    <t>periodid</t>
  </si>
  <si>
    <t>第八期期末内部报表网址：</t>
  </si>
  <si>
    <t>当期生产可运输比例</t>
  </si>
  <si>
    <t>成品库存费</t>
  </si>
  <si>
    <t>新工人效率</t>
  </si>
  <si>
    <t>1公司固定运费</t>
  </si>
  <si>
    <t>市场11</t>
  </si>
  <si>
    <t>市场12</t>
  </si>
  <si>
    <t>市场13</t>
  </si>
  <si>
    <t>市场14</t>
  </si>
  <si>
    <t>市场21</t>
  </si>
  <si>
    <t>市场22</t>
  </si>
  <si>
    <t>市场23</t>
  </si>
  <si>
    <t>市场24</t>
  </si>
  <si>
    <t>公司总数</t>
  </si>
  <si>
    <t>产品1</t>
  </si>
  <si>
    <t>折旧率</t>
  </si>
  <si>
    <t>产品12</t>
  </si>
  <si>
    <t>公司序号</t>
  </si>
  <si>
    <t>产品2</t>
  </si>
  <si>
    <t>退休率</t>
  </si>
  <si>
    <t>产品34</t>
  </si>
  <si>
    <t>原材料库存费用</t>
  </si>
  <si>
    <t>产品3</t>
  </si>
  <si>
    <t>购机费用</t>
  </si>
  <si>
    <t>产品4</t>
  </si>
  <si>
    <t>1公司变动运费</t>
  </si>
  <si>
    <t>市场31</t>
  </si>
  <si>
    <t>市场32</t>
  </si>
  <si>
    <t>市场33</t>
  </si>
  <si>
    <t>市场34</t>
  </si>
  <si>
    <t>市场41</t>
  </si>
  <si>
    <t>市场42</t>
  </si>
  <si>
    <t>市场43</t>
  </si>
  <si>
    <t>市场44</t>
  </si>
  <si>
    <t>原材料固定运费</t>
  </si>
  <si>
    <t>原材料变动运费</t>
  </si>
  <si>
    <t>订货转化比例</t>
  </si>
  <si>
    <t>当期原材料可用比例</t>
  </si>
  <si>
    <t>固定运费</t>
  </si>
  <si>
    <t>新工培训费</t>
  </si>
  <si>
    <t>安置费</t>
  </si>
  <si>
    <t>基本工资</t>
  </si>
  <si>
    <t>第一班加班特殊工资</t>
  </si>
  <si>
    <t>产品生产消耗</t>
  </si>
  <si>
    <t>第二班正班特殊工资</t>
  </si>
  <si>
    <t>机 器(时)</t>
  </si>
  <si>
    <t>第二班加班特殊工资</t>
  </si>
  <si>
    <t>人 力(时)</t>
  </si>
  <si>
    <t>变动运费</t>
  </si>
  <si>
    <t>废品系数</t>
  </si>
  <si>
    <t>原材料(单位)</t>
  </si>
  <si>
    <t>平均人机比</t>
  </si>
  <si>
    <t>最高等级工资系数</t>
  </si>
  <si>
    <t>人机比</t>
  </si>
  <si>
    <t>最低资金额度</t>
  </si>
  <si>
    <t>材机比</t>
  </si>
  <si>
    <t>贷款利息</t>
  </si>
  <si>
    <t>生产成本</t>
  </si>
  <si>
    <t>国债利息</t>
  </si>
  <si>
    <t>债券利息</t>
  </si>
  <si>
    <t>管理费</t>
  </si>
  <si>
    <t>一正</t>
  </si>
  <si>
    <t>二正</t>
  </si>
  <si>
    <t>税收比例</t>
  </si>
  <si>
    <t>条件</t>
  </si>
  <si>
    <t>原材料折扣</t>
  </si>
  <si>
    <t>减税比例</t>
  </si>
  <si>
    <t>资金的有效性</t>
  </si>
  <si>
    <t>评分权重</t>
  </si>
  <si>
    <t>条件折合</t>
  </si>
  <si>
    <t>折扣折合</t>
  </si>
  <si>
    <t>本期利润</t>
  </si>
  <si>
    <t>研发部分累计</t>
  </si>
  <si>
    <t>等级1投入</t>
  </si>
  <si>
    <t>等级2投入</t>
  </si>
  <si>
    <t>等级3投入</t>
  </si>
  <si>
    <t>等级4投入</t>
  </si>
  <si>
    <t>等级5投入</t>
  </si>
  <si>
    <t>市场份额</t>
  </si>
  <si>
    <t>产品 1</t>
  </si>
  <si>
    <t>累计分红</t>
  </si>
  <si>
    <t>产品 2</t>
  </si>
  <si>
    <t>累计缴税</t>
  </si>
  <si>
    <t>产品 3</t>
  </si>
  <si>
    <t>净资产</t>
  </si>
  <si>
    <t>产品 4</t>
  </si>
  <si>
    <t>人均利润率</t>
  </si>
  <si>
    <t>研发费累计</t>
  </si>
  <si>
    <t>资本利润率</t>
  </si>
  <si>
    <t>研发部分单级</t>
  </si>
  <si>
    <t>完成决策</t>
  </si>
  <si>
    <t>决策</t>
  </si>
  <si>
    <t>广告费</t>
  </si>
  <si>
    <t>该页面适用于往届选手历史数据分析时的决策导入</t>
  </si>
  <si>
    <t>在该页面输入决策数据后，选择复制到模型中的期数</t>
  </si>
  <si>
    <t>点击确定即可。</t>
  </si>
  <si>
    <t>促销费</t>
  </si>
  <si>
    <t>利润</t>
  </si>
  <si>
    <t>运输决策</t>
  </si>
  <si>
    <t>产品</t>
  </si>
  <si>
    <t>市场</t>
  </si>
  <si>
    <t>上期预订（件）</t>
  </si>
  <si>
    <t>本期需求（件）</t>
  </si>
  <si>
    <t>本期销售（件）</t>
  </si>
  <si>
    <t>市场份额（%）</t>
  </si>
  <si>
    <t>下期订货（件）</t>
  </si>
  <si>
    <t>期末库存（件）</t>
  </si>
  <si>
    <t>废品（件）</t>
  </si>
  <si>
    <t>成本</t>
  </si>
  <si>
    <t>将此决策复制到</t>
  </si>
  <si>
    <t>第1期</t>
  </si>
  <si>
    <r>
      <rPr>
        <sz val="11"/>
        <color indexed="8"/>
        <rFont val="宋体"/>
        <charset val="134"/>
      </rPr>
      <t>g</t>
    </r>
    <r>
      <rPr>
        <sz val="11"/>
        <color indexed="8"/>
        <rFont val="宋体"/>
        <charset val="134"/>
      </rPr>
      <t>ameid</t>
    </r>
  </si>
  <si>
    <t>期末现金</t>
  </si>
  <si>
    <t>第八期periodid</t>
  </si>
  <si>
    <t>生产决策</t>
  </si>
  <si>
    <t>第一班加</t>
  </si>
  <si>
    <t>第二班加</t>
  </si>
  <si>
    <t>导入到第</t>
  </si>
  <si>
    <t>期决策</t>
  </si>
  <si>
    <t>发展</t>
  </si>
  <si>
    <t>新雇员工</t>
  </si>
  <si>
    <t>辞退员工</t>
  </si>
  <si>
    <t>买机器</t>
  </si>
  <si>
    <t>买原材料</t>
  </si>
  <si>
    <t>财务</t>
  </si>
  <si>
    <t>银行贷款</t>
  </si>
  <si>
    <t>债券</t>
  </si>
  <si>
    <t>国债</t>
  </si>
  <si>
    <t>分红</t>
  </si>
  <si>
    <t>工资系数</t>
  </si>
  <si>
    <t>工厂库存（件）</t>
  </si>
  <si>
    <t>本期研发（元）</t>
  </si>
  <si>
    <t>累积研发（元）</t>
  </si>
  <si>
    <t>产品等级（级）</t>
  </si>
  <si>
    <t>成品比率（%）</t>
  </si>
  <si>
    <t xml:space="preserve">市场1 </t>
  </si>
  <si>
    <t xml:space="preserve">市场2 </t>
  </si>
  <si>
    <t xml:space="preserve">市场3 </t>
  </si>
  <si>
    <t xml:space="preserve">市场4 </t>
  </si>
  <si>
    <t>1@133716</t>
  </si>
  <si>
    <t>2@133716</t>
  </si>
  <si>
    <t>3@133716</t>
  </si>
  <si>
    <t>4@133716</t>
  </si>
  <si>
    <t>5@133716</t>
  </si>
  <si>
    <t>6@133716</t>
  </si>
  <si>
    <t>7@133716</t>
  </si>
  <si>
    <t>8@133716</t>
  </si>
  <si>
    <t>圣战❖林深鹿【阳】</t>
  </si>
  <si>
    <t>10@133716</t>
  </si>
  <si>
    <t>晨风 小海</t>
  </si>
  <si>
    <t>12@133716</t>
  </si>
  <si>
    <t>13@133716</t>
  </si>
  <si>
    <t>14@sakura~</t>
  </si>
  <si>
    <t>15@133716</t>
  </si>
  <si>
    <t>16@133716</t>
  </si>
  <si>
    <t>圣战●【霖】星坠晓</t>
  </si>
  <si>
    <t>18@133716</t>
  </si>
  <si>
    <t>19@133716</t>
  </si>
  <si>
    <t>20@133716</t>
  </si>
  <si>
    <t>综合评分</t>
  </si>
  <si>
    <t>总评名次</t>
  </si>
  <si>
    <t>工人数</t>
  </si>
  <si>
    <t>机器数</t>
  </si>
  <si>
    <t>累计研发</t>
  </si>
  <si>
    <t xml:space="preserve">本期收入（元） </t>
  </si>
  <si>
    <t xml:space="preserve">本期成本（元） </t>
  </si>
  <si>
    <t xml:space="preserve">本期利润（元） </t>
  </si>
  <si>
    <t xml:space="preserve">累计纳税（元） </t>
  </si>
  <si>
    <t xml:space="preserve">累计分红（元） </t>
  </si>
  <si>
    <t xml:space="preserve">期末现金（元） </t>
  </si>
  <si>
    <t xml:space="preserve">净资产（元） </t>
  </si>
  <si>
    <t xml:space="preserve">综合分 </t>
  </si>
  <si>
    <t>第10期会计项目</t>
  </si>
  <si>
    <t>收  支(元)</t>
  </si>
  <si>
    <t>本期收入(元)</t>
  </si>
  <si>
    <t>本期成本(元)</t>
  </si>
  <si>
    <t>现金累计(元)</t>
  </si>
  <si>
    <t>上期转来</t>
  </si>
  <si>
    <t>发行债券</t>
  </si>
  <si>
    <t>还债券本金</t>
  </si>
  <si>
    <t>还债券利息</t>
  </si>
  <si>
    <t>新工人培训费</t>
  </si>
  <si>
    <t>解雇工人安置费</t>
  </si>
  <si>
    <t>工人基本工资</t>
  </si>
  <si>
    <t>机器维修费</t>
  </si>
  <si>
    <t>紧急贷款</t>
  </si>
  <si>
    <t>研发费</t>
  </si>
  <si>
    <t>研发费分摊</t>
  </si>
  <si>
    <t>购原材料</t>
  </si>
  <si>
    <t>购原材料折扣</t>
  </si>
  <si>
    <t>购材料运费</t>
  </si>
  <si>
    <t>特殊班工资</t>
  </si>
  <si>
    <t>使用材料费</t>
  </si>
  <si>
    <t>成品运输费</t>
  </si>
  <si>
    <t>销售收入</t>
  </si>
  <si>
    <t>废品损失</t>
  </si>
  <si>
    <t>折旧费</t>
  </si>
  <si>
    <t>产品库存变化</t>
  </si>
  <si>
    <t>原材料存储费</t>
  </si>
  <si>
    <t>成品存储费</t>
  </si>
  <si>
    <t>上期国债返回</t>
  </si>
  <si>
    <t>上期国债利息</t>
  </si>
  <si>
    <t>还银行贷款</t>
  </si>
  <si>
    <t>银行贷款利息</t>
  </si>
  <si>
    <t>还上期紧急贷款</t>
  </si>
  <si>
    <t>上期紧急贷款利息</t>
  </si>
  <si>
    <t>纳  税</t>
  </si>
  <si>
    <t>分  红</t>
  </si>
  <si>
    <t>买国债</t>
  </si>
  <si>
    <r>
      <rPr>
        <sz val="11"/>
        <color indexed="8"/>
        <rFont val="宋体"/>
        <charset val="134"/>
      </rPr>
      <t>正品率计算公式</t>
    </r>
    <r>
      <rPr>
        <sz val="11"/>
        <color indexed="8"/>
        <rFont val="Times New Roman"/>
        <charset val="134"/>
      </rPr>
      <t>=0.95+(</t>
    </r>
    <r>
      <rPr>
        <sz val="11"/>
        <color indexed="8"/>
        <rFont val="宋体"/>
        <charset val="134"/>
      </rPr>
      <t>本期工资系数</t>
    </r>
    <r>
      <rPr>
        <sz val="11"/>
        <color indexed="8"/>
        <rFont val="Times New Roman"/>
        <charset val="134"/>
      </rPr>
      <t>-1)*</t>
    </r>
    <r>
      <rPr>
        <sz val="11"/>
        <color indexed="8"/>
        <rFont val="宋体"/>
        <charset val="134"/>
      </rPr>
      <t>正品参数</t>
    </r>
    <r>
      <rPr>
        <sz val="11"/>
        <color indexed="8"/>
        <rFont val="Times New Roman"/>
        <charset val="134"/>
      </rPr>
      <t>*.07+(</t>
    </r>
    <r>
      <rPr>
        <sz val="11"/>
        <color indexed="8"/>
        <rFont val="宋体"/>
        <charset val="134"/>
      </rPr>
      <t>上期正品率</t>
    </r>
    <r>
      <rPr>
        <sz val="11"/>
        <color indexed="8"/>
        <rFont val="Times New Roman"/>
        <charset val="134"/>
      </rPr>
      <t>-0.95)*0.3</t>
    </r>
  </si>
  <si>
    <r>
      <rPr>
        <sz val="11"/>
        <color indexed="8"/>
        <rFont val="宋体"/>
        <charset val="134"/>
      </rPr>
      <t>正品参数默认值：</t>
    </r>
    <r>
      <rPr>
        <sz val="11"/>
        <color indexed="8"/>
        <rFont val="Times New Roman"/>
        <charset val="134"/>
      </rPr>
      <t>1.5,1.4,1.3,1.2</t>
    </r>
    <r>
      <rPr>
        <sz val="11"/>
        <color indexed="8"/>
        <rFont val="宋体"/>
        <charset val="134"/>
      </rPr>
      <t>，参加初始化表</t>
    </r>
    <r>
      <rPr>
        <sz val="11"/>
        <color indexed="8"/>
        <rFont val="Times New Roman"/>
        <charset val="134"/>
      </rPr>
      <t>!E44:G44</t>
    </r>
  </si>
  <si>
    <r>
      <rPr>
        <sz val="11"/>
        <color indexed="8"/>
        <rFont val="宋体"/>
        <charset val="134"/>
      </rPr>
      <t>正品参数调整方法：根据系统前八期，在本工作表页面填入前八期的工资系数，调整</t>
    </r>
    <r>
      <rPr>
        <sz val="11"/>
        <color indexed="8"/>
        <rFont val="Times New Roman"/>
        <charset val="134"/>
      </rPr>
      <t>D9:G9</t>
    </r>
    <r>
      <rPr>
        <sz val="11"/>
        <color indexed="8"/>
        <rFont val="宋体"/>
        <charset val="134"/>
      </rPr>
      <t>的大小，使得前八期的正品率基本和时间序列数据吻合即可。</t>
    </r>
  </si>
  <si>
    <r>
      <rPr>
        <sz val="11"/>
        <color indexed="8"/>
        <rFont val="宋体"/>
        <charset val="134"/>
      </rPr>
      <t>正品参数抄录：把</t>
    </r>
    <r>
      <rPr>
        <sz val="11"/>
        <color indexed="8"/>
        <rFont val="Times New Roman"/>
        <charset val="134"/>
      </rPr>
      <t>D9:G9</t>
    </r>
    <r>
      <rPr>
        <sz val="11"/>
        <color indexed="8"/>
        <rFont val="宋体"/>
        <charset val="134"/>
      </rPr>
      <t>的四个数字填入初始化表</t>
    </r>
    <r>
      <rPr>
        <sz val="11"/>
        <color indexed="8"/>
        <rFont val="Times New Roman"/>
        <charset val="134"/>
      </rPr>
      <t>!E44:G44</t>
    </r>
  </si>
  <si>
    <t>正品参数</t>
  </si>
  <si>
    <r>
      <rPr>
        <b/>
        <sz val="10"/>
        <rFont val="宋体"/>
        <charset val="134"/>
      </rPr>
      <t>产品</t>
    </r>
    <r>
      <rPr>
        <b/>
        <sz val="10"/>
        <rFont val="Times New Roman"/>
        <charset val="134"/>
      </rPr>
      <t>1</t>
    </r>
  </si>
  <si>
    <r>
      <rPr>
        <b/>
        <sz val="10"/>
        <rFont val="宋体"/>
        <charset val="134"/>
      </rPr>
      <t>产品</t>
    </r>
    <r>
      <rPr>
        <b/>
        <sz val="10"/>
        <rFont val="Times New Roman"/>
        <charset val="134"/>
      </rPr>
      <t>2</t>
    </r>
  </si>
  <si>
    <r>
      <rPr>
        <b/>
        <sz val="10"/>
        <rFont val="宋体"/>
        <charset val="134"/>
      </rPr>
      <t>产品</t>
    </r>
    <r>
      <rPr>
        <b/>
        <sz val="10"/>
        <rFont val="Times New Roman"/>
        <charset val="134"/>
      </rPr>
      <t>3</t>
    </r>
  </si>
  <si>
    <r>
      <rPr>
        <b/>
        <sz val="10"/>
        <rFont val="宋体"/>
        <charset val="134"/>
      </rPr>
      <t>产品</t>
    </r>
    <r>
      <rPr>
        <b/>
        <sz val="10"/>
        <rFont val="Times New Roman"/>
        <charset val="134"/>
      </rPr>
      <t>4</t>
    </r>
  </si>
  <si>
    <t>废品检验</t>
  </si>
  <si>
    <r>
      <rPr>
        <b/>
        <sz val="10"/>
        <color theme="0"/>
        <rFont val="宋体"/>
        <charset val="134"/>
      </rPr>
      <t>第</t>
    </r>
    <r>
      <rPr>
        <b/>
        <sz val="10"/>
        <color theme="0"/>
        <rFont val="Times New Roman"/>
        <charset val="134"/>
      </rPr>
      <t>1</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</si>
  <si>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2</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</si>
  <si>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3</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</si>
  <si>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4</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</si>
  <si>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5</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</si>
  <si>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6</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</si>
  <si>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7</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</si>
  <si>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8</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</si>
  <si>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9</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</si>
  <si>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10</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</si>
  <si>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11</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</si>
  <si>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12</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</si>
  <si>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13</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</si>
  <si>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14</t>
    </r>
    <r>
      <rPr>
        <b/>
        <sz val="10"/>
        <color theme="0"/>
        <rFont val="宋体"/>
        <charset val="134"/>
      </rPr>
      <t>期</t>
    </r>
    <r>
      <rPr>
        <b/>
        <sz val="10"/>
        <color theme="0"/>
        <rFont val="Times New Roman"/>
        <charset val="134"/>
      </rPr>
      <t xml:space="preserve"> </t>
    </r>
  </si>
  <si>
    <r>
      <rPr>
        <b/>
        <sz val="10"/>
        <color theme="0"/>
        <rFont val="宋体"/>
        <charset val="134"/>
      </rPr>
      <t>第</t>
    </r>
    <r>
      <rPr>
        <b/>
        <sz val="10"/>
        <color theme="0"/>
        <rFont val="Times New Roman"/>
        <charset val="134"/>
      </rPr>
      <t>15</t>
    </r>
    <r>
      <rPr>
        <b/>
        <sz val="10"/>
        <color theme="0"/>
        <rFont val="宋体"/>
        <charset val="134"/>
      </rPr>
      <t>期</t>
    </r>
  </si>
  <si>
    <r>
      <rPr>
        <b/>
        <sz val="10"/>
        <color theme="0"/>
        <rFont val="宋体"/>
        <charset val="134"/>
      </rPr>
      <t>第</t>
    </r>
    <r>
      <rPr>
        <b/>
        <sz val="10"/>
        <color theme="0"/>
        <rFont val="Times New Roman"/>
        <charset val="134"/>
      </rPr>
      <t>16</t>
    </r>
    <r>
      <rPr>
        <b/>
        <sz val="10"/>
        <color theme="0"/>
        <rFont val="宋体"/>
        <charset val="134"/>
      </rPr>
      <t>期</t>
    </r>
  </si>
  <si>
    <r>
      <rPr>
        <b/>
        <sz val="10"/>
        <color theme="0"/>
        <rFont val="宋体"/>
        <charset val="134"/>
      </rPr>
      <t>第</t>
    </r>
    <r>
      <rPr>
        <b/>
        <sz val="10"/>
        <color theme="0"/>
        <rFont val="Times New Roman"/>
        <charset val="134"/>
      </rPr>
      <t>17</t>
    </r>
    <r>
      <rPr>
        <b/>
        <sz val="10"/>
        <color theme="0"/>
        <rFont val="宋体"/>
        <charset val="134"/>
      </rPr>
      <t>期</t>
    </r>
  </si>
  <si>
    <r>
      <rPr>
        <b/>
        <sz val="10"/>
        <color theme="0"/>
        <rFont val="宋体"/>
        <charset val="134"/>
      </rPr>
      <t>第</t>
    </r>
    <r>
      <rPr>
        <b/>
        <sz val="10"/>
        <color theme="0"/>
        <rFont val="Times New Roman"/>
        <charset val="134"/>
      </rPr>
      <t>18</t>
    </r>
    <r>
      <rPr>
        <b/>
        <sz val="10"/>
        <color theme="0"/>
        <rFont val="宋体"/>
        <charset val="134"/>
      </rPr>
      <t>期</t>
    </r>
  </si>
  <si>
    <t>第8期期末内部报表</t>
  </si>
  <si>
    <t>公司会计项目</t>
  </si>
  <si>
    <t>期末净资产</t>
  </si>
  <si>
    <t>期末产品状况</t>
  </si>
  <si>
    <t>第8期会计项目</t>
  </si>
  <si>
    <t>收支（元）</t>
  </si>
  <si>
    <t>本期收入（元）</t>
  </si>
  <si>
    <t>本期成本（元）</t>
  </si>
  <si>
    <t>现金累计（元）</t>
  </si>
  <si>
    <t>项目</t>
  </si>
  <si>
    <t>金额（元）</t>
  </si>
  <si>
    <t>累计（元）</t>
  </si>
  <si>
    <t>需求</t>
  </si>
  <si>
    <t>订单是否满足</t>
  </si>
  <si>
    <t>销售（剔除订单）</t>
  </si>
  <si>
    <t>订单</t>
  </si>
  <si>
    <t>市场库存</t>
  </si>
  <si>
    <t>废品</t>
  </si>
  <si>
    <t>现金</t>
  </si>
  <si>
    <t>+</t>
  </si>
  <si>
    <t>原材料</t>
  </si>
  <si>
    <t>研发费用待摊</t>
  </si>
  <si>
    <t>机器原值</t>
  </si>
  <si>
    <t>机器折旧</t>
  </si>
  <si>
    <t>-</t>
  </si>
  <si>
    <t>未投产机器原值</t>
  </si>
  <si>
    <t>合计</t>
  </si>
  <si>
    <t>期末企业状况</t>
  </si>
  <si>
    <t>本期销售</t>
  </si>
  <si>
    <t>指标</t>
  </si>
  <si>
    <t>数值</t>
  </si>
  <si>
    <t>排名</t>
  </si>
  <si>
    <t>本期需求</t>
  </si>
  <si>
    <t>本期实际销售（剔除满足上期订单后）</t>
  </si>
  <si>
    <t>上期订单</t>
  </si>
  <si>
    <t>本期工厂库存</t>
  </si>
  <si>
    <t>累计折旧</t>
  </si>
  <si>
    <t>平均销量</t>
  </si>
  <si>
    <r>
      <rPr>
        <b/>
        <sz val="12"/>
        <color theme="0"/>
        <rFont val="宋体"/>
        <charset val="134"/>
      </rPr>
      <t>市场</t>
    </r>
    <r>
      <rPr>
        <b/>
        <sz val="12"/>
        <color theme="0"/>
        <rFont val="Times New Roman"/>
        <charset val="134"/>
      </rPr>
      <t>1</t>
    </r>
  </si>
  <si>
    <r>
      <rPr>
        <b/>
        <sz val="12"/>
        <color theme="0"/>
        <rFont val="宋体"/>
        <charset val="134"/>
      </rPr>
      <t>市场</t>
    </r>
    <r>
      <rPr>
        <b/>
        <sz val="12"/>
        <color theme="0"/>
        <rFont val="Times New Roman"/>
        <charset val="134"/>
      </rPr>
      <t>2</t>
    </r>
  </si>
  <si>
    <r>
      <rPr>
        <b/>
        <sz val="12"/>
        <color theme="0"/>
        <rFont val="宋体"/>
        <charset val="134"/>
      </rPr>
      <t>市场</t>
    </r>
    <r>
      <rPr>
        <b/>
        <sz val="12"/>
        <color theme="0"/>
        <rFont val="Times New Roman"/>
        <charset val="134"/>
      </rPr>
      <t>3</t>
    </r>
  </si>
  <si>
    <r>
      <rPr>
        <b/>
        <sz val="12"/>
        <color theme="0"/>
        <rFont val="宋体"/>
        <charset val="134"/>
      </rPr>
      <t>市场</t>
    </r>
    <r>
      <rPr>
        <b/>
        <sz val="12"/>
        <color theme="0"/>
        <rFont val="Times New Roman"/>
        <charset val="134"/>
      </rPr>
      <t>4</t>
    </r>
  </si>
  <si>
    <t>银行信用额度</t>
  </si>
  <si>
    <r>
      <rPr>
        <b/>
        <sz val="12"/>
        <color theme="0"/>
        <rFont val="宋体"/>
        <charset val="134"/>
      </rPr>
      <t>产品</t>
    </r>
    <r>
      <rPr>
        <b/>
        <sz val="12"/>
        <color theme="0"/>
        <rFont val="Times New Roman"/>
        <charset val="134"/>
      </rPr>
      <t>1</t>
    </r>
  </si>
  <si>
    <r>
      <rPr>
        <b/>
        <sz val="12"/>
        <color theme="0"/>
        <rFont val="宋体"/>
        <charset val="134"/>
      </rPr>
      <t>产品</t>
    </r>
    <r>
      <rPr>
        <b/>
        <sz val="12"/>
        <color theme="0"/>
        <rFont val="Times New Roman"/>
        <charset val="134"/>
      </rPr>
      <t>2</t>
    </r>
  </si>
  <si>
    <r>
      <rPr>
        <b/>
        <sz val="12"/>
        <color theme="0"/>
        <rFont val="宋体"/>
        <charset val="134"/>
      </rPr>
      <t>产品</t>
    </r>
    <r>
      <rPr>
        <b/>
        <sz val="12"/>
        <color theme="0"/>
        <rFont val="Times New Roman"/>
        <charset val="134"/>
      </rPr>
      <t>3</t>
    </r>
  </si>
  <si>
    <t>累计研发费</t>
  </si>
  <si>
    <r>
      <rPr>
        <b/>
        <sz val="12"/>
        <color theme="0"/>
        <rFont val="宋体"/>
        <charset val="134"/>
      </rPr>
      <t>产品</t>
    </r>
    <r>
      <rPr>
        <b/>
        <sz val="12"/>
        <color theme="0"/>
        <rFont val="Times New Roman"/>
        <charset val="134"/>
      </rPr>
      <t>4</t>
    </r>
  </si>
  <si>
    <t>本期交税</t>
  </si>
  <si>
    <t>累计交税</t>
  </si>
  <si>
    <t>交税信用</t>
  </si>
  <si>
    <t>纳税</t>
  </si>
  <si>
    <t>第8期决策单</t>
  </si>
  <si>
    <t>第8期决策</t>
  </si>
  <si>
    <t>销售决策</t>
  </si>
  <si>
    <t xml:space="preserve">公司序号 </t>
  </si>
  <si>
    <t>公司名称</t>
  </si>
  <si>
    <t>使用时，先粘贴右边的价格，后粘贴下面价格报表并修改公司序号</t>
  </si>
  <si>
    <t>初期公共报表摘抄</t>
  </si>
  <si>
    <t>市场价格报表</t>
  </si>
  <si>
    <t>市场份额报表</t>
  </si>
  <si>
    <t>本期利润(元)</t>
  </si>
  <si>
    <t>累计纳税(元)</t>
  </si>
  <si>
    <t>累计分红(元)</t>
  </si>
  <si>
    <t>期末现金(元)</t>
  </si>
  <si>
    <t>净资产(元)</t>
  </si>
  <si>
    <t>综合分</t>
  </si>
  <si>
    <t>分项指标排序报表</t>
  </si>
  <si>
    <t>企业状况总揽</t>
  </si>
  <si>
    <t xml:space="preserve">      决策部分</t>
  </si>
  <si>
    <t>市场信息</t>
  </si>
  <si>
    <t>成本利润分析</t>
  </si>
  <si>
    <t>报表摘抄</t>
  </si>
  <si>
    <t>对手市场分析</t>
  </si>
  <si>
    <t>分值计算</t>
  </si>
  <si>
    <r>
      <rPr>
        <sz val="12"/>
        <rFont val="Times New Roman"/>
        <charset val="134"/>
      </rPr>
      <t>0.5</t>
    </r>
    <r>
      <rPr>
        <sz val="12"/>
        <rFont val="宋体"/>
        <charset val="134"/>
      </rPr>
      <t>权重</t>
    </r>
  </si>
  <si>
    <t>研发决策</t>
  </si>
  <si>
    <t>上期库存</t>
  </si>
  <si>
    <t>仓库</t>
  </si>
  <si>
    <t>库存利润</t>
  </si>
  <si>
    <t>产品成本</t>
  </si>
  <si>
    <t>期末内部报表</t>
  </si>
  <si>
    <t>分项目供货量</t>
  </si>
  <si>
    <t>公司名</t>
  </si>
  <si>
    <t>存在检验</t>
  </si>
  <si>
    <t>上期滞留</t>
  </si>
  <si>
    <t>当期利润</t>
  </si>
  <si>
    <t>累计纳税</t>
  </si>
  <si>
    <t>扣分</t>
  </si>
  <si>
    <t>本期得分</t>
  </si>
  <si>
    <t>最终得分</t>
  </si>
  <si>
    <t>上期得分</t>
  </si>
  <si>
    <r>
      <rPr>
        <b/>
        <sz val="12"/>
        <color indexed="9"/>
        <rFont val="宋体"/>
        <charset val="134"/>
      </rPr>
      <t>市场</t>
    </r>
    <r>
      <rPr>
        <b/>
        <sz val="12"/>
        <color indexed="9"/>
        <rFont val="Times New Roman"/>
        <charset val="134"/>
      </rPr>
      <t>1</t>
    </r>
  </si>
  <si>
    <r>
      <rPr>
        <b/>
        <sz val="12"/>
        <color indexed="9"/>
        <rFont val="宋体"/>
        <charset val="134"/>
      </rPr>
      <t>市场</t>
    </r>
    <r>
      <rPr>
        <b/>
        <sz val="12"/>
        <color indexed="9"/>
        <rFont val="Times New Roman"/>
        <charset val="134"/>
      </rPr>
      <t>2</t>
    </r>
  </si>
  <si>
    <r>
      <rPr>
        <b/>
        <sz val="12"/>
        <color indexed="9"/>
        <rFont val="宋体"/>
        <charset val="134"/>
      </rPr>
      <t>市场</t>
    </r>
    <r>
      <rPr>
        <b/>
        <sz val="12"/>
        <color indexed="9"/>
        <rFont val="Times New Roman"/>
        <charset val="134"/>
      </rPr>
      <t>3</t>
    </r>
  </si>
  <si>
    <r>
      <rPr>
        <b/>
        <sz val="12"/>
        <color indexed="9"/>
        <rFont val="宋体"/>
        <charset val="134"/>
      </rPr>
      <t>市场</t>
    </r>
    <r>
      <rPr>
        <b/>
        <sz val="12"/>
        <color indexed="9"/>
        <rFont val="Times New Roman"/>
        <charset val="134"/>
      </rPr>
      <t>4</t>
    </r>
  </si>
  <si>
    <t>当期投入</t>
  </si>
  <si>
    <t>产品等级</t>
  </si>
  <si>
    <t>下级需求</t>
  </si>
  <si>
    <t>广告计划</t>
  </si>
  <si>
    <r>
      <rPr>
        <b/>
        <sz val="12"/>
        <color indexed="9"/>
        <rFont val="宋体"/>
        <charset val="134"/>
      </rPr>
      <t>产品</t>
    </r>
    <r>
      <rPr>
        <b/>
        <sz val="12"/>
        <color indexed="9"/>
        <rFont val="Times New Roman"/>
        <charset val="134"/>
      </rPr>
      <t>1</t>
    </r>
  </si>
  <si>
    <r>
      <rPr>
        <b/>
        <sz val="12"/>
        <color indexed="9"/>
        <rFont val="宋体"/>
        <charset val="134"/>
      </rPr>
      <t>产品</t>
    </r>
    <r>
      <rPr>
        <b/>
        <sz val="12"/>
        <color indexed="9"/>
        <rFont val="Times New Roman"/>
        <charset val="134"/>
      </rPr>
      <t>2</t>
    </r>
  </si>
  <si>
    <r>
      <rPr>
        <b/>
        <sz val="12"/>
        <color indexed="9"/>
        <rFont val="宋体"/>
        <charset val="134"/>
      </rPr>
      <t>产品</t>
    </r>
    <r>
      <rPr>
        <b/>
        <sz val="12"/>
        <color indexed="9"/>
        <rFont val="Times New Roman"/>
        <charset val="134"/>
      </rPr>
      <t>3</t>
    </r>
  </si>
  <si>
    <r>
      <rPr>
        <b/>
        <sz val="12"/>
        <color indexed="9"/>
        <rFont val="宋体"/>
        <charset val="134"/>
      </rPr>
      <t>产品</t>
    </r>
    <r>
      <rPr>
        <b/>
        <sz val="12"/>
        <color indexed="9"/>
        <rFont val="Times New Roman"/>
        <charset val="134"/>
      </rPr>
      <t>4</t>
    </r>
  </si>
  <si>
    <t>投入比例</t>
  </si>
  <si>
    <t>促销计划</t>
  </si>
  <si>
    <t>价格浮动</t>
  </si>
  <si>
    <r>
      <rPr>
        <b/>
        <sz val="12"/>
        <color theme="0"/>
        <rFont val="宋体"/>
        <charset val="134"/>
      </rPr>
      <t>上需</t>
    </r>
    <r>
      <rPr>
        <b/>
        <sz val="12"/>
        <color theme="0"/>
        <rFont val="Times New Roman"/>
        <charset val="134"/>
      </rPr>
      <t>-</t>
    </r>
    <r>
      <rPr>
        <b/>
        <sz val="12"/>
        <color theme="0"/>
        <rFont val="宋体"/>
        <charset val="134"/>
      </rPr>
      <t>待销</t>
    </r>
  </si>
  <si>
    <t>上期预定</t>
  </si>
  <si>
    <t>产品利润</t>
  </si>
  <si>
    <t>现金流检验</t>
  </si>
  <si>
    <t>员工决策</t>
  </si>
  <si>
    <t>产品结构</t>
  </si>
  <si>
    <t>成本检验</t>
  </si>
  <si>
    <t>分红检验</t>
  </si>
  <si>
    <t>比例系数</t>
  </si>
  <si>
    <t>最优人机比</t>
  </si>
  <si>
    <t>最优浮动</t>
  </si>
  <si>
    <t>上期浮动</t>
  </si>
  <si>
    <t>下期维持</t>
  </si>
  <si>
    <t>推荐价格</t>
  </si>
  <si>
    <t>上期人机比</t>
  </si>
  <si>
    <t>期初人数</t>
  </si>
  <si>
    <t>最大可雇</t>
  </si>
  <si>
    <t>必要退休</t>
  </si>
  <si>
    <t>最大辞退</t>
  </si>
  <si>
    <t>期末人数</t>
  </si>
  <si>
    <t>上期需求</t>
  </si>
  <si>
    <t>总需求</t>
  </si>
  <si>
    <t>单位人时利润</t>
  </si>
  <si>
    <t>当期雇佣</t>
  </si>
  <si>
    <t>当期辞退</t>
  </si>
  <si>
    <t>机器利用率检验数(越小越好）</t>
  </si>
  <si>
    <t>下限</t>
  </si>
  <si>
    <t>上限</t>
  </si>
  <si>
    <t>实际</t>
  </si>
  <si>
    <t>实际价格</t>
  </si>
  <si>
    <t>期初人机比</t>
  </si>
  <si>
    <t>期末人机比</t>
  </si>
  <si>
    <t>生产增加幅度</t>
  </si>
  <si>
    <t>上期价格</t>
  </si>
  <si>
    <t>单位机时利润</t>
  </si>
  <si>
    <t>总量</t>
  </si>
  <si>
    <t>推荐营销</t>
  </si>
  <si>
    <r>
      <rPr>
        <b/>
        <sz val="12"/>
        <color indexed="9"/>
        <rFont val="宋体"/>
        <charset val="134"/>
      </rPr>
      <t>产品市场</t>
    </r>
    <r>
      <rPr>
        <b/>
        <sz val="12"/>
        <color indexed="9"/>
        <rFont val="Times New Roman"/>
        <charset val="134"/>
      </rPr>
      <t>1</t>
    </r>
  </si>
  <si>
    <r>
      <rPr>
        <b/>
        <sz val="12"/>
        <color indexed="9"/>
        <rFont val="宋体"/>
        <charset val="134"/>
      </rPr>
      <t>产品市场</t>
    </r>
    <r>
      <rPr>
        <b/>
        <sz val="12"/>
        <color indexed="9"/>
        <rFont val="Times New Roman"/>
        <charset val="134"/>
      </rPr>
      <t>2</t>
    </r>
  </si>
  <si>
    <r>
      <rPr>
        <b/>
        <sz val="12"/>
        <color indexed="9"/>
        <rFont val="宋体"/>
        <charset val="134"/>
      </rPr>
      <t>产品市场</t>
    </r>
    <r>
      <rPr>
        <b/>
        <sz val="12"/>
        <color indexed="9"/>
        <rFont val="Times New Roman"/>
        <charset val="134"/>
      </rPr>
      <t>3</t>
    </r>
  </si>
  <si>
    <r>
      <rPr>
        <b/>
        <sz val="12"/>
        <color indexed="9"/>
        <rFont val="宋体"/>
        <charset val="134"/>
      </rPr>
      <t>产品市场</t>
    </r>
    <r>
      <rPr>
        <b/>
        <sz val="12"/>
        <color indexed="9"/>
        <rFont val="Times New Roman"/>
        <charset val="134"/>
      </rPr>
      <t>4</t>
    </r>
  </si>
  <si>
    <t>平均值</t>
  </si>
  <si>
    <t>标准差</t>
  </si>
  <si>
    <r>
      <rPr>
        <b/>
        <sz val="12"/>
        <color indexed="9"/>
        <rFont val="宋体"/>
        <charset val="134"/>
      </rPr>
      <t>第</t>
    </r>
    <r>
      <rPr>
        <b/>
        <sz val="12"/>
        <color indexed="9"/>
        <rFont val="Times New Roman"/>
        <charset val="134"/>
      </rPr>
      <t>8</t>
    </r>
    <r>
      <rPr>
        <b/>
        <sz val="12"/>
        <color indexed="9"/>
        <rFont val="宋体"/>
        <charset val="134"/>
      </rPr>
      <t>期会计项目</t>
    </r>
  </si>
  <si>
    <r>
      <rPr>
        <b/>
        <sz val="12"/>
        <color indexed="9"/>
        <rFont val="宋体"/>
        <charset val="134"/>
      </rPr>
      <t>收</t>
    </r>
    <r>
      <rPr>
        <b/>
        <sz val="12"/>
        <color indexed="9"/>
        <rFont val="Times New Roman"/>
        <charset val="134"/>
      </rPr>
      <t>  </t>
    </r>
    <r>
      <rPr>
        <b/>
        <sz val="12"/>
        <color indexed="9"/>
        <rFont val="宋体"/>
        <charset val="134"/>
      </rPr>
      <t>支</t>
    </r>
  </si>
  <si>
    <t>本期收入</t>
  </si>
  <si>
    <t>本期成本</t>
  </si>
  <si>
    <t>现金累计</t>
  </si>
  <si>
    <t>实际营销</t>
  </si>
  <si>
    <t>市场均价</t>
  </si>
  <si>
    <t>每10W收益</t>
  </si>
  <si>
    <t>单位成本利润</t>
  </si>
  <si>
    <t>当期生产</t>
  </si>
  <si>
    <t>市场总需求</t>
  </si>
  <si>
    <t>剩余工人</t>
  </si>
  <si>
    <t>原料剩余</t>
  </si>
  <si>
    <t>上期均价</t>
  </si>
  <si>
    <t>本公司价格</t>
  </si>
  <si>
    <t>一正机余</t>
  </si>
  <si>
    <t>二正机余</t>
  </si>
  <si>
    <t>二加机余</t>
  </si>
  <si>
    <t>二加工余</t>
  </si>
  <si>
    <t>一加工余</t>
  </si>
  <si>
    <t>产品1总量</t>
  </si>
  <si>
    <t>产品2总量</t>
  </si>
  <si>
    <t>产品3总量</t>
  </si>
  <si>
    <t>产品4总量</t>
  </si>
  <si>
    <t>销售总机时</t>
  </si>
  <si>
    <t>单机利润</t>
  </si>
  <si>
    <t>单机销售</t>
  </si>
  <si>
    <t>预测库存</t>
  </si>
  <si>
    <t>单机利润排名</t>
  </si>
  <si>
    <t>单机销售排名</t>
  </si>
  <si>
    <t>进入市场公司总数</t>
  </si>
  <si>
    <t>财务决策</t>
  </si>
  <si>
    <t>期末公共报表</t>
  </si>
  <si>
    <t>一正机时余</t>
  </si>
  <si>
    <t>二正机时余</t>
  </si>
  <si>
    <t>二加机时余</t>
  </si>
  <si>
    <t>剩余人时</t>
  </si>
  <si>
    <t>自动贷款</t>
  </si>
  <si>
    <t>推荐贷款</t>
  </si>
  <si>
    <t>贷款限额</t>
  </si>
  <si>
    <t>实际贷款</t>
  </si>
  <si>
    <t>上期紧急贷款</t>
  </si>
  <si>
    <t>剩余生产</t>
  </si>
  <si>
    <t>自动排版须预估产量</t>
  </si>
  <si>
    <t>累发债券</t>
  </si>
  <si>
    <t>未还债券</t>
  </si>
  <si>
    <t>推荐债券</t>
  </si>
  <si>
    <t>债券限额</t>
  </si>
  <si>
    <t>实发债券</t>
  </si>
  <si>
    <t>上期平均销量</t>
  </si>
  <si>
    <t>工人安置费</t>
  </si>
  <si>
    <t>拥有国债</t>
  </si>
  <si>
    <t>购入国债</t>
  </si>
  <si>
    <t>分红额度</t>
  </si>
  <si>
    <t>分红安值</t>
  </si>
  <si>
    <t>当期分红</t>
  </si>
  <si>
    <t>特殊工资</t>
  </si>
  <si>
    <t>销售收入实现前现金余额</t>
  </si>
  <si>
    <t>罚分余量</t>
  </si>
  <si>
    <t>须参考单位机时利润</t>
  </si>
  <si>
    <t>工资系数决策</t>
  </si>
  <si>
    <t>上期产品状况</t>
  </si>
  <si>
    <t>预计单机利润</t>
  </si>
  <si>
    <t>原材料决策</t>
  </si>
  <si>
    <t>正品率</t>
  </si>
  <si>
    <t>本期待销</t>
  </si>
  <si>
    <t>预计销售机时</t>
  </si>
  <si>
    <t>1期平均销量</t>
  </si>
  <si>
    <t>期初原材料</t>
  </si>
  <si>
    <t>必要购入</t>
  </si>
  <si>
    <t>推荐购入</t>
  </si>
  <si>
    <t>当期购入</t>
  </si>
  <si>
    <t>期末原材料</t>
  </si>
  <si>
    <t>正品要求</t>
  </si>
  <si>
    <t>预计单机销售</t>
  </si>
  <si>
    <t>预计正品率</t>
  </si>
  <si>
    <t>上期工资系数</t>
  </si>
  <si>
    <t>产品等级浮动</t>
  </si>
  <si>
    <t>推荐工资系数</t>
  </si>
  <si>
    <t>安全工资系数</t>
  </si>
  <si>
    <t>记录工资系数</t>
  </si>
  <si>
    <t>配货比例</t>
  </si>
  <si>
    <t>记录本期利润</t>
  </si>
  <si>
    <t>扩张决策</t>
  </si>
  <si>
    <t>利润差</t>
  </si>
  <si>
    <t>预计需求</t>
  </si>
  <si>
    <t>期初机器</t>
  </si>
  <si>
    <t>下期机器</t>
  </si>
  <si>
    <t>安全推荐</t>
  </si>
  <si>
    <r>
      <rPr>
        <b/>
        <sz val="12"/>
        <color indexed="9"/>
        <rFont val="宋体"/>
        <charset val="134"/>
      </rPr>
      <t>极限</t>
    </r>
    <r>
      <rPr>
        <b/>
        <sz val="12"/>
        <color indexed="9"/>
        <rFont val="Times New Roman"/>
        <charset val="134"/>
      </rPr>
      <t>(0</t>
    </r>
    <r>
      <rPr>
        <b/>
        <sz val="12"/>
        <color indexed="9"/>
        <rFont val="宋体"/>
        <charset val="134"/>
      </rPr>
      <t>分红）</t>
    </r>
  </si>
  <si>
    <r>
      <rPr>
        <b/>
        <sz val="12"/>
        <color theme="0"/>
        <rFont val="宋体"/>
        <charset val="134"/>
      </rPr>
      <t>第</t>
    </r>
    <r>
      <rPr>
        <b/>
        <sz val="12"/>
        <color theme="0"/>
        <rFont val="Times New Roman"/>
        <charset val="134"/>
      </rPr>
      <t>3</t>
    </r>
    <r>
      <rPr>
        <b/>
        <sz val="12"/>
        <color theme="0"/>
        <rFont val="宋体"/>
        <charset val="134"/>
      </rPr>
      <t>期人机比下限</t>
    </r>
  </si>
  <si>
    <t>可运输货物</t>
  </si>
  <si>
    <r>
      <rPr>
        <b/>
        <sz val="12"/>
        <color theme="0"/>
        <rFont val="宋体"/>
        <charset val="134"/>
      </rPr>
      <t>第</t>
    </r>
    <r>
      <rPr>
        <b/>
        <sz val="12"/>
        <color theme="0"/>
        <rFont val="Times New Roman"/>
        <charset val="134"/>
      </rPr>
      <t>3</t>
    </r>
    <r>
      <rPr>
        <b/>
        <sz val="12"/>
        <color theme="0"/>
        <rFont val="宋体"/>
        <charset val="134"/>
      </rPr>
      <t>期人机比上限</t>
    </r>
  </si>
  <si>
    <t>平均</t>
  </si>
  <si>
    <t>数量</t>
  </si>
  <si>
    <t>第一期定价</t>
  </si>
  <si>
    <t>市场一</t>
  </si>
  <si>
    <t>市场二</t>
  </si>
  <si>
    <t>市场三</t>
  </si>
  <si>
    <t>市场四</t>
  </si>
  <si>
    <t>可运输余量</t>
  </si>
  <si>
    <t>产品一</t>
  </si>
  <si>
    <t>预计库存</t>
  </si>
  <si>
    <t>估资本利润</t>
  </si>
  <si>
    <t>生产结构</t>
  </si>
  <si>
    <t>产品二</t>
  </si>
  <si>
    <t>仓库库存</t>
  </si>
  <si>
    <t>产品三</t>
  </si>
  <si>
    <t>产品四</t>
  </si>
  <si>
    <t>推荐运量</t>
  </si>
  <si>
    <t>预计均价</t>
  </si>
  <si>
    <t>预计预定</t>
  </si>
  <si>
    <t>第一期参考定价</t>
  </si>
  <si>
    <r>
      <rPr>
        <b/>
        <sz val="12"/>
        <color indexed="9"/>
        <rFont val="宋体"/>
        <charset val="134"/>
      </rPr>
      <t>纳</t>
    </r>
    <r>
      <rPr>
        <b/>
        <sz val="12"/>
        <color indexed="9"/>
        <rFont val="Times New Roman"/>
        <charset val="134"/>
      </rPr>
      <t>  </t>
    </r>
    <r>
      <rPr>
        <b/>
        <sz val="12"/>
        <color indexed="9"/>
        <rFont val="宋体"/>
        <charset val="134"/>
      </rPr>
      <t>税</t>
    </r>
  </si>
  <si>
    <t>本期运输</t>
  </si>
  <si>
    <r>
      <rPr>
        <b/>
        <sz val="12"/>
        <color indexed="9"/>
        <rFont val="宋体"/>
        <charset val="134"/>
      </rPr>
      <t>分</t>
    </r>
    <r>
      <rPr>
        <b/>
        <sz val="12"/>
        <color indexed="9"/>
        <rFont val="Times New Roman"/>
        <charset val="134"/>
      </rPr>
      <t>  </t>
    </r>
    <r>
      <rPr>
        <b/>
        <sz val="12"/>
        <color indexed="9"/>
        <rFont val="宋体"/>
        <charset val="134"/>
      </rPr>
      <t>红</t>
    </r>
  </si>
  <si>
    <t>预计废品</t>
  </si>
  <si>
    <r>
      <rPr>
        <b/>
        <sz val="12"/>
        <color indexed="9"/>
        <rFont val="宋体"/>
        <charset val="134"/>
      </rPr>
      <t>项</t>
    </r>
    <r>
      <rPr>
        <b/>
        <sz val="12"/>
        <color indexed="9"/>
        <rFont val="Times New Roman"/>
        <charset val="134"/>
      </rPr>
      <t>  </t>
    </r>
    <r>
      <rPr>
        <b/>
        <sz val="12"/>
        <color indexed="9"/>
        <rFont val="宋体"/>
        <charset val="134"/>
      </rPr>
      <t>目</t>
    </r>
  </si>
  <si>
    <r>
      <rPr>
        <b/>
        <sz val="12"/>
        <color indexed="9"/>
        <rFont val="宋体"/>
        <charset val="134"/>
      </rPr>
      <t>金</t>
    </r>
    <r>
      <rPr>
        <b/>
        <sz val="12"/>
        <color indexed="9"/>
        <rFont val="Times New Roman"/>
        <charset val="134"/>
      </rPr>
      <t>  </t>
    </r>
    <r>
      <rPr>
        <b/>
        <sz val="12"/>
        <color indexed="9"/>
        <rFont val="宋体"/>
        <charset val="134"/>
      </rPr>
      <t>额</t>
    </r>
  </si>
  <si>
    <r>
      <rPr>
        <b/>
        <sz val="12"/>
        <color indexed="9"/>
        <rFont val="宋体"/>
        <charset val="134"/>
      </rPr>
      <t>累</t>
    </r>
    <r>
      <rPr>
        <b/>
        <sz val="12"/>
        <color indexed="9"/>
        <rFont val="Times New Roman"/>
        <charset val="134"/>
      </rPr>
      <t>  </t>
    </r>
    <r>
      <rPr>
        <b/>
        <sz val="12"/>
        <color indexed="9"/>
        <rFont val="宋体"/>
        <charset val="134"/>
      </rPr>
      <t>计</t>
    </r>
  </si>
  <si>
    <r>
      <rPr>
        <b/>
        <sz val="12"/>
        <color indexed="9"/>
        <rFont val="宋体"/>
        <charset val="134"/>
      </rPr>
      <t>指</t>
    </r>
    <r>
      <rPr>
        <b/>
        <sz val="12"/>
        <color indexed="9"/>
        <rFont val="Times New Roman"/>
        <charset val="134"/>
      </rPr>
      <t>  </t>
    </r>
    <r>
      <rPr>
        <b/>
        <sz val="12"/>
        <color indexed="9"/>
        <rFont val="宋体"/>
        <charset val="134"/>
      </rPr>
      <t>标</t>
    </r>
  </si>
  <si>
    <r>
      <rPr>
        <b/>
        <sz val="12"/>
        <color indexed="9"/>
        <rFont val="宋体"/>
        <charset val="134"/>
      </rPr>
      <t>数</t>
    </r>
    <r>
      <rPr>
        <b/>
        <sz val="12"/>
        <color indexed="9"/>
        <rFont val="Times New Roman"/>
        <charset val="134"/>
      </rPr>
      <t>  </t>
    </r>
    <r>
      <rPr>
        <b/>
        <sz val="12"/>
        <color indexed="9"/>
        <rFont val="宋体"/>
        <charset val="134"/>
      </rPr>
      <t>值</t>
    </r>
  </si>
  <si>
    <t>运输总量</t>
  </si>
  <si>
    <r>
      <rPr>
        <b/>
        <sz val="12"/>
        <color indexed="9"/>
        <rFont val="宋体"/>
        <charset val="134"/>
      </rPr>
      <t>现</t>
    </r>
    <r>
      <rPr>
        <b/>
        <sz val="12"/>
        <color indexed="9"/>
        <rFont val="Times New Roman"/>
        <charset val="134"/>
      </rPr>
      <t>  </t>
    </r>
    <r>
      <rPr>
        <b/>
        <sz val="12"/>
        <color indexed="9"/>
        <rFont val="宋体"/>
        <charset val="134"/>
      </rPr>
      <t>金</t>
    </r>
  </si>
  <si>
    <r>
      <rPr>
        <b/>
        <sz val="12"/>
        <color indexed="9"/>
        <rFont val="宋体"/>
        <charset val="134"/>
      </rPr>
      <t>国</t>
    </r>
    <r>
      <rPr>
        <b/>
        <sz val="12"/>
        <color indexed="9"/>
        <rFont val="Times New Roman"/>
        <charset val="134"/>
      </rPr>
      <t>  </t>
    </r>
    <r>
      <rPr>
        <b/>
        <sz val="12"/>
        <color indexed="9"/>
        <rFont val="宋体"/>
        <charset val="134"/>
      </rPr>
      <t>债</t>
    </r>
  </si>
  <si>
    <r>
      <rPr>
        <b/>
        <sz val="12"/>
        <color indexed="9"/>
        <rFont val="宋体"/>
        <charset val="134"/>
      </rPr>
      <t>产</t>
    </r>
    <r>
      <rPr>
        <b/>
        <sz val="12"/>
        <color indexed="9"/>
        <rFont val="Times New Roman"/>
        <charset val="134"/>
      </rPr>
      <t>  </t>
    </r>
    <r>
      <rPr>
        <b/>
        <sz val="12"/>
        <color indexed="9"/>
        <rFont val="宋体"/>
        <charset val="134"/>
      </rPr>
      <t>品</t>
    </r>
    <r>
      <rPr>
        <b/>
        <sz val="12"/>
        <color indexed="9"/>
        <rFont val="Times New Roman"/>
        <charset val="134"/>
      </rPr>
      <t>1</t>
    </r>
  </si>
  <si>
    <t>现  金</t>
  </si>
  <si>
    <t>库存量</t>
  </si>
  <si>
    <r>
      <rPr>
        <b/>
        <sz val="12"/>
        <color indexed="9"/>
        <rFont val="宋体"/>
        <charset val="134"/>
      </rPr>
      <t>产</t>
    </r>
    <r>
      <rPr>
        <b/>
        <sz val="12"/>
        <color indexed="9"/>
        <rFont val="Times New Roman"/>
        <charset val="134"/>
      </rPr>
      <t>  </t>
    </r>
    <r>
      <rPr>
        <b/>
        <sz val="12"/>
        <color indexed="9"/>
        <rFont val="宋体"/>
        <charset val="134"/>
      </rPr>
      <t>品</t>
    </r>
    <r>
      <rPr>
        <b/>
        <sz val="12"/>
        <color indexed="9"/>
        <rFont val="Times New Roman"/>
        <charset val="134"/>
      </rPr>
      <t>2</t>
    </r>
  </si>
  <si>
    <t>对应产量</t>
  </si>
  <si>
    <r>
      <rPr>
        <b/>
        <sz val="12"/>
        <color indexed="9"/>
        <rFont val="宋体"/>
        <charset val="134"/>
      </rPr>
      <t>产</t>
    </r>
    <r>
      <rPr>
        <b/>
        <sz val="12"/>
        <color indexed="9"/>
        <rFont val="Times New Roman"/>
        <charset val="134"/>
      </rPr>
      <t>  </t>
    </r>
    <r>
      <rPr>
        <b/>
        <sz val="12"/>
        <color indexed="9"/>
        <rFont val="宋体"/>
        <charset val="134"/>
      </rPr>
      <t>品</t>
    </r>
    <r>
      <rPr>
        <b/>
        <sz val="12"/>
        <color indexed="9"/>
        <rFont val="Times New Roman"/>
        <charset val="134"/>
      </rPr>
      <t>3</t>
    </r>
  </si>
  <si>
    <r>
      <rPr>
        <b/>
        <sz val="12"/>
        <color indexed="9"/>
        <rFont val="宋体"/>
        <charset val="134"/>
      </rPr>
      <t>产</t>
    </r>
    <r>
      <rPr>
        <b/>
        <sz val="12"/>
        <color indexed="9"/>
        <rFont val="Times New Roman"/>
        <charset val="134"/>
      </rPr>
      <t>  </t>
    </r>
    <r>
      <rPr>
        <b/>
        <sz val="12"/>
        <color indexed="9"/>
        <rFont val="宋体"/>
        <charset val="134"/>
      </rPr>
      <t>品</t>
    </r>
    <r>
      <rPr>
        <b/>
        <sz val="12"/>
        <color indexed="9"/>
        <rFont val="Times New Roman"/>
        <charset val="134"/>
      </rPr>
      <t>4</t>
    </r>
  </si>
  <si>
    <t>国  债</t>
  </si>
  <si>
    <t>债  券</t>
  </si>
  <si>
    <r>
      <rPr>
        <b/>
        <sz val="12"/>
        <color indexed="9"/>
        <rFont val="宋体"/>
        <charset val="134"/>
      </rPr>
      <t>合</t>
    </r>
    <r>
      <rPr>
        <b/>
        <sz val="12"/>
        <color indexed="9"/>
        <rFont val="Times New Roman"/>
        <charset val="134"/>
      </rPr>
      <t>  </t>
    </r>
    <r>
      <rPr>
        <b/>
        <sz val="12"/>
        <color indexed="9"/>
        <rFont val="宋体"/>
        <charset val="134"/>
      </rPr>
      <t>计</t>
    </r>
  </si>
  <si>
    <t>条件检验</t>
  </si>
  <si>
    <t>总资本利润率</t>
  </si>
  <si>
    <t>预计偿还债券本金</t>
  </si>
  <si>
    <t>预计未偿还债券</t>
  </si>
  <si>
    <t>预计累发债券</t>
  </si>
  <si>
    <t>预计本期发行债券</t>
  </si>
  <si>
    <t>预计债券</t>
  </si>
  <si>
    <t>预计资本利润率</t>
  </si>
  <si>
    <t>上期期末现金与本期成本最大值</t>
  </si>
  <si>
    <t>第9期会计项目</t>
  </si>
  <si>
    <t>机器利用率检验数(尽可能小）</t>
  </si>
  <si>
    <t>产品市场1</t>
  </si>
  <si>
    <t>2期平均销量</t>
  </si>
  <si>
    <t>第二期参考定价</t>
  </si>
  <si>
    <t>需求差</t>
  </si>
  <si>
    <t>单位价格影响</t>
  </si>
  <si>
    <r>
      <rPr>
        <b/>
        <sz val="12"/>
        <color indexed="9"/>
        <rFont val="宋体"/>
        <charset val="134"/>
      </rPr>
      <t>达到组内</t>
    </r>
    <r>
      <rPr>
        <b/>
        <sz val="12"/>
        <color indexed="10"/>
        <rFont val="宋体"/>
        <charset val="134"/>
      </rPr>
      <t>上期</t>
    </r>
    <r>
      <rPr>
        <b/>
        <sz val="12"/>
        <color indexed="9"/>
        <rFont val="宋体"/>
        <charset val="134"/>
      </rPr>
      <t>平均市场份额所必须的产品分销量</t>
    </r>
  </si>
  <si>
    <t>总计</t>
  </si>
  <si>
    <t>定价区域</t>
  </si>
  <si>
    <t>机器利用率检验数</t>
  </si>
  <si>
    <t>3期平均销量</t>
  </si>
  <si>
    <r>
      <rPr>
        <b/>
        <sz val="12"/>
        <color theme="0"/>
        <rFont val="宋体"/>
        <charset val="134"/>
      </rPr>
      <t>极限</t>
    </r>
    <r>
      <rPr>
        <b/>
        <sz val="12"/>
        <color theme="0"/>
        <rFont val="Times New Roman"/>
        <charset val="134"/>
      </rPr>
      <t>(0</t>
    </r>
    <r>
      <rPr>
        <b/>
        <sz val="12"/>
        <color theme="0"/>
        <rFont val="宋体"/>
        <charset val="134"/>
      </rPr>
      <t>分红）</t>
    </r>
  </si>
  <si>
    <t>均价变动值</t>
  </si>
  <si>
    <t>价格弹性</t>
  </si>
  <si>
    <t>估计价格</t>
  </si>
  <si>
    <t>需求变动比例</t>
  </si>
  <si>
    <t>价格变化</t>
  </si>
  <si>
    <t>需求变化</t>
  </si>
  <si>
    <t>上期市场变动</t>
  </si>
  <si>
    <t>是否破产</t>
  </si>
  <si>
    <t>第3期会计项目</t>
  </si>
  <si>
    <t>(-179,269.23)</t>
  </si>
  <si>
    <t>0.5权重</t>
  </si>
  <si>
    <t>分红决策</t>
  </si>
  <si>
    <t>差值</t>
  </si>
  <si>
    <t>4期平均销量</t>
  </si>
  <si>
    <t>均价变动比例</t>
  </si>
  <si>
    <t>需求变动</t>
  </si>
  <si>
    <t>市场容量（上一期）</t>
  </si>
  <si>
    <t>弹性变化</t>
  </si>
  <si>
    <t>预计弹性</t>
  </si>
  <si>
    <t>破产数量</t>
  </si>
  <si>
    <t>市场提醒</t>
  </si>
  <si>
    <t>市场波动变化</t>
  </si>
  <si>
    <t>第4期会计项目</t>
  </si>
  <si>
    <t>(-152,038.46)</t>
  </si>
  <si>
    <r>
      <rPr>
        <b/>
        <sz val="12"/>
        <color indexed="9"/>
        <rFont val="宋体"/>
        <charset val="134"/>
      </rPr>
      <t>市场</t>
    </r>
    <r>
      <rPr>
        <b/>
        <sz val="12"/>
        <rFont val="Times New Roman"/>
        <charset val="134"/>
      </rPr>
      <t>1</t>
    </r>
  </si>
  <si>
    <r>
      <rPr>
        <b/>
        <sz val="12"/>
        <color indexed="9"/>
        <rFont val="宋体"/>
        <charset val="134"/>
      </rPr>
      <t>市场</t>
    </r>
    <r>
      <rPr>
        <b/>
        <sz val="12"/>
        <rFont val="Times New Roman"/>
        <charset val="134"/>
      </rPr>
      <t>2</t>
    </r>
  </si>
  <si>
    <r>
      <rPr>
        <b/>
        <sz val="12"/>
        <color indexed="9"/>
        <rFont val="宋体"/>
        <charset val="134"/>
      </rPr>
      <t>市场</t>
    </r>
    <r>
      <rPr>
        <b/>
        <sz val="12"/>
        <rFont val="Times New Roman"/>
        <charset val="134"/>
      </rPr>
      <t>3</t>
    </r>
  </si>
  <si>
    <r>
      <rPr>
        <b/>
        <sz val="12"/>
        <color indexed="9"/>
        <rFont val="宋体"/>
        <charset val="134"/>
      </rPr>
      <t>市场</t>
    </r>
    <r>
      <rPr>
        <b/>
        <sz val="12"/>
        <rFont val="Times New Roman"/>
        <charset val="134"/>
      </rPr>
      <t>4</t>
    </r>
  </si>
  <si>
    <t>5期平均销量</t>
  </si>
  <si>
    <r>
      <rPr>
        <b/>
        <sz val="13"/>
        <color indexed="8"/>
        <rFont val="宋体"/>
        <charset val="134"/>
      </rPr>
      <t>注：未模拟时利用系统</t>
    </r>
    <r>
      <rPr>
        <b/>
        <sz val="13"/>
        <color indexed="8"/>
        <rFont val="Times New Roman"/>
        <charset val="134"/>
      </rPr>
      <t>BUG</t>
    </r>
    <r>
      <rPr>
        <b/>
        <sz val="13"/>
        <color indexed="8"/>
        <rFont val="宋体"/>
        <charset val="134"/>
      </rPr>
      <t>获取对手本期价格</t>
    </r>
  </si>
  <si>
    <t>第5期会计项目</t>
  </si>
  <si>
    <t>(-99,846.15)</t>
  </si>
  <si>
    <t>6期平均销量</t>
  </si>
  <si>
    <t>第6期会计项目</t>
  </si>
  <si>
    <t>(-24,961.54)</t>
  </si>
  <si>
    <t>产  品</t>
  </si>
  <si>
    <t>市  场</t>
  </si>
  <si>
    <t>上期预订(件)</t>
  </si>
  <si>
    <t>本期需求(件)</t>
  </si>
  <si>
    <t>本期销售(件)</t>
  </si>
  <si>
    <t>市场份额(%)</t>
  </si>
  <si>
    <t>下期订货(件)</t>
  </si>
  <si>
    <t>期末库存(件)</t>
  </si>
  <si>
    <t>废  品(件)</t>
  </si>
  <si>
    <r>
      <rPr>
        <b/>
        <sz val="12"/>
        <color theme="0"/>
        <rFont val="宋体"/>
        <charset val="134"/>
      </rPr>
      <t>产品市场</t>
    </r>
    <r>
      <rPr>
        <b/>
        <sz val="12"/>
        <color theme="0"/>
        <rFont val="Times New Roman"/>
        <charset val="134"/>
      </rPr>
      <t>1</t>
    </r>
  </si>
  <si>
    <r>
      <rPr>
        <b/>
        <sz val="12"/>
        <color theme="0"/>
        <rFont val="宋体"/>
        <charset val="134"/>
      </rPr>
      <t>产品市场</t>
    </r>
    <r>
      <rPr>
        <b/>
        <sz val="12"/>
        <color theme="0"/>
        <rFont val="Times New Roman"/>
        <charset val="134"/>
      </rPr>
      <t>2</t>
    </r>
  </si>
  <si>
    <r>
      <rPr>
        <b/>
        <sz val="12"/>
        <color theme="0"/>
        <rFont val="宋体"/>
        <charset val="134"/>
      </rPr>
      <t>产品市场</t>
    </r>
    <r>
      <rPr>
        <b/>
        <sz val="12"/>
        <color theme="0"/>
        <rFont val="Times New Roman"/>
        <charset val="134"/>
      </rPr>
      <t>3</t>
    </r>
  </si>
  <si>
    <r>
      <rPr>
        <b/>
        <sz val="12"/>
        <color theme="0"/>
        <rFont val="宋体"/>
        <charset val="134"/>
      </rPr>
      <t>产品市场</t>
    </r>
    <r>
      <rPr>
        <b/>
        <sz val="12"/>
        <color theme="0"/>
        <rFont val="Times New Roman"/>
        <charset val="134"/>
      </rPr>
      <t>4</t>
    </r>
  </si>
  <si>
    <r>
      <rPr>
        <b/>
        <sz val="12"/>
        <color rgb="FFFFFFFF"/>
        <rFont val="宋体"/>
        <charset val="134"/>
      </rPr>
      <t>产品</t>
    </r>
    <r>
      <rPr>
        <b/>
        <sz val="12"/>
        <color rgb="FFFFFFFF"/>
        <rFont val="Times New Roman"/>
        <charset val="134"/>
      </rPr>
      <t>1</t>
    </r>
  </si>
  <si>
    <r>
      <rPr>
        <b/>
        <sz val="12"/>
        <color rgb="FFFFFFFF"/>
        <rFont val="宋体"/>
        <charset val="134"/>
      </rPr>
      <t>产品</t>
    </r>
    <r>
      <rPr>
        <b/>
        <sz val="12"/>
        <color rgb="FFFFFFFF"/>
        <rFont val="Times New Roman"/>
        <charset val="134"/>
      </rPr>
      <t>2</t>
    </r>
  </si>
  <si>
    <r>
      <rPr>
        <b/>
        <sz val="12"/>
        <color rgb="FFFFFFFF"/>
        <rFont val="宋体"/>
        <charset val="134"/>
      </rPr>
      <t>产品</t>
    </r>
    <r>
      <rPr>
        <b/>
        <sz val="12"/>
        <color rgb="FFFFFFFF"/>
        <rFont val="Times New Roman"/>
        <charset val="134"/>
      </rPr>
      <t>3</t>
    </r>
  </si>
  <si>
    <r>
      <rPr>
        <b/>
        <sz val="12"/>
        <color rgb="FFFFFFFF"/>
        <rFont val="宋体"/>
        <charset val="134"/>
      </rPr>
      <t>产品</t>
    </r>
    <r>
      <rPr>
        <b/>
        <sz val="12"/>
        <color rgb="FFFFFFFF"/>
        <rFont val="Times New Roman"/>
        <charset val="134"/>
      </rPr>
      <t>4</t>
    </r>
  </si>
  <si>
    <r>
      <rPr>
        <sz val="12"/>
        <color theme="0"/>
        <rFont val="宋体"/>
        <charset val="134"/>
      </rPr>
      <t>产品</t>
    </r>
    <r>
      <rPr>
        <sz val="12"/>
        <color theme="0"/>
        <rFont val="Times New Roman"/>
        <charset val="134"/>
      </rPr>
      <t>2</t>
    </r>
  </si>
  <si>
    <r>
      <rPr>
        <sz val="12"/>
        <color theme="0"/>
        <rFont val="宋体"/>
        <charset val="134"/>
      </rPr>
      <t>产品</t>
    </r>
    <r>
      <rPr>
        <sz val="12"/>
        <color theme="0"/>
        <rFont val="Times New Roman"/>
        <charset val="134"/>
      </rPr>
      <t>3</t>
    </r>
  </si>
  <si>
    <r>
      <rPr>
        <sz val="12"/>
        <color theme="0"/>
        <rFont val="宋体"/>
        <charset val="134"/>
      </rPr>
      <t>产品</t>
    </r>
    <r>
      <rPr>
        <sz val="12"/>
        <color theme="0"/>
        <rFont val="Times New Roman"/>
        <charset val="134"/>
      </rPr>
      <t>4</t>
    </r>
  </si>
  <si>
    <t>7期平均销量</t>
  </si>
  <si>
    <r>
      <rPr>
        <b/>
        <sz val="12"/>
        <color rgb="FFFFFFFF"/>
        <rFont val="宋体"/>
        <charset val="134"/>
      </rPr>
      <t>市场</t>
    </r>
    <r>
      <rPr>
        <b/>
        <sz val="12"/>
        <color rgb="FFFFFFFF"/>
        <rFont val="Times New Roman"/>
        <charset val="134"/>
      </rPr>
      <t>1</t>
    </r>
  </si>
  <si>
    <r>
      <rPr>
        <b/>
        <sz val="12"/>
        <color rgb="FFFFFFFF"/>
        <rFont val="宋体"/>
        <charset val="134"/>
      </rPr>
      <t>市场</t>
    </r>
    <r>
      <rPr>
        <b/>
        <sz val="12"/>
        <color rgb="FFFFFFFF"/>
        <rFont val="Times New Roman"/>
        <charset val="134"/>
      </rPr>
      <t>2</t>
    </r>
  </si>
  <si>
    <r>
      <rPr>
        <b/>
        <sz val="12"/>
        <color rgb="FFFFFFFF"/>
        <rFont val="宋体"/>
        <charset val="134"/>
      </rPr>
      <t>市场</t>
    </r>
    <r>
      <rPr>
        <b/>
        <sz val="12"/>
        <color rgb="FFFFFFFF"/>
        <rFont val="Times New Roman"/>
        <charset val="134"/>
      </rPr>
      <t>3</t>
    </r>
  </si>
  <si>
    <r>
      <rPr>
        <b/>
        <sz val="12"/>
        <color rgb="FFFFFFFF"/>
        <rFont val="宋体"/>
        <charset val="134"/>
      </rPr>
      <t>市场</t>
    </r>
    <r>
      <rPr>
        <b/>
        <sz val="12"/>
        <color rgb="FFFFFFFF"/>
        <rFont val="Times New Roman"/>
        <charset val="134"/>
      </rPr>
      <t>4</t>
    </r>
  </si>
  <si>
    <t>达到组内上期平均市场份额所必须的产品分销量</t>
  </si>
  <si>
    <t>第7期会计项目</t>
  </si>
  <si>
    <r>
      <rPr>
        <b/>
        <sz val="12"/>
        <color theme="0"/>
        <rFont val="宋体"/>
        <charset val="134"/>
      </rPr>
      <t>第</t>
    </r>
    <r>
      <rPr>
        <b/>
        <sz val="12"/>
        <color theme="0"/>
        <rFont val="Times New Roman"/>
        <charset val="134"/>
      </rPr>
      <t>8</t>
    </r>
    <r>
      <rPr>
        <b/>
        <sz val="12"/>
        <color theme="0"/>
        <rFont val="宋体"/>
        <charset val="134"/>
      </rPr>
      <t>期会计项目</t>
    </r>
  </si>
  <si>
    <r>
      <rPr>
        <b/>
        <sz val="12"/>
        <color theme="0"/>
        <rFont val="宋体"/>
        <charset val="134"/>
      </rPr>
      <t>收</t>
    </r>
    <r>
      <rPr>
        <b/>
        <sz val="12"/>
        <color theme="0"/>
        <rFont val="Times New Roman"/>
        <charset val="134"/>
      </rPr>
      <t>  </t>
    </r>
    <r>
      <rPr>
        <b/>
        <sz val="12"/>
        <color theme="0"/>
        <rFont val="宋体"/>
        <charset val="134"/>
      </rPr>
      <t>支</t>
    </r>
  </si>
  <si>
    <t>8期平均销量</t>
  </si>
  <si>
    <r>
      <rPr>
        <b/>
        <sz val="12"/>
        <color theme="0"/>
        <rFont val="宋体"/>
        <charset val="134"/>
      </rPr>
      <t>纳</t>
    </r>
    <r>
      <rPr>
        <b/>
        <sz val="12"/>
        <color theme="0"/>
        <rFont val="Times New Roman"/>
        <charset val="134"/>
      </rPr>
      <t>  </t>
    </r>
    <r>
      <rPr>
        <b/>
        <sz val="12"/>
        <color theme="0"/>
        <rFont val="宋体"/>
        <charset val="134"/>
      </rPr>
      <t>税</t>
    </r>
  </si>
  <si>
    <r>
      <rPr>
        <b/>
        <sz val="12"/>
        <color theme="0"/>
        <rFont val="宋体"/>
        <charset val="134"/>
      </rPr>
      <t>分</t>
    </r>
    <r>
      <rPr>
        <b/>
        <sz val="12"/>
        <color theme="0"/>
        <rFont val="Times New Roman"/>
        <charset val="134"/>
      </rPr>
      <t>  </t>
    </r>
    <r>
      <rPr>
        <b/>
        <sz val="12"/>
        <color theme="0"/>
        <rFont val="宋体"/>
        <charset val="134"/>
      </rPr>
      <t>红</t>
    </r>
  </si>
  <si>
    <r>
      <rPr>
        <b/>
        <sz val="12"/>
        <color theme="0"/>
        <rFont val="宋体"/>
        <charset val="134"/>
      </rPr>
      <t>项</t>
    </r>
    <r>
      <rPr>
        <b/>
        <sz val="12"/>
        <color theme="0"/>
        <rFont val="Times New Roman"/>
        <charset val="134"/>
      </rPr>
      <t>  </t>
    </r>
    <r>
      <rPr>
        <b/>
        <sz val="12"/>
        <color theme="0"/>
        <rFont val="宋体"/>
        <charset val="134"/>
      </rPr>
      <t>目</t>
    </r>
  </si>
  <si>
    <r>
      <rPr>
        <b/>
        <sz val="12"/>
        <color theme="0"/>
        <rFont val="宋体"/>
        <charset val="134"/>
      </rPr>
      <t>金</t>
    </r>
    <r>
      <rPr>
        <b/>
        <sz val="12"/>
        <color theme="0"/>
        <rFont val="Times New Roman"/>
        <charset val="134"/>
      </rPr>
      <t>  </t>
    </r>
    <r>
      <rPr>
        <b/>
        <sz val="12"/>
        <color theme="0"/>
        <rFont val="宋体"/>
        <charset val="134"/>
      </rPr>
      <t>额</t>
    </r>
  </si>
  <si>
    <r>
      <rPr>
        <b/>
        <sz val="12"/>
        <color theme="0"/>
        <rFont val="宋体"/>
        <charset val="134"/>
      </rPr>
      <t>累</t>
    </r>
    <r>
      <rPr>
        <b/>
        <sz val="12"/>
        <color theme="0"/>
        <rFont val="Times New Roman"/>
        <charset val="134"/>
      </rPr>
      <t>  </t>
    </r>
    <r>
      <rPr>
        <b/>
        <sz val="12"/>
        <color theme="0"/>
        <rFont val="宋体"/>
        <charset val="134"/>
      </rPr>
      <t>计</t>
    </r>
  </si>
  <si>
    <r>
      <rPr>
        <b/>
        <sz val="12"/>
        <color theme="0"/>
        <rFont val="宋体"/>
        <charset val="134"/>
      </rPr>
      <t>指</t>
    </r>
    <r>
      <rPr>
        <b/>
        <sz val="12"/>
        <color theme="0"/>
        <rFont val="Times New Roman"/>
        <charset val="134"/>
      </rPr>
      <t>  </t>
    </r>
    <r>
      <rPr>
        <b/>
        <sz val="12"/>
        <color theme="0"/>
        <rFont val="宋体"/>
        <charset val="134"/>
      </rPr>
      <t>标</t>
    </r>
  </si>
  <si>
    <r>
      <rPr>
        <b/>
        <sz val="12"/>
        <color theme="0"/>
        <rFont val="宋体"/>
        <charset val="134"/>
      </rPr>
      <t>数</t>
    </r>
    <r>
      <rPr>
        <b/>
        <sz val="12"/>
        <color theme="0"/>
        <rFont val="Times New Roman"/>
        <charset val="134"/>
      </rPr>
      <t>  </t>
    </r>
    <r>
      <rPr>
        <b/>
        <sz val="12"/>
        <color theme="0"/>
        <rFont val="宋体"/>
        <charset val="134"/>
      </rPr>
      <t>值</t>
    </r>
  </si>
  <si>
    <r>
      <rPr>
        <b/>
        <sz val="12"/>
        <color theme="0"/>
        <rFont val="宋体"/>
        <charset val="134"/>
      </rPr>
      <t>现</t>
    </r>
    <r>
      <rPr>
        <b/>
        <sz val="12"/>
        <color theme="0"/>
        <rFont val="Times New Roman"/>
        <charset val="134"/>
      </rPr>
      <t>  </t>
    </r>
    <r>
      <rPr>
        <b/>
        <sz val="12"/>
        <color theme="0"/>
        <rFont val="宋体"/>
        <charset val="134"/>
      </rPr>
      <t>金</t>
    </r>
  </si>
  <si>
    <r>
      <rPr>
        <b/>
        <sz val="12"/>
        <color theme="0"/>
        <rFont val="宋体"/>
        <charset val="134"/>
      </rPr>
      <t>国</t>
    </r>
    <r>
      <rPr>
        <b/>
        <sz val="12"/>
        <color theme="0"/>
        <rFont val="Times New Roman"/>
        <charset val="134"/>
      </rPr>
      <t>  </t>
    </r>
    <r>
      <rPr>
        <b/>
        <sz val="12"/>
        <color theme="0"/>
        <rFont val="宋体"/>
        <charset val="134"/>
      </rPr>
      <t>债</t>
    </r>
  </si>
  <si>
    <r>
      <rPr>
        <b/>
        <sz val="12"/>
        <color theme="0"/>
        <rFont val="宋体"/>
        <charset val="134"/>
      </rPr>
      <t>产</t>
    </r>
    <r>
      <rPr>
        <b/>
        <sz val="12"/>
        <color theme="0"/>
        <rFont val="Times New Roman"/>
        <charset val="134"/>
      </rPr>
      <t>  </t>
    </r>
    <r>
      <rPr>
        <b/>
        <sz val="12"/>
        <color theme="0"/>
        <rFont val="宋体"/>
        <charset val="134"/>
      </rPr>
      <t>品</t>
    </r>
    <r>
      <rPr>
        <b/>
        <sz val="12"/>
        <color theme="0"/>
        <rFont val="Times New Roman"/>
        <charset val="134"/>
      </rPr>
      <t>1</t>
    </r>
  </si>
  <si>
    <r>
      <rPr>
        <b/>
        <sz val="12"/>
        <color theme="0"/>
        <rFont val="宋体"/>
        <charset val="134"/>
      </rPr>
      <t>产</t>
    </r>
    <r>
      <rPr>
        <b/>
        <sz val="12"/>
        <color theme="0"/>
        <rFont val="Times New Roman"/>
        <charset val="134"/>
      </rPr>
      <t>  </t>
    </r>
    <r>
      <rPr>
        <b/>
        <sz val="12"/>
        <color theme="0"/>
        <rFont val="宋体"/>
        <charset val="134"/>
      </rPr>
      <t>品</t>
    </r>
    <r>
      <rPr>
        <b/>
        <sz val="12"/>
        <color theme="0"/>
        <rFont val="Times New Roman"/>
        <charset val="134"/>
      </rPr>
      <t>2</t>
    </r>
  </si>
  <si>
    <r>
      <rPr>
        <b/>
        <sz val="12"/>
        <color theme="0"/>
        <rFont val="宋体"/>
        <charset val="134"/>
      </rPr>
      <t>产</t>
    </r>
    <r>
      <rPr>
        <b/>
        <sz val="12"/>
        <color theme="0"/>
        <rFont val="Times New Roman"/>
        <charset val="134"/>
      </rPr>
      <t>  </t>
    </r>
    <r>
      <rPr>
        <b/>
        <sz val="12"/>
        <color theme="0"/>
        <rFont val="宋体"/>
        <charset val="134"/>
      </rPr>
      <t>品</t>
    </r>
    <r>
      <rPr>
        <b/>
        <sz val="12"/>
        <color theme="0"/>
        <rFont val="Times New Roman"/>
        <charset val="134"/>
      </rPr>
      <t>3</t>
    </r>
  </si>
  <si>
    <r>
      <rPr>
        <b/>
        <sz val="12"/>
        <color theme="0"/>
        <rFont val="宋体"/>
        <charset val="134"/>
      </rPr>
      <t>产</t>
    </r>
    <r>
      <rPr>
        <b/>
        <sz val="12"/>
        <color theme="0"/>
        <rFont val="Times New Roman"/>
        <charset val="134"/>
      </rPr>
      <t>  </t>
    </r>
    <r>
      <rPr>
        <b/>
        <sz val="12"/>
        <color theme="0"/>
        <rFont val="宋体"/>
        <charset val="134"/>
      </rPr>
      <t>品</t>
    </r>
    <r>
      <rPr>
        <b/>
        <sz val="12"/>
        <color theme="0"/>
        <rFont val="Times New Roman"/>
        <charset val="134"/>
      </rPr>
      <t>4</t>
    </r>
  </si>
  <si>
    <r>
      <rPr>
        <b/>
        <sz val="12"/>
        <color theme="0"/>
        <rFont val="宋体"/>
        <charset val="134"/>
      </rPr>
      <t>合</t>
    </r>
    <r>
      <rPr>
        <b/>
        <sz val="12"/>
        <color theme="0"/>
        <rFont val="Times New Roman"/>
        <charset val="134"/>
      </rPr>
      <t>  </t>
    </r>
    <r>
      <rPr>
        <b/>
        <sz val="12"/>
        <color theme="0"/>
        <rFont val="宋体"/>
        <charset val="134"/>
      </rPr>
      <t>计</t>
    </r>
  </si>
  <si>
    <t>本企业价格</t>
  </si>
  <si>
    <t>A1</t>
  </si>
  <si>
    <t>A2</t>
  </si>
  <si>
    <t>A3</t>
  </si>
  <si>
    <t>A4</t>
  </si>
  <si>
    <t>B1</t>
  </si>
  <si>
    <t>B2</t>
  </si>
  <si>
    <t>B3</t>
  </si>
  <si>
    <t>B4</t>
  </si>
  <si>
    <t>C1</t>
  </si>
  <si>
    <t>C2</t>
  </si>
  <si>
    <t>C3</t>
  </si>
  <si>
    <t>C4</t>
  </si>
  <si>
    <t>D1</t>
  </si>
  <si>
    <t>D2</t>
  </si>
  <si>
    <t>D3</t>
  </si>
  <si>
    <t>D4</t>
  </si>
  <si>
    <t>冰箱北京</t>
  </si>
  <si>
    <t>价格</t>
  </si>
  <si>
    <t>待销增幅</t>
  </si>
  <si>
    <t>市场容量</t>
  </si>
  <si>
    <t>运输</t>
  </si>
  <si>
    <t>机时利润</t>
  </si>
  <si>
    <t>市场均价走势图</t>
  </si>
  <si>
    <t>第一期</t>
  </si>
  <si>
    <t>第二期</t>
  </si>
  <si>
    <t>第三期</t>
  </si>
  <si>
    <t>第四期</t>
  </si>
  <si>
    <t>第五期</t>
  </si>
  <si>
    <t>第六期</t>
  </si>
  <si>
    <t>预计容量</t>
  </si>
  <si>
    <t>第七期</t>
  </si>
  <si>
    <t>第八期</t>
  </si>
  <si>
    <t>第九期</t>
  </si>
  <si>
    <t>冰箱上海</t>
  </si>
  <si>
    <t>冰箱纽约</t>
  </si>
  <si>
    <t>冰箱伦敦</t>
  </si>
  <si>
    <t>运输变化</t>
  </si>
  <si>
    <t>电视北京</t>
  </si>
  <si>
    <t>电视上海</t>
  </si>
  <si>
    <t>电视纽约</t>
  </si>
  <si>
    <t>电视伦敦</t>
  </si>
  <si>
    <t>手机北京</t>
  </si>
  <si>
    <t>产量</t>
  </si>
  <si>
    <t>冰箱</t>
  </si>
  <si>
    <t>电视</t>
  </si>
  <si>
    <t>手机</t>
  </si>
  <si>
    <t>计算机</t>
  </si>
  <si>
    <t>手机上海</t>
  </si>
  <si>
    <t>期数</t>
  </si>
  <si>
    <t>当期机器</t>
  </si>
  <si>
    <t>当期工人</t>
  </si>
  <si>
    <t>期初现金</t>
  </si>
  <si>
    <t>最大分红</t>
  </si>
  <si>
    <t>本期分红</t>
  </si>
  <si>
    <t>机器购买</t>
  </si>
  <si>
    <t>必须采购</t>
  </si>
  <si>
    <t>实际采购</t>
  </si>
  <si>
    <t>本期贷款</t>
  </si>
  <si>
    <t>手机纽约</t>
  </si>
  <si>
    <t>均值</t>
  </si>
  <si>
    <t>变异系数</t>
  </si>
  <si>
    <t>手机伦敦</t>
  </si>
  <si>
    <t>第2期</t>
  </si>
  <si>
    <t>第3期</t>
  </si>
  <si>
    <t>第4期</t>
  </si>
  <si>
    <t>第5期</t>
  </si>
  <si>
    <t>第6期</t>
  </si>
  <si>
    <t>第7期</t>
  </si>
  <si>
    <t>第8期</t>
  </si>
  <si>
    <t>第9期</t>
  </si>
  <si>
    <t>第10期</t>
  </si>
  <si>
    <t>第11期</t>
  </si>
  <si>
    <t>计算机北京</t>
  </si>
  <si>
    <t>第12期</t>
  </si>
  <si>
    <t>第13期</t>
  </si>
  <si>
    <t>第14期</t>
  </si>
  <si>
    <t>第15期</t>
  </si>
  <si>
    <t>第16期</t>
  </si>
  <si>
    <t>第17期</t>
  </si>
  <si>
    <t>计算机上海</t>
  </si>
  <si>
    <t>计算机纽约</t>
  </si>
  <si>
    <t>计算机伦敦</t>
  </si>
  <si>
    <t>工资</t>
  </si>
  <si>
    <t>机器单价</t>
  </si>
  <si>
    <t>研发总费用</t>
  </si>
  <si>
    <t>产品比例及对应人机比</t>
  </si>
  <si>
    <t>机时</t>
  </si>
  <si>
    <r>
      <rPr>
        <b/>
        <sz val="12"/>
        <rFont val="宋体"/>
        <charset val="134"/>
      </rPr>
      <t>场景</t>
    </r>
    <r>
      <rPr>
        <b/>
        <sz val="12"/>
        <rFont val="Times New Roman"/>
        <charset val="134"/>
      </rPr>
      <t>A</t>
    </r>
  </si>
  <si>
    <t>低</t>
  </si>
  <si>
    <t>人时</t>
  </si>
  <si>
    <r>
      <rPr>
        <b/>
        <sz val="12"/>
        <rFont val="宋体"/>
        <charset val="134"/>
      </rPr>
      <t>场景</t>
    </r>
    <r>
      <rPr>
        <b/>
        <sz val="12"/>
        <rFont val="Times New Roman"/>
        <charset val="134"/>
      </rPr>
      <t>B</t>
    </r>
  </si>
  <si>
    <r>
      <rPr>
        <b/>
        <sz val="12"/>
        <rFont val="宋体"/>
        <charset val="134"/>
      </rPr>
      <t>场景</t>
    </r>
    <r>
      <rPr>
        <b/>
        <sz val="12"/>
        <rFont val="Times New Roman"/>
        <charset val="134"/>
      </rPr>
      <t>C</t>
    </r>
  </si>
  <si>
    <r>
      <rPr>
        <b/>
        <sz val="12"/>
        <rFont val="宋体"/>
        <charset val="134"/>
      </rPr>
      <t>场景</t>
    </r>
    <r>
      <rPr>
        <b/>
        <sz val="12"/>
        <rFont val="Times New Roman"/>
        <charset val="134"/>
      </rPr>
      <t>D</t>
    </r>
  </si>
  <si>
    <r>
      <rPr>
        <b/>
        <sz val="12"/>
        <rFont val="宋体"/>
        <charset val="134"/>
      </rPr>
      <t>场景</t>
    </r>
    <r>
      <rPr>
        <b/>
        <sz val="12"/>
        <rFont val="Times New Roman"/>
        <charset val="134"/>
      </rPr>
      <t>E</t>
    </r>
  </si>
  <si>
    <r>
      <rPr>
        <b/>
        <sz val="12"/>
        <rFont val="宋体"/>
        <charset val="134"/>
      </rPr>
      <t>场景</t>
    </r>
    <r>
      <rPr>
        <b/>
        <sz val="12"/>
        <rFont val="Times New Roman"/>
        <charset val="134"/>
      </rPr>
      <t>F</t>
    </r>
  </si>
  <si>
    <r>
      <rPr>
        <b/>
        <sz val="12"/>
        <rFont val="宋体"/>
        <charset val="134"/>
      </rPr>
      <t>场景</t>
    </r>
    <r>
      <rPr>
        <b/>
        <sz val="12"/>
        <rFont val="Times New Roman"/>
        <charset val="134"/>
      </rPr>
      <t>G</t>
    </r>
  </si>
  <si>
    <t>高</t>
  </si>
  <si>
    <r>
      <rPr>
        <b/>
        <sz val="12"/>
        <rFont val="宋体"/>
        <charset val="134"/>
      </rPr>
      <t>场景</t>
    </r>
    <r>
      <rPr>
        <b/>
        <sz val="12"/>
        <rFont val="Times New Roman"/>
        <charset val="134"/>
      </rPr>
      <t>H</t>
    </r>
  </si>
  <si>
    <r>
      <rPr>
        <b/>
        <sz val="12"/>
        <rFont val="宋体"/>
        <charset val="134"/>
      </rPr>
      <t>场景</t>
    </r>
    <r>
      <rPr>
        <b/>
        <sz val="12"/>
        <rFont val="Times New Roman"/>
        <charset val="134"/>
      </rPr>
      <t>I</t>
    </r>
  </si>
  <si>
    <r>
      <rPr>
        <b/>
        <sz val="12"/>
        <rFont val="宋体"/>
        <charset val="134"/>
      </rPr>
      <t>场景</t>
    </r>
    <r>
      <rPr>
        <b/>
        <sz val="12"/>
        <rFont val="Times New Roman"/>
        <charset val="134"/>
      </rPr>
      <t>J</t>
    </r>
  </si>
  <si>
    <r>
      <rPr>
        <b/>
        <sz val="12"/>
        <rFont val="宋体"/>
        <charset val="134"/>
      </rPr>
      <t>场景</t>
    </r>
    <r>
      <rPr>
        <b/>
        <sz val="12"/>
        <rFont val="Times New Roman"/>
        <charset val="134"/>
      </rPr>
      <t>K</t>
    </r>
  </si>
  <si>
    <r>
      <rPr>
        <b/>
        <sz val="12"/>
        <rFont val="宋体"/>
        <charset val="134"/>
      </rPr>
      <t>场景</t>
    </r>
    <r>
      <rPr>
        <b/>
        <sz val="12"/>
        <rFont val="Times New Roman"/>
        <charset val="134"/>
      </rPr>
      <t>M</t>
    </r>
  </si>
  <si>
    <r>
      <rPr>
        <b/>
        <sz val="12"/>
        <rFont val="宋体"/>
        <charset val="134"/>
      </rPr>
      <t>场景</t>
    </r>
    <r>
      <rPr>
        <b/>
        <sz val="12"/>
        <rFont val="Times New Roman"/>
        <charset val="134"/>
      </rPr>
      <t>N</t>
    </r>
  </si>
  <si>
    <r>
      <rPr>
        <b/>
        <sz val="12"/>
        <rFont val="宋体"/>
        <charset val="134"/>
      </rPr>
      <t>场景</t>
    </r>
    <r>
      <rPr>
        <b/>
        <sz val="12"/>
        <rFont val="Times New Roman"/>
        <charset val="134"/>
      </rPr>
      <t>O</t>
    </r>
  </si>
  <si>
    <r>
      <rPr>
        <b/>
        <sz val="12"/>
        <rFont val="宋体"/>
        <charset val="134"/>
      </rPr>
      <t>场景</t>
    </r>
    <r>
      <rPr>
        <b/>
        <sz val="12"/>
        <rFont val="Times New Roman"/>
        <charset val="134"/>
      </rPr>
      <t>P</t>
    </r>
  </si>
  <si>
    <r>
      <rPr>
        <b/>
        <sz val="12"/>
        <rFont val="Times New Roman"/>
        <charset val="134"/>
      </rPr>
      <t>2013-</t>
    </r>
    <r>
      <rPr>
        <b/>
        <sz val="12"/>
        <rFont val="宋体"/>
        <charset val="134"/>
      </rPr>
      <t>初赛</t>
    </r>
  </si>
  <si>
    <r>
      <rPr>
        <b/>
        <sz val="12"/>
        <rFont val="Times New Roman"/>
        <charset val="134"/>
      </rPr>
      <t>2013-</t>
    </r>
    <r>
      <rPr>
        <b/>
        <sz val="12"/>
        <rFont val="宋体"/>
        <charset val="134"/>
      </rPr>
      <t>复赛</t>
    </r>
  </si>
  <si>
    <r>
      <rPr>
        <b/>
        <sz val="12"/>
        <rFont val="Times New Roman"/>
        <charset val="134"/>
      </rPr>
      <t>2013-</t>
    </r>
    <r>
      <rPr>
        <b/>
        <sz val="12"/>
        <rFont val="宋体"/>
        <charset val="134"/>
      </rPr>
      <t>半决赛</t>
    </r>
  </si>
  <si>
    <r>
      <rPr>
        <b/>
        <sz val="12"/>
        <rFont val="Times New Roman"/>
        <charset val="134"/>
      </rPr>
      <t>2013-</t>
    </r>
    <r>
      <rPr>
        <b/>
        <sz val="12"/>
        <rFont val="宋体"/>
        <charset val="134"/>
      </rPr>
      <t>决赛</t>
    </r>
  </si>
  <si>
    <r>
      <rPr>
        <sz val="12"/>
        <rFont val="宋体"/>
        <charset val="134"/>
      </rPr>
      <t>2</t>
    </r>
    <r>
      <rPr>
        <sz val="12"/>
        <rFont val="宋体"/>
        <charset val="134"/>
      </rPr>
      <t>015初赛AC</t>
    </r>
  </si>
  <si>
    <r>
      <rPr>
        <sz val="12"/>
        <rFont val="宋体"/>
        <charset val="134"/>
      </rPr>
      <t>2</t>
    </r>
    <r>
      <rPr>
        <sz val="12"/>
        <rFont val="宋体"/>
        <charset val="134"/>
      </rPr>
      <t>015复赛AD</t>
    </r>
  </si>
  <si>
    <r>
      <rPr>
        <sz val="12"/>
        <rFont val="宋体"/>
        <charset val="134"/>
      </rPr>
      <t>2</t>
    </r>
    <r>
      <rPr>
        <sz val="12"/>
        <rFont val="宋体"/>
        <charset val="134"/>
      </rPr>
      <t>015半决赛AE</t>
    </r>
  </si>
</sst>
</file>

<file path=xl/styles.xml><?xml version="1.0" encoding="utf-8"?>
<styleSheet xmlns="http://schemas.openxmlformats.org/spreadsheetml/2006/main" xmlns:mc="http://schemas.openxmlformats.org/markup-compatibility/2006" xmlns:xr9="http://schemas.microsoft.com/office/spreadsheetml/2016/revision9" mc:Ignorable="xr9">
  <numFmts count="2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00_ "/>
    <numFmt numFmtId="177" formatCode="0_ ;[Red]\-0\ "/>
    <numFmt numFmtId="178" formatCode="0.00_ ;[Red]\-0.00\ "/>
    <numFmt numFmtId="179" formatCode="0_ "/>
    <numFmt numFmtId="180" formatCode="0.00_ "/>
    <numFmt numFmtId="181" formatCode="0.00_);[Red]\(0.00\)"/>
    <numFmt numFmtId="182" formatCode="0.000_);[Red]\(0.000\)"/>
    <numFmt numFmtId="183" formatCode="#,##0_ "/>
    <numFmt numFmtId="184" formatCode="#,##0_ ;[Red]\-#,##0\ "/>
    <numFmt numFmtId="185" formatCode="0;[Red]0"/>
    <numFmt numFmtId="186" formatCode="0.0%"/>
    <numFmt numFmtId="187" formatCode="0.00;[Red]0.00"/>
    <numFmt numFmtId="188" formatCode="0.000;[Red]0.000"/>
    <numFmt numFmtId="189" formatCode="0.0000_ "/>
    <numFmt numFmtId="190" formatCode="0.0_ "/>
    <numFmt numFmtId="191" formatCode="#,##0.00_ ;[Red]\-#,##0.00\ "/>
    <numFmt numFmtId="192" formatCode="0_);[Red]\(0\)"/>
    <numFmt numFmtId="193" formatCode="#,##0.00000_ ;[Red]\-#,##0.00000\ "/>
    <numFmt numFmtId="194" formatCode="0.0000_ ;[Red]\-0.0000\ "/>
    <numFmt numFmtId="195" formatCode="#,##0.0000_ ;[Red]\-#,##0.0000\ "/>
    <numFmt numFmtId="196" formatCode="0.000000"/>
    <numFmt numFmtId="197" formatCode="#,##0.0000"/>
    <numFmt numFmtId="198" formatCode="#,##0.000_ ;[Red]\-#,##0.000\ "/>
  </numFmts>
  <fonts count="138">
    <font>
      <sz val="11"/>
      <color indexed="8"/>
      <name val="宋体"/>
      <charset val="134"/>
    </font>
    <font>
      <sz val="12"/>
      <name val="宋体"/>
      <charset val="134"/>
    </font>
    <font>
      <b/>
      <sz val="12"/>
      <name val="宋体"/>
      <charset val="134"/>
    </font>
    <font>
      <sz val="10"/>
      <name val="宋体"/>
      <charset val="134"/>
    </font>
    <font>
      <sz val="10"/>
      <name val="Times New Roman"/>
      <charset val="134"/>
    </font>
    <font>
      <b/>
      <sz val="12"/>
      <name val="Times New Roman"/>
      <charset val="134"/>
    </font>
    <font>
      <sz val="12"/>
      <name val="Times New Roman"/>
      <charset val="134"/>
    </font>
    <font>
      <b/>
      <sz val="10"/>
      <name val="Times New Roman"/>
      <charset val="134"/>
    </font>
    <font>
      <b/>
      <sz val="11"/>
      <color indexed="9"/>
      <name val="宋体"/>
      <charset val="134"/>
    </font>
    <font>
      <sz val="11"/>
      <color indexed="9"/>
      <name val="宋体"/>
      <charset val="134"/>
    </font>
    <font>
      <sz val="11"/>
      <color indexed="10"/>
      <name val="宋体"/>
      <charset val="134"/>
    </font>
    <font>
      <b/>
      <sz val="11"/>
      <color indexed="43"/>
      <name val="宋体"/>
      <charset val="134"/>
    </font>
    <font>
      <sz val="11"/>
      <color indexed="43"/>
      <name val="宋体"/>
      <charset val="134"/>
    </font>
    <font>
      <sz val="11"/>
      <color indexed="8"/>
      <name val="幼圆"/>
      <charset val="134"/>
    </font>
    <font>
      <sz val="12"/>
      <color indexed="8"/>
      <name val="幼圆"/>
      <charset val="134"/>
    </font>
    <font>
      <sz val="12"/>
      <color indexed="8"/>
      <name val="Times New Roman"/>
      <charset val="134"/>
    </font>
    <font>
      <sz val="11"/>
      <color indexed="8"/>
      <name val="Times New Roman"/>
      <charset val="134"/>
    </font>
    <font>
      <b/>
      <sz val="28"/>
      <color indexed="8"/>
      <name val="Times New Roman"/>
      <charset val="134"/>
    </font>
    <font>
      <b/>
      <sz val="28"/>
      <color indexed="8"/>
      <name val="幼圆"/>
      <charset val="134"/>
    </font>
    <font>
      <sz val="12"/>
      <color indexed="12"/>
      <name val="幼圆"/>
      <charset val="134"/>
    </font>
    <font>
      <b/>
      <sz val="12"/>
      <color theme="0"/>
      <name val="宋体"/>
      <charset val="134"/>
    </font>
    <font>
      <b/>
      <sz val="12"/>
      <color theme="0"/>
      <name val="Times New Roman"/>
      <charset val="134"/>
    </font>
    <font>
      <b/>
      <sz val="11"/>
      <color theme="0"/>
      <name val="Times New Roman"/>
      <charset val="134"/>
    </font>
    <font>
      <b/>
      <sz val="12"/>
      <color indexed="8"/>
      <name val="Times New Roman"/>
      <charset val="134"/>
    </font>
    <font>
      <b/>
      <sz val="12"/>
      <color rgb="FFFFC000"/>
      <name val="Times New Roman"/>
      <charset val="134"/>
    </font>
    <font>
      <b/>
      <sz val="12"/>
      <color rgb="FFFFC000"/>
      <name val="宋体"/>
      <charset val="134"/>
    </font>
    <font>
      <sz val="12"/>
      <color indexed="8"/>
      <name val="宋体"/>
      <charset val="134"/>
    </font>
    <font>
      <b/>
      <sz val="12"/>
      <color indexed="9"/>
      <name val="Times New Roman"/>
      <charset val="134"/>
    </font>
    <font>
      <sz val="14"/>
      <color indexed="8"/>
      <name val="Times New Roman"/>
      <charset val="134"/>
    </font>
    <font>
      <b/>
      <sz val="8"/>
      <color theme="0"/>
      <name val="宋体"/>
      <charset val="134"/>
    </font>
    <font>
      <b/>
      <sz val="14"/>
      <name val="Times New Roman"/>
      <charset val="134"/>
    </font>
    <font>
      <b/>
      <sz val="14"/>
      <color indexed="8"/>
      <name val="Times New Roman"/>
      <charset val="134"/>
    </font>
    <font>
      <b/>
      <sz val="12"/>
      <color indexed="9"/>
      <name val="宋体"/>
      <charset val="134"/>
    </font>
    <font>
      <sz val="11"/>
      <name val="Times New Roman"/>
      <charset val="134"/>
    </font>
    <font>
      <b/>
      <sz val="10"/>
      <color theme="1"/>
      <name val="Times New Roman"/>
      <charset val="134"/>
    </font>
    <font>
      <b/>
      <sz val="11"/>
      <color indexed="8"/>
      <name val="Times New Roman"/>
      <charset val="134"/>
    </font>
    <font>
      <sz val="12"/>
      <color theme="0"/>
      <name val="宋体"/>
      <charset val="134"/>
    </font>
    <font>
      <sz val="12"/>
      <color theme="0"/>
      <name val="Times New Roman"/>
      <charset val="134"/>
    </font>
    <font>
      <b/>
      <u/>
      <sz val="12"/>
      <color theme="0"/>
      <name val="仿宋_GB2312"/>
      <charset val="134"/>
    </font>
    <font>
      <sz val="12"/>
      <color rgb="FFFF0000"/>
      <name val="微软雅黑"/>
      <charset val="134"/>
    </font>
    <font>
      <b/>
      <sz val="9"/>
      <color indexed="9"/>
      <name val="宋体"/>
      <charset val="134"/>
    </font>
    <font>
      <sz val="12"/>
      <color indexed="9"/>
      <name val="Times New Roman"/>
      <charset val="134"/>
    </font>
    <font>
      <sz val="11"/>
      <color indexed="20"/>
      <name val="宋体"/>
      <charset val="134"/>
    </font>
    <font>
      <sz val="11"/>
      <color rgb="FFFF0000"/>
      <name val="幼圆"/>
      <charset val="134"/>
    </font>
    <font>
      <sz val="12"/>
      <name val="幼圆"/>
      <charset val="134"/>
    </font>
    <font>
      <sz val="11"/>
      <color rgb="FFFF0000"/>
      <name val="Times New Roman"/>
      <charset val="134"/>
    </font>
    <font>
      <sz val="12"/>
      <color rgb="FFFF0000"/>
      <name val="宋体"/>
      <charset val="134"/>
    </font>
    <font>
      <sz val="12"/>
      <color rgb="FFFF0000"/>
      <name val="Times New Roman"/>
      <charset val="134"/>
    </font>
    <font>
      <b/>
      <sz val="12"/>
      <color rgb="FFFF0000"/>
      <name val="幼圆"/>
      <charset val="134"/>
    </font>
    <font>
      <sz val="12"/>
      <color rgb="FFFF0000"/>
      <name val="幼圆"/>
      <charset val="134"/>
    </font>
    <font>
      <b/>
      <sz val="22"/>
      <color theme="0"/>
      <name val="宋体"/>
      <charset val="134"/>
    </font>
    <font>
      <b/>
      <sz val="22"/>
      <color theme="0"/>
      <name val="Times New Roman"/>
      <charset val="134"/>
    </font>
    <font>
      <b/>
      <sz val="13"/>
      <color indexed="8"/>
      <name val="Times New Roman"/>
      <charset val="134"/>
    </font>
    <font>
      <b/>
      <sz val="11"/>
      <color theme="0"/>
      <name val="宋体"/>
      <charset val="134"/>
    </font>
    <font>
      <b/>
      <sz val="12"/>
      <color theme="1"/>
      <name val="宋体"/>
      <charset val="134"/>
      <scheme val="minor"/>
    </font>
    <font>
      <b/>
      <sz val="28"/>
      <color theme="0"/>
      <name val="Times New Roman"/>
      <charset val="134"/>
    </font>
    <font>
      <sz val="11"/>
      <name val="宋体"/>
      <charset val="134"/>
    </font>
    <font>
      <sz val="11"/>
      <color indexed="9"/>
      <name val="Times New Roman"/>
      <charset val="134"/>
    </font>
    <font>
      <b/>
      <sz val="12"/>
      <color rgb="FFFFFFFF"/>
      <name val="宋体"/>
      <charset val="134"/>
    </font>
    <font>
      <b/>
      <sz val="11"/>
      <color rgb="FFFFFFFF"/>
      <name val="Times New Roman"/>
      <charset val="134"/>
    </font>
    <font>
      <b/>
      <sz val="12"/>
      <color rgb="FFFFFFFF"/>
      <name val="Times New Roman"/>
      <charset val="134"/>
    </font>
    <font>
      <b/>
      <sz val="28"/>
      <name val="Times New Roman"/>
      <charset val="134"/>
    </font>
    <font>
      <b/>
      <sz val="11"/>
      <color indexed="8"/>
      <name val="宋体"/>
      <charset val="134"/>
    </font>
    <font>
      <sz val="12"/>
      <color theme="4" tint="-0.499984740745262"/>
      <name val="Times New Roman"/>
      <charset val="134"/>
    </font>
    <font>
      <b/>
      <sz val="13"/>
      <color indexed="8"/>
      <name val="宋体"/>
      <charset val="134"/>
    </font>
    <font>
      <b/>
      <sz val="11"/>
      <color rgb="FFFFFFFF"/>
      <name val="宋体"/>
      <charset val="134"/>
    </font>
    <font>
      <sz val="12"/>
      <color theme="1"/>
      <name val="Times New Roman"/>
      <charset val="134"/>
    </font>
    <font>
      <b/>
      <sz val="12"/>
      <color theme="0"/>
      <name val="宋体"/>
      <charset val="134"/>
      <scheme val="minor"/>
    </font>
    <font>
      <sz val="11"/>
      <color theme="0"/>
      <name val="宋体"/>
      <charset val="134"/>
    </font>
    <font>
      <sz val="10"/>
      <color theme="0"/>
      <name val="宋体"/>
      <charset val="134"/>
    </font>
    <font>
      <b/>
      <sz val="12"/>
      <color rgb="FFFF0000"/>
      <name val="宋体"/>
      <charset val="134"/>
    </font>
    <font>
      <sz val="22"/>
      <color theme="0"/>
      <name val="宋体"/>
      <charset val="134"/>
    </font>
    <font>
      <sz val="22"/>
      <color theme="0"/>
      <name val="Times New Roman"/>
      <charset val="134"/>
    </font>
    <font>
      <b/>
      <sz val="10"/>
      <color theme="0"/>
      <name val="宋体"/>
      <charset val="134"/>
    </font>
    <font>
      <b/>
      <sz val="28"/>
      <name val="幼圆"/>
      <charset val="134"/>
    </font>
    <font>
      <b/>
      <sz val="12"/>
      <name val="幼圆"/>
      <charset val="134"/>
    </font>
    <font>
      <b/>
      <sz val="11"/>
      <name val="幼圆"/>
      <charset val="134"/>
    </font>
    <font>
      <sz val="12"/>
      <color indexed="12"/>
      <name val="Times New Roman"/>
      <charset val="134"/>
    </font>
    <font>
      <sz val="12"/>
      <color indexed="9"/>
      <name val="宋体"/>
      <charset val="134"/>
    </font>
    <font>
      <b/>
      <sz val="13"/>
      <color theme="0"/>
      <name val="宋体"/>
      <charset val="134"/>
    </font>
    <font>
      <b/>
      <sz val="12"/>
      <color rgb="FFFF0000"/>
      <name val="Times New Roman"/>
      <charset val="134"/>
    </font>
    <font>
      <sz val="11"/>
      <color theme="0"/>
      <name val="Times New Roman"/>
      <charset val="134"/>
    </font>
    <font>
      <sz val="10"/>
      <color indexed="8"/>
      <name val="Verdana"/>
      <charset val="134"/>
    </font>
    <font>
      <b/>
      <sz val="9"/>
      <color rgb="FF8ADBFF"/>
      <name val="宋体"/>
      <charset val="134"/>
    </font>
    <font>
      <b/>
      <sz val="28"/>
      <name val="方正姚体"/>
      <charset val="134"/>
    </font>
    <font>
      <sz val="12"/>
      <color theme="0"/>
      <name val="微软雅黑"/>
      <charset val="134"/>
    </font>
    <font>
      <sz val="10"/>
      <name val="Verdana"/>
      <charset val="134"/>
    </font>
    <font>
      <b/>
      <sz val="9"/>
      <color theme="0"/>
      <name val="宋体"/>
      <charset val="134"/>
    </font>
    <font>
      <b/>
      <sz val="10"/>
      <name val="宋体"/>
      <charset val="134"/>
    </font>
    <font>
      <b/>
      <sz val="28"/>
      <color indexed="8"/>
      <name val="方正姚体"/>
      <charset val="134"/>
    </font>
    <font>
      <b/>
      <sz val="9"/>
      <name val="宋体"/>
      <charset val="134"/>
    </font>
    <font>
      <sz val="12"/>
      <color theme="4" tint="-0.249977111117893"/>
      <name val="宋体"/>
      <charset val="134"/>
    </font>
    <font>
      <b/>
      <sz val="24"/>
      <color indexed="8"/>
      <name val="幼圆"/>
      <charset val="134"/>
    </font>
    <font>
      <b/>
      <sz val="24"/>
      <color indexed="9"/>
      <name val="方正姚体"/>
      <charset val="134"/>
    </font>
    <font>
      <sz val="7"/>
      <color rgb="FF000000"/>
      <name val="宋体"/>
      <charset val="134"/>
    </font>
    <font>
      <b/>
      <sz val="28"/>
      <color indexed="9"/>
      <name val="方正姚体"/>
      <charset val="134"/>
    </font>
    <font>
      <sz val="10"/>
      <color indexed="8"/>
      <name val="宋体"/>
      <charset val="134"/>
    </font>
    <font>
      <b/>
      <sz val="10"/>
      <color indexed="9"/>
      <name val="宋体"/>
      <charset val="134"/>
    </font>
    <font>
      <b/>
      <sz val="10"/>
      <color indexed="9"/>
      <name val="Times New Roman"/>
      <charset val="134"/>
    </font>
    <font>
      <b/>
      <sz val="11"/>
      <color indexed="10"/>
      <name val="宋体"/>
      <charset val="134"/>
    </font>
    <font>
      <sz val="11"/>
      <color rgb="FFDAEEF3"/>
      <name val="宋体"/>
      <charset val="134"/>
    </font>
    <font>
      <u/>
      <sz val="11"/>
      <color theme="10"/>
      <name val="宋体"/>
      <charset val="134"/>
      <scheme val="minor"/>
    </font>
    <font>
      <u/>
      <sz val="11"/>
      <name val="宋体"/>
      <charset val="134"/>
    </font>
    <font>
      <sz val="10"/>
      <color indexed="8"/>
      <name val="Arial Unicode MS"/>
      <charset val="134"/>
    </font>
    <font>
      <b/>
      <sz val="24"/>
      <color indexed="8"/>
      <name val="Arial Unicode MS"/>
      <charset val="134"/>
    </font>
    <font>
      <b/>
      <sz val="18"/>
      <color indexed="8"/>
      <name val="Arial Unicode MS"/>
      <charset val="134"/>
    </font>
    <font>
      <b/>
      <sz val="10"/>
      <color indexed="8"/>
      <name val="Arial Unicode MS"/>
      <charset val="134"/>
    </font>
    <font>
      <b/>
      <sz val="13.5"/>
      <color indexed="8"/>
      <name val="Arial Unicode MS"/>
      <charset val="134"/>
    </font>
    <font>
      <b/>
      <sz val="12"/>
      <color indexed="8"/>
      <name val="Arial Unicode MS"/>
      <charset val="134"/>
    </font>
    <font>
      <sz val="11"/>
      <color theme="1"/>
      <name val="宋体"/>
      <charset val="134"/>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9"/>
      <name val="宋体"/>
      <charset val="134"/>
    </font>
    <font>
      <sz val="11"/>
      <color indexed="17"/>
      <name val="宋体"/>
      <charset val="134"/>
    </font>
    <font>
      <b/>
      <sz val="10"/>
      <color theme="0"/>
      <name val="Times New Roman"/>
      <charset val="134"/>
    </font>
    <font>
      <b/>
      <sz val="12"/>
      <color indexed="10"/>
      <name val="宋体"/>
      <charset val="134"/>
    </font>
    <font>
      <b/>
      <sz val="14"/>
      <name val="宋体"/>
      <charset val="134"/>
    </font>
    <font>
      <sz val="14"/>
      <name val="宋体"/>
      <charset val="134"/>
    </font>
    <font>
      <b/>
      <sz val="16"/>
      <name val="宋体"/>
      <charset val="134"/>
    </font>
    <font>
      <sz val="9"/>
      <name val="宋体"/>
      <charset val="134"/>
    </font>
    <font>
      <sz val="12"/>
      <name val="宋体"/>
      <charset val="134"/>
    </font>
    <font>
      <sz val="16"/>
      <name val="宋体"/>
      <charset val="134"/>
    </font>
    <font>
      <b/>
      <sz val="12"/>
      <name val="宋体"/>
      <charset val="134"/>
    </font>
  </fonts>
  <fills count="53">
    <fill>
      <patternFill patternType="none"/>
    </fill>
    <fill>
      <patternFill patternType="gray125"/>
    </fill>
    <fill>
      <patternFill patternType="solid">
        <fgColor indexed="13"/>
        <bgColor indexed="64"/>
      </patternFill>
    </fill>
    <fill>
      <patternFill patternType="solid">
        <fgColor indexed="8"/>
        <bgColor indexed="64"/>
      </patternFill>
    </fill>
    <fill>
      <patternFill patternType="solid">
        <fgColor indexed="9"/>
        <bgColor indexed="64"/>
      </patternFill>
    </fill>
    <fill>
      <patternFill patternType="solid">
        <fgColor rgb="FFDAEEF3"/>
        <bgColor indexed="64"/>
      </patternFill>
    </fill>
    <fill>
      <patternFill patternType="solid">
        <fgColor rgb="FF31869B"/>
        <bgColor indexed="64"/>
      </patternFill>
    </fill>
    <fill>
      <patternFill patternType="solid">
        <fgColor theme="0"/>
        <bgColor indexed="64"/>
      </patternFill>
    </fill>
    <fill>
      <patternFill patternType="solid">
        <fgColor rgb="FFFFFFFF"/>
        <bgColor indexed="64"/>
      </patternFill>
    </fill>
    <fill>
      <patternFill patternType="solid">
        <fgColor rgb="FF31869B"/>
        <bgColor rgb="FF000000"/>
      </patternFill>
    </fill>
    <fill>
      <patternFill patternType="solid">
        <fgColor theme="0"/>
        <bgColor rgb="FF000000"/>
      </patternFill>
    </fill>
    <fill>
      <patternFill patternType="solid">
        <fgColor rgb="FF00B050"/>
        <bgColor indexed="64"/>
      </patternFill>
    </fill>
    <fill>
      <patternFill patternType="solid">
        <fgColor rgb="FFFFC000"/>
        <bgColor indexed="64"/>
      </patternFill>
    </fill>
    <fill>
      <patternFill patternType="solid">
        <fgColor indexed="65"/>
        <bgColor theme="0"/>
      </patternFill>
    </fill>
    <fill>
      <patternFill patternType="solid">
        <fgColor indexed="45"/>
        <bgColor indexed="64"/>
      </patternFill>
    </fill>
    <fill>
      <patternFill patternType="solid">
        <fgColor rgb="FFFFFF00"/>
        <bgColor indexed="64"/>
      </patternFill>
    </fill>
    <fill>
      <patternFill patternType="solid">
        <fgColor indexed="40"/>
        <bgColor indexed="64"/>
      </patternFill>
    </fill>
    <fill>
      <patternFill patternType="solid">
        <fgColor theme="9"/>
        <bgColor indexed="64"/>
      </patternFill>
    </fill>
    <fill>
      <patternFill patternType="solid">
        <fgColor rgb="FF92D050"/>
        <bgColor indexed="64"/>
      </patternFill>
    </fill>
    <fill>
      <patternFill patternType="solid">
        <fgColor rgb="FFFF0000"/>
        <bgColor indexed="64"/>
      </patternFill>
    </fill>
    <fill>
      <patternFill patternType="solid">
        <fgColor indexed="47"/>
        <bgColor indexed="64"/>
      </patternFill>
    </fill>
    <fill>
      <patternFill patternType="solid">
        <fgColor theme="8" tint="0.799981688894314"/>
        <bgColor indexed="64"/>
      </patternFill>
    </fill>
    <fill>
      <patternFill patternType="solid">
        <fgColor indexed="50"/>
        <bgColor indexed="64"/>
      </patternFill>
    </fill>
    <fill>
      <patternFill patternType="solid">
        <fgColor theme="8" tint="-0.249977111117893"/>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42"/>
        <bgColor indexed="64"/>
      </patternFill>
    </fill>
  </fills>
  <borders count="46">
    <border>
      <left/>
      <right/>
      <top/>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style="medium">
        <color indexed="10"/>
      </left>
      <right/>
      <top style="medium">
        <color indexed="10"/>
      </top>
      <bottom/>
      <diagonal/>
    </border>
    <border>
      <left/>
      <right/>
      <top style="medium">
        <color indexed="10"/>
      </top>
      <bottom/>
      <diagonal/>
    </border>
    <border>
      <left style="medium">
        <color indexed="10"/>
      </left>
      <right/>
      <top/>
      <bottom/>
      <diagonal/>
    </border>
    <border>
      <left style="medium">
        <color indexed="10"/>
      </left>
      <right/>
      <top/>
      <bottom style="medium">
        <color indexed="10"/>
      </bottom>
      <diagonal/>
    </border>
    <border>
      <left/>
      <right/>
      <top/>
      <bottom style="medium">
        <color indexed="10"/>
      </bottom>
      <diagonal/>
    </border>
    <border>
      <left/>
      <right style="medium">
        <color indexed="10"/>
      </right>
      <top style="medium">
        <color indexed="10"/>
      </top>
      <bottom/>
      <diagonal/>
    </border>
    <border>
      <left/>
      <right style="medium">
        <color indexed="10"/>
      </right>
      <top/>
      <bottom/>
      <diagonal/>
    </border>
    <border>
      <left/>
      <right style="medium">
        <color indexed="10"/>
      </right>
      <top/>
      <bottom style="medium">
        <color indexed="10"/>
      </bottom>
      <diagonal/>
    </border>
    <border>
      <left style="medium">
        <color indexed="10"/>
      </left>
      <right style="medium">
        <color indexed="10"/>
      </right>
      <top style="medium">
        <color indexed="10"/>
      </top>
      <bottom/>
      <diagonal/>
    </border>
    <border>
      <left style="medium">
        <color indexed="10"/>
      </left>
      <right style="medium">
        <color indexed="10"/>
      </right>
      <top/>
      <bottom/>
      <diagonal/>
    </border>
    <border>
      <left style="medium">
        <color indexed="10"/>
      </left>
      <right style="medium">
        <color indexed="10"/>
      </right>
      <top/>
      <bottom style="medium">
        <color indexed="10"/>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auto="1"/>
      </right>
      <top/>
      <bottom/>
      <diagonal/>
    </border>
    <border>
      <left style="thin">
        <color auto="1"/>
      </left>
      <right style="thin">
        <color auto="1"/>
      </right>
      <top/>
      <bottom/>
      <diagonal/>
    </border>
    <border>
      <left/>
      <right/>
      <top style="thin">
        <color auto="1"/>
      </top>
      <bottom/>
      <diagonal/>
    </border>
    <border>
      <left style="thin">
        <color auto="1"/>
      </left>
      <right/>
      <top style="thin">
        <color auto="1"/>
      </top>
      <bottom/>
      <diagonal/>
    </border>
    <border>
      <left style="thin">
        <color auto="1"/>
      </left>
      <right style="thin">
        <color auto="1"/>
      </right>
      <top/>
      <bottom style="thin">
        <color auto="1"/>
      </bottom>
      <diagonal/>
    </border>
    <border>
      <left/>
      <right style="thin">
        <color auto="1"/>
      </right>
      <top/>
      <bottom style="thin">
        <color auto="1"/>
      </bottom>
      <diagonal/>
    </border>
    <border>
      <left/>
      <right style="thin">
        <color auto="1"/>
      </right>
      <top style="thin">
        <color auto="1"/>
      </top>
      <bottom/>
      <diagonal/>
    </border>
    <border>
      <left style="thin">
        <color auto="1"/>
      </left>
      <right/>
      <top/>
      <bottom style="thin">
        <color auto="1"/>
      </bottom>
      <diagonal/>
    </border>
    <border>
      <left style="thin">
        <color auto="1"/>
      </left>
      <right/>
      <top/>
      <bottom/>
      <diagonal/>
    </border>
    <border>
      <left/>
      <right/>
      <top style="thin">
        <color auto="1"/>
      </top>
      <bottom style="thin">
        <color auto="1"/>
      </bottom>
      <diagonal/>
    </border>
    <border>
      <left/>
      <right/>
      <top/>
      <bottom style="thin">
        <color auto="1"/>
      </bottom>
      <diagonal/>
    </border>
    <border>
      <left/>
      <right/>
      <top/>
      <bottom style="double">
        <color theme="1"/>
      </bottom>
      <diagonal/>
    </border>
    <border>
      <left/>
      <right/>
      <top style="double">
        <color theme="1"/>
      </top>
      <bottom style="double">
        <color theme="1"/>
      </bottom>
      <diagonal/>
    </border>
    <border>
      <left style="thin">
        <color indexed="8"/>
      </left>
      <right/>
      <top style="thin">
        <color indexed="8"/>
      </top>
      <bottom style="thin">
        <color indexed="8"/>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752">
    <xf numFmtId="0" fontId="0" fillId="0" borderId="0">
      <alignment vertical="center"/>
    </xf>
    <xf numFmtId="43" fontId="109" fillId="0" borderId="0" applyFont="0" applyFill="0" applyBorder="0" applyAlignment="0" applyProtection="0">
      <alignment vertical="center"/>
    </xf>
    <xf numFmtId="44" fontId="109" fillId="0" borderId="0" applyFont="0" applyFill="0" applyBorder="0" applyAlignment="0" applyProtection="0">
      <alignment vertical="center"/>
    </xf>
    <xf numFmtId="9" fontId="0" fillId="0" borderId="0" applyFont="0" applyFill="0" applyBorder="0" applyAlignment="0" applyProtection="0">
      <alignment vertical="center"/>
    </xf>
    <xf numFmtId="41" fontId="109" fillId="0" borderId="0" applyFont="0" applyFill="0" applyBorder="0" applyAlignment="0" applyProtection="0">
      <alignment vertical="center"/>
    </xf>
    <xf numFmtId="42" fontId="109" fillId="0" borderId="0" applyFont="0" applyFill="0" applyBorder="0" applyAlignment="0" applyProtection="0">
      <alignment vertical="center"/>
    </xf>
    <xf numFmtId="0" fontId="101" fillId="0" borderId="0" applyNumberFormat="0" applyFill="0" applyBorder="0" applyAlignment="0" applyProtection="0"/>
    <xf numFmtId="0" fontId="110" fillId="0" borderId="0" applyNumberFormat="0" applyFill="0" applyBorder="0" applyAlignment="0" applyProtection="0">
      <alignment vertical="center"/>
    </xf>
    <xf numFmtId="0" fontId="109" fillId="24" borderId="38" applyNumberFormat="0" applyFont="0" applyAlignment="0" applyProtection="0">
      <alignment vertical="center"/>
    </xf>
    <xf numFmtId="0" fontId="111" fillId="0" borderId="0" applyNumberFormat="0" applyFill="0" applyBorder="0" applyAlignment="0" applyProtection="0">
      <alignment vertical="center"/>
    </xf>
    <xf numFmtId="0" fontId="112" fillId="0" borderId="0" applyNumberFormat="0" applyFill="0" applyBorder="0" applyAlignment="0" applyProtection="0">
      <alignment vertical="center"/>
    </xf>
    <xf numFmtId="0" fontId="113" fillId="0" borderId="0" applyNumberFormat="0" applyFill="0" applyBorder="0" applyAlignment="0" applyProtection="0">
      <alignment vertical="center"/>
    </xf>
    <xf numFmtId="0" fontId="114" fillId="0" borderId="39" applyNumberFormat="0" applyFill="0" applyAlignment="0" applyProtection="0">
      <alignment vertical="center"/>
    </xf>
    <xf numFmtId="0" fontId="115" fillId="0" borderId="39" applyNumberFormat="0" applyFill="0" applyAlignment="0" applyProtection="0">
      <alignment vertical="center"/>
    </xf>
    <xf numFmtId="0" fontId="116" fillId="0" borderId="40" applyNumberFormat="0" applyFill="0" applyAlignment="0" applyProtection="0">
      <alignment vertical="center"/>
    </xf>
    <xf numFmtId="0" fontId="116" fillId="0" borderId="0" applyNumberFormat="0" applyFill="0" applyBorder="0" applyAlignment="0" applyProtection="0">
      <alignment vertical="center"/>
    </xf>
    <xf numFmtId="0" fontId="117" fillId="25" borderId="41" applyNumberFormat="0" applyAlignment="0" applyProtection="0">
      <alignment vertical="center"/>
    </xf>
    <xf numFmtId="0" fontId="118" fillId="26" borderId="42" applyNumberFormat="0" applyAlignment="0" applyProtection="0">
      <alignment vertical="center"/>
    </xf>
    <xf numFmtId="0" fontId="119" fillId="26" borderId="41" applyNumberFormat="0" applyAlignment="0" applyProtection="0">
      <alignment vertical="center"/>
    </xf>
    <xf numFmtId="0" fontId="120" fillId="27" borderId="43" applyNumberFormat="0" applyAlignment="0" applyProtection="0">
      <alignment vertical="center"/>
    </xf>
    <xf numFmtId="0" fontId="121" fillId="0" borderId="44" applyNumberFormat="0" applyFill="0" applyAlignment="0" applyProtection="0">
      <alignment vertical="center"/>
    </xf>
    <xf numFmtId="0" fontId="122" fillId="0" borderId="45" applyNumberFormat="0" applyFill="0" applyAlignment="0" applyProtection="0">
      <alignment vertical="center"/>
    </xf>
    <xf numFmtId="0" fontId="123" fillId="28" borderId="0" applyNumberFormat="0" applyBorder="0" applyAlignment="0" applyProtection="0">
      <alignment vertical="center"/>
    </xf>
    <xf numFmtId="0" fontId="42" fillId="14" borderId="0" applyNumberFormat="0" applyBorder="0" applyAlignment="0" applyProtection="0">
      <alignment vertical="center"/>
    </xf>
    <xf numFmtId="0" fontId="124" fillId="29" borderId="0" applyNumberFormat="0" applyBorder="0" applyAlignment="0" applyProtection="0">
      <alignment vertical="center"/>
    </xf>
    <xf numFmtId="0" fontId="125" fillId="30" borderId="0" applyNumberFormat="0" applyBorder="0" applyAlignment="0" applyProtection="0">
      <alignment vertical="center"/>
    </xf>
    <xf numFmtId="0" fontId="126" fillId="31" borderId="0" applyNumberFormat="0" applyBorder="0" applyAlignment="0" applyProtection="0">
      <alignment vertical="center"/>
    </xf>
    <xf numFmtId="0" fontId="126" fillId="32" borderId="0" applyNumberFormat="0" applyBorder="0" applyAlignment="0" applyProtection="0">
      <alignment vertical="center"/>
    </xf>
    <xf numFmtId="0" fontId="125" fillId="33" borderId="0" applyNumberFormat="0" applyBorder="0" applyAlignment="0" applyProtection="0">
      <alignment vertical="center"/>
    </xf>
    <xf numFmtId="0" fontId="125" fillId="34" borderId="0" applyNumberFormat="0" applyBorder="0" applyAlignment="0" applyProtection="0">
      <alignment vertical="center"/>
    </xf>
    <xf numFmtId="0" fontId="126" fillId="35" borderId="0" applyNumberFormat="0" applyBorder="0" applyAlignment="0" applyProtection="0">
      <alignment vertical="center"/>
    </xf>
    <xf numFmtId="0" fontId="126" fillId="36" borderId="0" applyNumberFormat="0" applyBorder="0" applyAlignment="0" applyProtection="0">
      <alignment vertical="center"/>
    </xf>
    <xf numFmtId="0" fontId="125" fillId="37" borderId="0" applyNumberFormat="0" applyBorder="0" applyAlignment="0" applyProtection="0">
      <alignment vertical="center"/>
    </xf>
    <xf numFmtId="0" fontId="125" fillId="38" borderId="0" applyNumberFormat="0" applyBorder="0" applyAlignment="0" applyProtection="0">
      <alignment vertical="center"/>
    </xf>
    <xf numFmtId="0" fontId="126" fillId="39" borderId="0" applyNumberFormat="0" applyBorder="0" applyAlignment="0" applyProtection="0">
      <alignment vertical="center"/>
    </xf>
    <xf numFmtId="0" fontId="126" fillId="40" borderId="0" applyNumberFormat="0" applyBorder="0" applyAlignment="0" applyProtection="0">
      <alignment vertical="center"/>
    </xf>
    <xf numFmtId="0" fontId="125" fillId="41" borderId="0" applyNumberFormat="0" applyBorder="0" applyAlignment="0" applyProtection="0">
      <alignment vertical="center"/>
    </xf>
    <xf numFmtId="0" fontId="125" fillId="42" borderId="0" applyNumberFormat="0" applyBorder="0" applyAlignment="0" applyProtection="0">
      <alignment vertical="center"/>
    </xf>
    <xf numFmtId="0" fontId="126" fillId="43" borderId="0" applyNumberFormat="0" applyBorder="0" applyAlignment="0" applyProtection="0">
      <alignment vertical="center"/>
    </xf>
    <xf numFmtId="0" fontId="126" fillId="44" borderId="0" applyNumberFormat="0" applyBorder="0" applyAlignment="0" applyProtection="0">
      <alignment vertical="center"/>
    </xf>
    <xf numFmtId="0" fontId="125" fillId="45" borderId="0" applyNumberFormat="0" applyBorder="0" applyAlignment="0" applyProtection="0">
      <alignment vertical="center"/>
    </xf>
    <xf numFmtId="0" fontId="125" fillId="46" borderId="0" applyNumberFormat="0" applyBorder="0" applyAlignment="0" applyProtection="0">
      <alignment vertical="center"/>
    </xf>
    <xf numFmtId="0" fontId="126" fillId="21" borderId="0" applyNumberFormat="0" applyBorder="0" applyAlignment="0" applyProtection="0">
      <alignment vertical="center"/>
    </xf>
    <xf numFmtId="0" fontId="126" fillId="47" borderId="0" applyNumberFormat="0" applyBorder="0" applyAlignment="0" applyProtection="0">
      <alignment vertical="center"/>
    </xf>
    <xf numFmtId="0" fontId="125" fillId="48" borderId="0" applyNumberFormat="0" applyBorder="0" applyAlignment="0" applyProtection="0">
      <alignment vertical="center"/>
    </xf>
    <xf numFmtId="0" fontId="125" fillId="17" borderId="0" applyNumberFormat="0" applyBorder="0" applyAlignment="0" applyProtection="0">
      <alignment vertical="center"/>
    </xf>
    <xf numFmtId="0" fontId="126" fillId="49" borderId="0" applyNumberFormat="0" applyBorder="0" applyAlignment="0" applyProtection="0">
      <alignment vertical="center"/>
    </xf>
    <xf numFmtId="0" fontId="126" fillId="50" borderId="0" applyNumberFormat="0" applyBorder="0" applyAlignment="0" applyProtection="0">
      <alignment vertical="center"/>
    </xf>
    <xf numFmtId="0" fontId="125" fillId="51" borderId="0" applyNumberFormat="0" applyBorder="0" applyAlignment="0" applyProtection="0">
      <alignment vertical="center"/>
    </xf>
    <xf numFmtId="9" fontId="0" fillId="0" borderId="0" applyFont="0" applyFill="0" applyBorder="0" applyAlignment="0" applyProtection="0">
      <alignment vertical="center"/>
    </xf>
    <xf numFmtId="0" fontId="42" fillId="14" borderId="0" applyNumberFormat="0" applyBorder="0" applyAlignment="0" applyProtection="0">
      <alignment vertical="center"/>
    </xf>
    <xf numFmtId="0" fontId="42" fillId="14" borderId="0" applyNumberFormat="0" applyBorder="0" applyAlignment="0" applyProtection="0">
      <alignment vertical="center"/>
    </xf>
    <xf numFmtId="0" fontId="42" fillId="14" borderId="0" applyNumberFormat="0" applyBorder="0" applyAlignment="0" applyProtection="0">
      <alignment vertical="center"/>
    </xf>
    <xf numFmtId="0" fontId="42" fillId="14" borderId="0" applyNumberFormat="0" applyBorder="0" applyAlignment="0" applyProtection="0">
      <alignment vertical="center"/>
    </xf>
    <xf numFmtId="0" fontId="42" fillId="14"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alignment vertical="center"/>
    </xf>
    <xf numFmtId="0" fontId="1" fillId="0" borderId="0">
      <alignment vertical="center"/>
    </xf>
    <xf numFmtId="0" fontId="0" fillId="0" borderId="0">
      <alignment vertical="center"/>
    </xf>
    <xf numFmtId="0" fontId="0" fillId="0" borderId="0">
      <alignment vertical="center"/>
    </xf>
    <xf numFmtId="0" fontId="1" fillId="0" borderId="0">
      <alignment vertical="center"/>
    </xf>
    <xf numFmtId="0" fontId="0" fillId="0" borderId="0">
      <alignment vertical="center"/>
    </xf>
    <xf numFmtId="0" fontId="127" fillId="0" borderId="0">
      <alignment vertical="center"/>
    </xf>
    <xf numFmtId="0" fontId="0" fillId="0" borderId="0">
      <alignment vertical="center"/>
    </xf>
    <xf numFmtId="0" fontId="1" fillId="0" borderId="0"/>
    <xf numFmtId="0" fontId="1" fillId="0" borderId="0"/>
    <xf numFmtId="0" fontId="127" fillId="0" borderId="0">
      <alignment vertical="center"/>
    </xf>
    <xf numFmtId="0" fontId="1" fillId="0" borderId="0"/>
    <xf numFmtId="0" fontId="1" fillId="0" borderId="0">
      <alignment vertical="center"/>
    </xf>
    <xf numFmtId="0" fontId="1" fillId="0" borderId="0">
      <alignment vertical="center"/>
    </xf>
    <xf numFmtId="0" fontId="128" fillId="52" borderId="0" applyNumberFormat="0" applyBorder="0" applyAlignment="0" applyProtection="0">
      <alignment vertical="center"/>
    </xf>
    <xf numFmtId="0" fontId="128" fillId="52" borderId="0" applyNumberFormat="0" applyBorder="0" applyAlignment="0" applyProtection="0">
      <alignment vertical="center"/>
    </xf>
    <xf numFmtId="0" fontId="128" fillId="52" borderId="0" applyNumberFormat="0" applyBorder="0" applyAlignment="0" applyProtection="0">
      <alignment vertical="center"/>
    </xf>
    <xf numFmtId="0" fontId="128" fillId="52" borderId="0" applyNumberFormat="0" applyBorder="0" applyAlignment="0" applyProtection="0">
      <alignment vertical="center"/>
    </xf>
    <xf numFmtId="0" fontId="128" fillId="52" borderId="0" applyNumberFormat="0" applyBorder="0" applyAlignment="0" applyProtection="0">
      <alignment vertical="center"/>
    </xf>
  </cellStyleXfs>
  <cellXfs count="830">
    <xf numFmtId="0" fontId="0" fillId="0" borderId="0" xfId="0">
      <alignment vertical="center"/>
    </xf>
    <xf numFmtId="0" fontId="1" fillId="0" borderId="0" xfId="733">
      <alignment vertical="center"/>
    </xf>
    <xf numFmtId="0" fontId="1" fillId="0" borderId="0" xfId="733" applyAlignment="1">
      <alignment horizontal="center" vertical="center"/>
    </xf>
    <xf numFmtId="0" fontId="2" fillId="0" borderId="0" xfId="733" applyFont="1" applyAlignment="1">
      <alignment horizontal="center" vertical="center"/>
    </xf>
    <xf numFmtId="0" fontId="2" fillId="0" borderId="0" xfId="733" applyFont="1">
      <alignment vertical="center"/>
    </xf>
    <xf numFmtId="0" fontId="3" fillId="0" borderId="1" xfId="733" applyFont="1" applyBorder="1" applyAlignment="1">
      <alignment horizontal="center" vertical="center"/>
    </xf>
    <xf numFmtId="0" fontId="4" fillId="0" borderId="2" xfId="733" applyFont="1" applyBorder="1" applyAlignment="1">
      <alignment horizontal="center" vertical="center"/>
    </xf>
    <xf numFmtId="0" fontId="3" fillId="0" borderId="0" xfId="733" applyFont="1" applyAlignment="1">
      <alignment horizontal="center" vertical="center"/>
    </xf>
    <xf numFmtId="0" fontId="4" fillId="0" borderId="0" xfId="733" applyFont="1" applyAlignment="1">
      <alignment horizontal="center" vertical="center"/>
    </xf>
    <xf numFmtId="0" fontId="3" fillId="0" borderId="3" xfId="733" applyFont="1" applyBorder="1" applyAlignment="1">
      <alignment horizontal="center" vertical="center"/>
    </xf>
    <xf numFmtId="0" fontId="5" fillId="0" borderId="0" xfId="733" applyFont="1">
      <alignment vertical="center"/>
    </xf>
    <xf numFmtId="0" fontId="3" fillId="0" borderId="4" xfId="733" applyFont="1" applyBorder="1" applyAlignment="1">
      <alignment horizontal="center" vertical="center"/>
    </xf>
    <xf numFmtId="0" fontId="4" fillId="0" borderId="5" xfId="733" applyFont="1" applyBorder="1" applyAlignment="1">
      <alignment horizontal="center" vertical="center"/>
    </xf>
    <xf numFmtId="0" fontId="5" fillId="0" borderId="0" xfId="733" applyFont="1" applyAlignment="1">
      <alignment horizontal="center" vertical="center"/>
    </xf>
    <xf numFmtId="0" fontId="6" fillId="0" borderId="0" xfId="733" applyFont="1">
      <alignment vertical="center"/>
    </xf>
    <xf numFmtId="0" fontId="4" fillId="0" borderId="6" xfId="733" applyFont="1" applyBorder="1" applyAlignment="1">
      <alignment horizontal="center" vertical="center"/>
    </xf>
    <xf numFmtId="0" fontId="4" fillId="0" borderId="7" xfId="733" applyFont="1" applyBorder="1" applyAlignment="1">
      <alignment horizontal="center" vertical="center"/>
    </xf>
    <xf numFmtId="176" fontId="4" fillId="0" borderId="0" xfId="733" applyNumberFormat="1" applyFont="1" applyAlignment="1">
      <alignment horizontal="center" vertical="center"/>
    </xf>
    <xf numFmtId="0" fontId="4" fillId="0" borderId="8" xfId="733" applyFont="1" applyBorder="1" applyAlignment="1">
      <alignment horizontal="center" vertical="center"/>
    </xf>
    <xf numFmtId="0" fontId="7" fillId="2" borderId="0" xfId="733" applyFont="1" applyFill="1" applyAlignment="1">
      <alignment horizontal="center" vertical="center"/>
    </xf>
    <xf numFmtId="0" fontId="7" fillId="2" borderId="0" xfId="737" applyFont="1" applyFill="1" applyAlignment="1">
      <alignment horizontal="center" vertical="center"/>
    </xf>
    <xf numFmtId="0" fontId="8" fillId="3" borderId="0" xfId="0" applyFont="1" applyFill="1" applyAlignment="1">
      <alignment horizontal="center" vertical="center"/>
    </xf>
    <xf numFmtId="0" fontId="9" fillId="3" borderId="0" xfId="0" applyFont="1" applyFill="1">
      <alignment vertical="center"/>
    </xf>
    <xf numFmtId="0" fontId="8" fillId="3" borderId="9" xfId="0" applyFont="1" applyFill="1" applyBorder="1" applyAlignment="1">
      <alignment horizontal="center" vertical="center"/>
    </xf>
    <xf numFmtId="0" fontId="8" fillId="3" borderId="10" xfId="0" applyFont="1" applyFill="1" applyBorder="1" applyAlignment="1">
      <alignment horizontal="center" vertical="center"/>
    </xf>
    <xf numFmtId="0" fontId="8" fillId="3" borderId="11" xfId="0" applyFont="1" applyFill="1" applyBorder="1" applyAlignment="1">
      <alignment horizontal="center" vertical="center"/>
    </xf>
    <xf numFmtId="0" fontId="8" fillId="3" borderId="12" xfId="0" applyFont="1" applyFill="1" applyBorder="1" applyAlignment="1">
      <alignment horizontal="center" vertical="center"/>
    </xf>
    <xf numFmtId="0" fontId="9" fillId="3" borderId="13" xfId="0" applyFont="1" applyFill="1" applyBorder="1">
      <alignment vertical="center"/>
    </xf>
    <xf numFmtId="177" fontId="9" fillId="3" borderId="0" xfId="0" applyNumberFormat="1" applyFont="1" applyFill="1">
      <alignment vertical="center"/>
    </xf>
    <xf numFmtId="177" fontId="9" fillId="3" borderId="13" xfId="0" applyNumberFormat="1" applyFont="1" applyFill="1" applyBorder="1">
      <alignment vertical="center"/>
    </xf>
    <xf numFmtId="178" fontId="9" fillId="3" borderId="0" xfId="0" applyNumberFormat="1" applyFont="1" applyFill="1">
      <alignment vertical="center"/>
    </xf>
    <xf numFmtId="178" fontId="9" fillId="3" borderId="13" xfId="0" applyNumberFormat="1" applyFont="1" applyFill="1" applyBorder="1">
      <alignment vertical="center"/>
    </xf>
    <xf numFmtId="0" fontId="8" fillId="3" borderId="14" xfId="0" applyFont="1" applyFill="1" applyBorder="1" applyAlignment="1">
      <alignment horizontal="center" vertical="center"/>
    </xf>
    <xf numFmtId="0" fontId="9" fillId="3" borderId="15" xfId="0" applyFont="1" applyFill="1" applyBorder="1">
      <alignment vertical="center"/>
    </xf>
    <xf numFmtId="179" fontId="9" fillId="3" borderId="0" xfId="0" applyNumberFormat="1" applyFont="1" applyFill="1">
      <alignment vertical="center"/>
    </xf>
    <xf numFmtId="0" fontId="9" fillId="3" borderId="16" xfId="0" applyFont="1" applyFill="1" applyBorder="1">
      <alignment vertical="center"/>
    </xf>
    <xf numFmtId="179" fontId="9" fillId="3" borderId="13" xfId="0" applyNumberFormat="1" applyFont="1" applyFill="1" applyBorder="1">
      <alignment vertical="center"/>
    </xf>
    <xf numFmtId="177" fontId="9" fillId="3" borderId="15" xfId="0" applyNumberFormat="1" applyFont="1" applyFill="1" applyBorder="1">
      <alignment vertical="center"/>
    </xf>
    <xf numFmtId="177" fontId="9" fillId="3" borderId="16" xfId="0" applyNumberFormat="1" applyFont="1" applyFill="1" applyBorder="1">
      <alignment vertical="center"/>
    </xf>
    <xf numFmtId="178" fontId="9" fillId="3" borderId="15" xfId="0" applyNumberFormat="1" applyFont="1" applyFill="1" applyBorder="1">
      <alignment vertical="center"/>
    </xf>
    <xf numFmtId="178" fontId="9" fillId="3" borderId="16" xfId="0" applyNumberFormat="1" applyFont="1" applyFill="1" applyBorder="1">
      <alignment vertical="center"/>
    </xf>
    <xf numFmtId="180" fontId="9" fillId="3" borderId="0" xfId="0" applyNumberFormat="1" applyFont="1" applyFill="1">
      <alignment vertical="center"/>
    </xf>
    <xf numFmtId="0" fontId="10" fillId="3" borderId="0" xfId="0" applyFont="1" applyFill="1" applyAlignment="1">
      <alignment horizontal="center" vertical="center"/>
    </xf>
    <xf numFmtId="0" fontId="10" fillId="3" borderId="15" xfId="0" applyFont="1" applyFill="1" applyBorder="1" applyAlignment="1">
      <alignment horizontal="center" vertical="center"/>
    </xf>
    <xf numFmtId="180" fontId="9" fillId="3" borderId="13" xfId="0" applyNumberFormat="1" applyFont="1" applyFill="1" applyBorder="1">
      <alignment vertical="center"/>
    </xf>
    <xf numFmtId="0" fontId="11" fillId="3" borderId="11" xfId="0" applyFont="1" applyFill="1" applyBorder="1">
      <alignment vertical="center"/>
    </xf>
    <xf numFmtId="0" fontId="8" fillId="3" borderId="0" xfId="0" applyFont="1" applyFill="1">
      <alignment vertical="center"/>
    </xf>
    <xf numFmtId="0" fontId="12" fillId="3" borderId="0" xfId="0" applyFont="1" applyFill="1">
      <alignment vertical="center"/>
    </xf>
    <xf numFmtId="181" fontId="9" fillId="3" borderId="0" xfId="0" applyNumberFormat="1" applyFont="1" applyFill="1">
      <alignment vertical="center"/>
    </xf>
    <xf numFmtId="0" fontId="8" fillId="3" borderId="13" xfId="0" applyFont="1" applyFill="1" applyBorder="1" applyAlignment="1">
      <alignment horizontal="center" vertical="center"/>
    </xf>
    <xf numFmtId="181" fontId="9" fillId="3" borderId="13" xfId="0" applyNumberFormat="1" applyFont="1" applyFill="1" applyBorder="1">
      <alignment vertical="center"/>
    </xf>
    <xf numFmtId="182" fontId="9" fillId="3" borderId="15" xfId="0" applyNumberFormat="1" applyFont="1" applyFill="1" applyBorder="1">
      <alignment vertical="center"/>
    </xf>
    <xf numFmtId="182" fontId="9" fillId="3" borderId="0" xfId="0" applyNumberFormat="1" applyFont="1" applyFill="1">
      <alignment vertical="center"/>
    </xf>
    <xf numFmtId="182" fontId="9" fillId="3" borderId="16" xfId="0" applyNumberFormat="1" applyFont="1" applyFill="1" applyBorder="1">
      <alignment vertical="center"/>
    </xf>
    <xf numFmtId="182" fontId="9" fillId="3" borderId="13" xfId="0" applyNumberFormat="1" applyFont="1" applyFill="1" applyBorder="1">
      <alignment vertical="center"/>
    </xf>
    <xf numFmtId="0" fontId="8" fillId="3" borderId="17" xfId="0" applyFont="1" applyFill="1" applyBorder="1" applyAlignment="1">
      <alignment horizontal="center" vertical="center"/>
    </xf>
    <xf numFmtId="0" fontId="9" fillId="3" borderId="18" xfId="0" applyFont="1" applyFill="1" applyBorder="1">
      <alignment vertical="center"/>
    </xf>
    <xf numFmtId="0" fontId="9" fillId="3" borderId="19" xfId="0" applyFont="1" applyFill="1" applyBorder="1">
      <alignment vertical="center"/>
    </xf>
    <xf numFmtId="0" fontId="8" fillId="3" borderId="15" xfId="0" applyFont="1" applyFill="1" applyBorder="1" applyAlignment="1">
      <alignment horizontal="center" vertical="center"/>
    </xf>
    <xf numFmtId="0" fontId="13" fillId="4" borderId="0" xfId="0" applyFont="1" applyFill="1" applyAlignment="1">
      <alignment horizontal="center" vertical="center"/>
    </xf>
    <xf numFmtId="0" fontId="14" fillId="4" borderId="0" xfId="0" applyFont="1" applyFill="1" applyAlignment="1">
      <alignment horizontal="center" vertical="center"/>
    </xf>
    <xf numFmtId="0" fontId="15" fillId="4" borderId="0" xfId="0" applyFont="1" applyFill="1" applyAlignment="1">
      <alignment horizontal="center" vertical="center"/>
    </xf>
    <xf numFmtId="0" fontId="16" fillId="4" borderId="0" xfId="0" applyFont="1" applyFill="1" applyAlignment="1">
      <alignment horizontal="center" vertical="center"/>
    </xf>
    <xf numFmtId="0" fontId="17" fillId="4" borderId="0" xfId="0" applyFont="1" applyFill="1" applyAlignment="1">
      <alignment horizontal="center" vertical="center"/>
    </xf>
    <xf numFmtId="0" fontId="17" fillId="4" borderId="0" xfId="0" applyFont="1" applyFill="1">
      <alignment vertical="center"/>
    </xf>
    <xf numFmtId="0" fontId="18" fillId="5" borderId="0" xfId="0" applyFont="1" applyFill="1" applyAlignment="1">
      <alignment horizontal="center" vertical="center"/>
    </xf>
    <xf numFmtId="0" fontId="19" fillId="5" borderId="0" xfId="0" applyFont="1" applyFill="1" applyAlignment="1">
      <alignment horizontal="center" vertical="center"/>
    </xf>
    <xf numFmtId="0" fontId="14" fillId="5" borderId="0" xfId="0" applyFont="1" applyFill="1" applyAlignment="1">
      <alignment horizontal="center" vertical="center"/>
    </xf>
    <xf numFmtId="0" fontId="20" fillId="6" borderId="20" xfId="0" applyFont="1" applyFill="1" applyBorder="1" applyAlignment="1">
      <alignment horizontal="center" vertical="center"/>
    </xf>
    <xf numFmtId="0" fontId="21" fillId="6" borderId="20" xfId="0" applyFont="1" applyFill="1" applyBorder="1" applyAlignment="1">
      <alignment horizontal="center" vertical="center"/>
    </xf>
    <xf numFmtId="0" fontId="5" fillId="5" borderId="0" xfId="0" applyFont="1" applyFill="1" applyAlignment="1">
      <alignment horizontal="center" vertical="center"/>
    </xf>
    <xf numFmtId="179" fontId="15" fillId="0" borderId="20" xfId="0" applyNumberFormat="1" applyFont="1" applyBorder="1" applyAlignment="1">
      <alignment horizontal="center" vertical="center"/>
    </xf>
    <xf numFmtId="183" fontId="15" fillId="0" borderId="20" xfId="0" applyNumberFormat="1" applyFont="1" applyBorder="1" applyAlignment="1">
      <alignment horizontal="center" vertical="center"/>
    </xf>
    <xf numFmtId="0" fontId="17" fillId="5" borderId="0" xfId="0" applyFont="1" applyFill="1" applyAlignment="1">
      <alignment horizontal="center" vertical="center"/>
    </xf>
    <xf numFmtId="0" fontId="15" fillId="5" borderId="0" xfId="0" applyFont="1" applyFill="1" applyAlignment="1">
      <alignment horizontal="center" vertical="center"/>
    </xf>
    <xf numFmtId="184" fontId="21" fillId="6" borderId="20" xfId="0" applyNumberFormat="1" applyFont="1" applyFill="1" applyBorder="1" applyAlignment="1">
      <alignment horizontal="center" vertical="center"/>
    </xf>
    <xf numFmtId="185" fontId="21" fillId="6" borderId="20" xfId="0" applyNumberFormat="1" applyFont="1" applyFill="1" applyBorder="1" applyAlignment="1">
      <alignment horizontal="center" vertical="center"/>
    </xf>
    <xf numFmtId="0" fontId="15" fillId="0" borderId="20" xfId="0" applyFont="1" applyBorder="1" applyAlignment="1">
      <alignment horizontal="center" vertical="center"/>
    </xf>
    <xf numFmtId="186" fontId="22" fillId="6" borderId="21" xfId="0" applyNumberFormat="1" applyFont="1" applyFill="1" applyBorder="1" applyAlignment="1">
      <alignment horizontal="center" vertical="center"/>
    </xf>
    <xf numFmtId="187" fontId="15" fillId="0" borderId="20" xfId="0" applyNumberFormat="1" applyFont="1" applyBorder="1" applyAlignment="1">
      <alignment horizontal="center" vertical="center"/>
    </xf>
    <xf numFmtId="0" fontId="20" fillId="6" borderId="20" xfId="744" applyFont="1" applyFill="1" applyBorder="1" applyAlignment="1">
      <alignment horizontal="center"/>
    </xf>
    <xf numFmtId="188" fontId="15" fillId="0" borderId="20" xfId="744" applyNumberFormat="1" applyFont="1" applyBorder="1" applyAlignment="1">
      <alignment horizontal="center"/>
    </xf>
    <xf numFmtId="177" fontId="23" fillId="0" borderId="20" xfId="0" applyNumberFormat="1" applyFont="1" applyBorder="1" applyAlignment="1">
      <alignment horizontal="center" vertical="center"/>
    </xf>
    <xf numFmtId="184" fontId="15" fillId="0" borderId="20" xfId="0" applyNumberFormat="1" applyFont="1" applyBorder="1" applyAlignment="1">
      <alignment horizontal="center" vertical="center"/>
    </xf>
    <xf numFmtId="0" fontId="13" fillId="5" borderId="0" xfId="0" applyFont="1" applyFill="1">
      <alignment vertical="center"/>
    </xf>
    <xf numFmtId="0" fontId="16" fillId="5" borderId="0" xfId="0" applyFont="1" applyFill="1">
      <alignment vertical="center"/>
    </xf>
    <xf numFmtId="183" fontId="6" fillId="5" borderId="20" xfId="700" applyNumberFormat="1" applyFont="1" applyFill="1" applyBorder="1" applyAlignment="1">
      <alignment horizontal="center"/>
    </xf>
    <xf numFmtId="180" fontId="15" fillId="0" borderId="20" xfId="0" applyNumberFormat="1" applyFont="1" applyBorder="1" applyAlignment="1">
      <alignment horizontal="center" vertical="center"/>
    </xf>
    <xf numFmtId="10" fontId="15" fillId="5" borderId="20" xfId="0" applyNumberFormat="1" applyFont="1" applyFill="1" applyBorder="1" applyAlignment="1">
      <alignment horizontal="center" vertical="center"/>
    </xf>
    <xf numFmtId="186" fontId="15" fillId="5" borderId="20" xfId="0" applyNumberFormat="1" applyFont="1" applyFill="1" applyBorder="1" applyAlignment="1">
      <alignment horizontal="center" vertical="center"/>
    </xf>
    <xf numFmtId="0" fontId="15" fillId="5" borderId="20" xfId="0" applyFont="1" applyFill="1" applyBorder="1" applyAlignment="1">
      <alignment horizontal="center" vertical="center"/>
    </xf>
    <xf numFmtId="0" fontId="6" fillId="5" borderId="0" xfId="0" applyFont="1" applyFill="1" applyAlignment="1">
      <alignment horizontal="center" vertical="center"/>
    </xf>
    <xf numFmtId="176" fontId="15" fillId="0" borderId="20" xfId="0" applyNumberFormat="1" applyFont="1" applyBorder="1" applyAlignment="1">
      <alignment horizontal="center" vertical="center"/>
    </xf>
    <xf numFmtId="179" fontId="6" fillId="5" borderId="20" xfId="121" applyNumberFormat="1" applyFont="1" applyFill="1" applyBorder="1" applyAlignment="1">
      <alignment horizontal="center"/>
    </xf>
    <xf numFmtId="176" fontId="6" fillId="4" borderId="20" xfId="0" applyNumberFormat="1" applyFont="1" applyFill="1" applyBorder="1" applyAlignment="1">
      <alignment horizontal="center" vertical="center"/>
    </xf>
    <xf numFmtId="186" fontId="15" fillId="7" borderId="21" xfId="0" applyNumberFormat="1" applyFont="1" applyFill="1" applyBorder="1" applyAlignment="1">
      <alignment horizontal="center" vertical="center"/>
    </xf>
    <xf numFmtId="0" fontId="20" fillId="6" borderId="22" xfId="0" applyFont="1" applyFill="1" applyBorder="1" applyAlignment="1">
      <alignment horizontal="center" vertical="center"/>
    </xf>
    <xf numFmtId="179" fontId="6" fillId="5" borderId="20" xfId="121" applyNumberFormat="1" applyFont="1" applyFill="1" applyBorder="1" applyAlignment="1">
      <alignment horizontal="left"/>
    </xf>
    <xf numFmtId="179" fontId="6" fillId="5" borderId="22" xfId="121" applyNumberFormat="1" applyFont="1" applyFill="1" applyBorder="1" applyAlignment="1">
      <alignment horizontal="left"/>
    </xf>
    <xf numFmtId="179" fontId="15" fillId="0" borderId="20" xfId="744" applyNumberFormat="1" applyFont="1" applyBorder="1" applyAlignment="1">
      <alignment horizontal="center"/>
    </xf>
    <xf numFmtId="0" fontId="16" fillId="5" borderId="22" xfId="0" applyFont="1" applyFill="1" applyBorder="1">
      <alignment vertical="center"/>
    </xf>
    <xf numFmtId="0" fontId="6" fillId="5" borderId="0" xfId="744" applyFont="1" applyFill="1" applyAlignment="1">
      <alignment horizontal="center"/>
    </xf>
    <xf numFmtId="184" fontId="6" fillId="0" borderId="20" xfId="0" applyNumberFormat="1" applyFont="1" applyBorder="1" applyAlignment="1">
      <alignment horizontal="center" vertical="center"/>
    </xf>
    <xf numFmtId="0" fontId="6" fillId="4" borderId="20" xfId="0" applyFont="1" applyFill="1" applyBorder="1" applyAlignment="1">
      <alignment horizontal="center" vertical="center"/>
    </xf>
    <xf numFmtId="0" fontId="21" fillId="6" borderId="23" xfId="0" applyFont="1" applyFill="1" applyBorder="1" applyAlignment="1">
      <alignment horizontal="center" vertical="center"/>
    </xf>
    <xf numFmtId="0" fontId="21" fillId="6" borderId="20" xfId="0" applyFont="1" applyFill="1" applyBorder="1">
      <alignment vertical="center"/>
    </xf>
    <xf numFmtId="0" fontId="15" fillId="0" borderId="23" xfId="0" applyFont="1" applyBorder="1" applyAlignment="1">
      <alignment horizontal="center" vertical="center"/>
    </xf>
    <xf numFmtId="184" fontId="15" fillId="5" borderId="20" xfId="0" applyNumberFormat="1" applyFont="1" applyFill="1" applyBorder="1" applyAlignment="1">
      <alignment horizontal="center" vertical="center"/>
    </xf>
    <xf numFmtId="0" fontId="24" fillId="6" borderId="20" xfId="0" applyFont="1" applyFill="1" applyBorder="1" applyAlignment="1">
      <alignment horizontal="center" vertical="center"/>
    </xf>
    <xf numFmtId="178" fontId="15" fillId="8" borderId="20" xfId="0" applyNumberFormat="1" applyFont="1" applyFill="1" applyBorder="1" applyAlignment="1">
      <alignment horizontal="center" vertical="center"/>
    </xf>
    <xf numFmtId="0" fontId="15" fillId="5" borderId="0" xfId="0" applyFont="1" applyFill="1">
      <alignment vertical="center"/>
    </xf>
    <xf numFmtId="189" fontId="6" fillId="0" borderId="20" xfId="0" applyNumberFormat="1" applyFont="1" applyBorder="1" applyAlignment="1">
      <alignment horizontal="center" vertical="center"/>
    </xf>
    <xf numFmtId="189" fontId="15" fillId="0" borderId="20" xfId="0" applyNumberFormat="1" applyFont="1" applyBorder="1" applyAlignment="1">
      <alignment horizontal="center" vertical="center"/>
    </xf>
    <xf numFmtId="0" fontId="25" fillId="6" borderId="21" xfId="0" applyFont="1" applyFill="1" applyBorder="1" applyAlignment="1">
      <alignment horizontal="center" vertical="center"/>
    </xf>
    <xf numFmtId="184" fontId="15" fillId="4" borderId="21" xfId="0" applyNumberFormat="1" applyFont="1" applyFill="1" applyBorder="1" applyAlignment="1">
      <alignment horizontal="center" vertical="center"/>
    </xf>
    <xf numFmtId="0" fontId="6" fillId="0" borderId="20" xfId="0" applyFont="1" applyBorder="1" applyAlignment="1">
      <alignment horizontal="center" vertical="center"/>
    </xf>
    <xf numFmtId="0" fontId="25" fillId="6" borderId="20" xfId="0" applyFont="1" applyFill="1" applyBorder="1" applyAlignment="1">
      <alignment horizontal="center" vertical="center"/>
    </xf>
    <xf numFmtId="0" fontId="20" fillId="9" borderId="20" xfId="215" applyFont="1" applyFill="1" applyBorder="1" applyAlignment="1">
      <alignment horizontal="center"/>
    </xf>
    <xf numFmtId="190" fontId="6" fillId="10" borderId="20" xfId="215" applyNumberFormat="1" applyFont="1" applyFill="1" applyBorder="1" applyAlignment="1">
      <alignment horizontal="center"/>
    </xf>
    <xf numFmtId="0" fontId="18" fillId="5" borderId="0" xfId="0" applyFont="1" applyFill="1">
      <alignment vertical="center"/>
    </xf>
    <xf numFmtId="0" fontId="17" fillId="5" borderId="0" xfId="0" applyFont="1" applyFill="1">
      <alignment vertical="center"/>
    </xf>
    <xf numFmtId="0" fontId="26" fillId="5" borderId="0" xfId="0" applyFont="1" applyFill="1" applyAlignment="1">
      <alignment horizontal="center" vertical="center"/>
    </xf>
    <xf numFmtId="10" fontId="15" fillId="5" borderId="0" xfId="0" applyNumberFormat="1" applyFont="1" applyFill="1" applyAlignment="1">
      <alignment horizontal="center" vertical="center"/>
    </xf>
    <xf numFmtId="0" fontId="27" fillId="5" borderId="0" xfId="0" applyFont="1" applyFill="1" applyAlignment="1">
      <alignment horizontal="center" vertical="center"/>
    </xf>
    <xf numFmtId="186" fontId="15" fillId="5" borderId="0" xfId="0" applyNumberFormat="1" applyFont="1" applyFill="1" applyAlignment="1">
      <alignment horizontal="center" vertical="center"/>
    </xf>
    <xf numFmtId="10" fontId="28" fillId="4" borderId="22" xfId="0" applyNumberFormat="1" applyFont="1" applyFill="1" applyBorder="1" applyAlignment="1">
      <alignment horizontal="center" vertical="center"/>
    </xf>
    <xf numFmtId="179" fontId="15" fillId="5" borderId="0" xfId="0" applyNumberFormat="1" applyFont="1" applyFill="1" applyAlignment="1">
      <alignment horizontal="center" vertical="center"/>
    </xf>
    <xf numFmtId="0" fontId="29" fillId="6" borderId="22" xfId="0" applyFont="1" applyFill="1" applyBorder="1" applyAlignment="1">
      <alignment horizontal="center" vertical="center" wrapText="1"/>
    </xf>
    <xf numFmtId="0" fontId="6" fillId="5" borderId="0" xfId="154" applyFont="1" applyFill="1" applyAlignment="1">
      <alignment horizontal="center"/>
    </xf>
    <xf numFmtId="180" fontId="30" fillId="7" borderId="22" xfId="0" applyNumberFormat="1" applyFont="1" applyFill="1" applyBorder="1" applyAlignment="1">
      <alignment horizontal="center" vertical="center"/>
    </xf>
    <xf numFmtId="180" fontId="30" fillId="7" borderId="20" xfId="0" applyNumberFormat="1" applyFont="1" applyFill="1" applyBorder="1" applyAlignment="1">
      <alignment horizontal="center" vertical="center"/>
    </xf>
    <xf numFmtId="184" fontId="15" fillId="5" borderId="0" xfId="0" applyNumberFormat="1" applyFont="1" applyFill="1" applyAlignment="1">
      <alignment horizontal="center" vertical="center"/>
    </xf>
    <xf numFmtId="184" fontId="6" fillId="5" borderId="0" xfId="0" applyNumberFormat="1" applyFont="1" applyFill="1" applyAlignment="1">
      <alignment horizontal="center" vertical="center"/>
    </xf>
    <xf numFmtId="191" fontId="6" fillId="0" borderId="20" xfId="0" applyNumberFormat="1" applyFont="1" applyBorder="1" applyAlignment="1">
      <alignment horizontal="center" vertical="center"/>
    </xf>
    <xf numFmtId="184" fontId="15" fillId="5" borderId="22" xfId="0" applyNumberFormat="1" applyFont="1" applyFill="1" applyBorder="1" applyAlignment="1">
      <alignment horizontal="center" vertical="center"/>
    </xf>
    <xf numFmtId="184" fontId="31" fillId="7" borderId="20" xfId="0" applyNumberFormat="1" applyFont="1" applyFill="1" applyBorder="1" applyAlignment="1">
      <alignment horizontal="center" vertical="center"/>
    </xf>
    <xf numFmtId="184" fontId="5" fillId="7" borderId="20" xfId="0" applyNumberFormat="1" applyFont="1" applyFill="1" applyBorder="1" applyAlignment="1">
      <alignment horizontal="center" vertical="center"/>
    </xf>
    <xf numFmtId="184" fontId="23" fillId="5" borderId="0" xfId="0" applyNumberFormat="1" applyFont="1" applyFill="1" applyAlignment="1">
      <alignment horizontal="center" vertical="center"/>
    </xf>
    <xf numFmtId="189" fontId="6" fillId="5" borderId="0" xfId="0" applyNumberFormat="1" applyFont="1" applyFill="1" applyAlignment="1">
      <alignment horizontal="center" vertical="center"/>
    </xf>
    <xf numFmtId="189" fontId="15" fillId="5" borderId="0" xfId="0" applyNumberFormat="1" applyFont="1" applyFill="1" applyAlignment="1">
      <alignment horizontal="center" vertical="center"/>
    </xf>
    <xf numFmtId="0" fontId="6" fillId="5" borderId="22" xfId="700" applyFont="1" applyFill="1" applyBorder="1" applyAlignment="1">
      <alignment horizontal="center"/>
    </xf>
    <xf numFmtId="184" fontId="20" fillId="6" borderId="20" xfId="0" applyNumberFormat="1" applyFont="1" applyFill="1" applyBorder="1" applyAlignment="1">
      <alignment horizontal="center" vertical="center"/>
    </xf>
    <xf numFmtId="0" fontId="6" fillId="5" borderId="20" xfId="700" applyFont="1" applyFill="1" applyBorder="1" applyAlignment="1">
      <alignment horizontal="center"/>
    </xf>
    <xf numFmtId="184" fontId="15" fillId="0" borderId="22" xfId="0" applyNumberFormat="1" applyFont="1" applyBorder="1" applyAlignment="1">
      <alignment horizontal="center" vertical="center"/>
    </xf>
    <xf numFmtId="184" fontId="26" fillId="0" borderId="20" xfId="0" applyNumberFormat="1" applyFont="1" applyBorder="1" applyAlignment="1">
      <alignment horizontal="center" vertical="center"/>
    </xf>
    <xf numFmtId="0" fontId="21" fillId="6" borderId="22" xfId="0" applyFont="1" applyFill="1" applyBorder="1" applyAlignment="1">
      <alignment horizontal="center" vertical="center"/>
    </xf>
    <xf numFmtId="9" fontId="6" fillId="0" borderId="20" xfId="3" applyFont="1" applyFill="1" applyBorder="1" applyAlignment="1" applyProtection="1">
      <alignment horizontal="center" vertical="center"/>
    </xf>
    <xf numFmtId="0" fontId="23" fillId="5" borderId="0" xfId="0" applyFont="1" applyFill="1" applyAlignment="1">
      <alignment horizontal="center" vertical="center"/>
    </xf>
    <xf numFmtId="9" fontId="6" fillId="5" borderId="0" xfId="3" applyFont="1" applyFill="1" applyBorder="1" applyAlignment="1" applyProtection="1">
      <alignment horizontal="center" vertical="center"/>
    </xf>
    <xf numFmtId="9" fontId="20" fillId="6" borderId="20" xfId="3" applyFont="1" applyFill="1" applyBorder="1" applyAlignment="1" applyProtection="1">
      <alignment horizontal="center" vertical="center"/>
    </xf>
    <xf numFmtId="0" fontId="6" fillId="0" borderId="20" xfId="3" applyNumberFormat="1" applyFont="1" applyFill="1" applyBorder="1" applyAlignment="1" applyProtection="1">
      <alignment horizontal="center" vertical="center"/>
    </xf>
    <xf numFmtId="0" fontId="20" fillId="6" borderId="20" xfId="215" applyFont="1" applyFill="1" applyBorder="1" applyAlignment="1">
      <alignment horizontal="center"/>
    </xf>
    <xf numFmtId="179" fontId="6" fillId="0" borderId="20" xfId="232" applyNumberFormat="1" applyFont="1" applyBorder="1" applyAlignment="1">
      <alignment horizontal="center"/>
    </xf>
    <xf numFmtId="192" fontId="6" fillId="0" borderId="20" xfId="215" applyNumberFormat="1" applyFont="1" applyBorder="1" applyAlignment="1">
      <alignment horizontal="center"/>
    </xf>
    <xf numFmtId="0" fontId="32" fillId="6" borderId="20" xfId="215" applyFont="1" applyFill="1" applyBorder="1" applyAlignment="1">
      <alignment horizontal="center"/>
    </xf>
    <xf numFmtId="0" fontId="6" fillId="5" borderId="0" xfId="215" applyFont="1" applyFill="1" applyAlignment="1">
      <alignment horizontal="center"/>
    </xf>
    <xf numFmtId="180" fontId="6" fillId="0" borderId="20" xfId="215" applyNumberFormat="1" applyFont="1" applyBorder="1" applyAlignment="1">
      <alignment horizontal="center"/>
    </xf>
    <xf numFmtId="180" fontId="6" fillId="7" borderId="20" xfId="215" applyNumberFormat="1" applyFont="1" applyFill="1" applyBorder="1" applyAlignment="1">
      <alignment horizontal="center"/>
    </xf>
    <xf numFmtId="0" fontId="6" fillId="5" borderId="20" xfId="0" applyFont="1" applyFill="1" applyBorder="1" applyAlignment="1">
      <alignment horizontal="center" vertical="center"/>
    </xf>
    <xf numFmtId="0" fontId="20" fillId="6" borderId="20" xfId="502" applyFont="1" applyFill="1" applyBorder="1" applyAlignment="1">
      <alignment horizontal="center"/>
    </xf>
    <xf numFmtId="0" fontId="21" fillId="6" borderId="20" xfId="502" applyFont="1" applyFill="1" applyBorder="1" applyAlignment="1">
      <alignment horizontal="center"/>
    </xf>
    <xf numFmtId="192" fontId="6" fillId="0" borderId="20" xfId="502" applyNumberFormat="1" applyFont="1" applyBorder="1" applyAlignment="1">
      <alignment horizontal="center"/>
    </xf>
    <xf numFmtId="192" fontId="6" fillId="0" borderId="20" xfId="512" applyNumberFormat="1" applyFont="1" applyBorder="1" applyAlignment="1">
      <alignment horizontal="center"/>
    </xf>
    <xf numFmtId="0" fontId="20" fillId="6" borderId="20" xfId="0" applyFont="1" applyFill="1" applyBorder="1" applyAlignment="1">
      <alignment horizontal="center" vertical="center" wrapText="1"/>
    </xf>
    <xf numFmtId="0" fontId="33" fillId="7" borderId="20" xfId="667" applyFont="1" applyFill="1" applyBorder="1" applyAlignment="1">
      <alignment horizontal="center" wrapText="1"/>
    </xf>
    <xf numFmtId="179" fontId="33" fillId="7" borderId="20" xfId="667" applyNumberFormat="1" applyFont="1" applyFill="1" applyBorder="1" applyAlignment="1">
      <alignment horizontal="center" wrapText="1"/>
    </xf>
    <xf numFmtId="10" fontId="33" fillId="7" borderId="20" xfId="667" applyNumberFormat="1" applyFont="1" applyFill="1" applyBorder="1" applyAlignment="1">
      <alignment horizontal="center" wrapText="1"/>
    </xf>
    <xf numFmtId="0" fontId="32" fillId="11" borderId="20" xfId="215" applyFont="1" applyFill="1" applyBorder="1" applyAlignment="1" applyProtection="1">
      <alignment horizontal="center" vertical="center"/>
      <protection hidden="1"/>
    </xf>
    <xf numFmtId="0" fontId="32" fillId="11" borderId="22" xfId="215" applyFont="1" applyFill="1" applyBorder="1" applyAlignment="1" applyProtection="1">
      <alignment horizontal="center" vertical="center"/>
      <protection hidden="1"/>
    </xf>
    <xf numFmtId="193" fontId="34" fillId="12" borderId="20" xfId="215" applyNumberFormat="1" applyFont="1" applyFill="1" applyBorder="1" applyAlignment="1" applyProtection="1">
      <alignment horizontal="center" vertical="center"/>
      <protection hidden="1"/>
    </xf>
    <xf numFmtId="193" fontId="34" fillId="12" borderId="22" xfId="215" applyNumberFormat="1" applyFont="1" applyFill="1" applyBorder="1" applyAlignment="1" applyProtection="1">
      <alignment horizontal="center" vertical="center"/>
      <protection hidden="1"/>
    </xf>
    <xf numFmtId="0" fontId="35" fillId="7" borderId="20" xfId="0" applyFont="1" applyFill="1" applyBorder="1" applyAlignment="1">
      <alignment horizontal="center" vertical="center" wrapText="1"/>
    </xf>
    <xf numFmtId="0" fontId="16" fillId="7" borderId="20" xfId="0" applyFont="1" applyFill="1" applyBorder="1" applyAlignment="1">
      <alignment horizontal="center" vertical="center" wrapText="1"/>
    </xf>
    <xf numFmtId="184" fontId="16" fillId="7" borderId="20" xfId="0" applyNumberFormat="1" applyFont="1" applyFill="1" applyBorder="1" applyAlignment="1">
      <alignment horizontal="center" vertical="center" wrapText="1"/>
    </xf>
    <xf numFmtId="189" fontId="16" fillId="7" borderId="20" xfId="0" applyNumberFormat="1" applyFont="1" applyFill="1" applyBorder="1" applyAlignment="1">
      <alignment horizontal="center" vertical="center" wrapText="1"/>
    </xf>
    <xf numFmtId="177" fontId="16" fillId="7" borderId="20" xfId="0" applyNumberFormat="1" applyFont="1" applyFill="1" applyBorder="1" applyAlignment="1">
      <alignment horizontal="center" vertical="center" wrapText="1"/>
    </xf>
    <xf numFmtId="3" fontId="16" fillId="7" borderId="20" xfId="0" applyNumberFormat="1" applyFont="1" applyFill="1" applyBorder="1" applyAlignment="1">
      <alignment horizontal="center" vertical="center" wrapText="1"/>
    </xf>
    <xf numFmtId="0" fontId="33" fillId="7" borderId="20" xfId="535" applyFont="1" applyFill="1" applyBorder="1" applyAlignment="1">
      <alignment horizontal="center"/>
    </xf>
    <xf numFmtId="3" fontId="33" fillId="7" borderId="20" xfId="535" applyNumberFormat="1" applyFont="1" applyFill="1" applyBorder="1" applyAlignment="1">
      <alignment horizontal="center"/>
    </xf>
    <xf numFmtId="0" fontId="36" fillId="13" borderId="0" xfId="0" applyFont="1" applyFill="1" applyAlignment="1">
      <alignment horizontal="center" vertical="center"/>
    </xf>
    <xf numFmtId="0" fontId="37" fillId="13" borderId="0" xfId="0" applyFont="1" applyFill="1" applyAlignment="1">
      <alignment horizontal="center" vertical="center"/>
    </xf>
    <xf numFmtId="10" fontId="16" fillId="7" borderId="20" xfId="0" applyNumberFormat="1" applyFont="1" applyFill="1" applyBorder="1" applyAlignment="1">
      <alignment horizontal="center" vertical="center" wrapText="1"/>
    </xf>
    <xf numFmtId="0" fontId="33" fillId="7" borderId="20" xfId="568" applyFont="1" applyFill="1" applyBorder="1" applyAlignment="1">
      <alignment horizontal="center"/>
    </xf>
    <xf numFmtId="10" fontId="33" fillId="7" borderId="20" xfId="568" applyNumberFormat="1" applyFont="1" applyFill="1" applyBorder="1" applyAlignment="1">
      <alignment horizontal="center"/>
    </xf>
    <xf numFmtId="0" fontId="20" fillId="6" borderId="22" xfId="0" applyFont="1" applyFill="1" applyBorder="1" applyAlignment="1">
      <alignment horizontal="center" vertical="center" wrapText="1"/>
    </xf>
    <xf numFmtId="0" fontId="38" fillId="6" borderId="20" xfId="739" applyFont="1" applyFill="1" applyBorder="1" applyAlignment="1">
      <alignment horizontal="center" vertical="center"/>
    </xf>
    <xf numFmtId="0" fontId="33" fillId="7" borderId="22" xfId="667" applyFont="1" applyFill="1" applyBorder="1" applyAlignment="1">
      <alignment horizontal="center" wrapText="1"/>
    </xf>
    <xf numFmtId="0" fontId="16" fillId="7" borderId="20" xfId="0" applyFont="1" applyFill="1" applyBorder="1" applyAlignment="1">
      <alignment horizontal="center" vertical="center"/>
    </xf>
    <xf numFmtId="0" fontId="16" fillId="7" borderId="22" xfId="0" applyFont="1" applyFill="1" applyBorder="1" applyAlignment="1">
      <alignment horizontal="center" vertical="center"/>
    </xf>
    <xf numFmtId="180" fontId="6" fillId="4" borderId="20" xfId="0" applyNumberFormat="1" applyFont="1" applyFill="1" applyBorder="1" applyAlignment="1">
      <alignment horizontal="center" vertical="center"/>
    </xf>
    <xf numFmtId="181" fontId="3" fillId="4" borderId="20" xfId="737" applyNumberFormat="1" applyFont="1" applyFill="1" applyBorder="1" applyAlignment="1">
      <alignment horizontal="center" vertical="center"/>
    </xf>
    <xf numFmtId="0" fontId="18" fillId="5" borderId="0" xfId="0" applyFont="1" applyFill="1" applyAlignment="1" applyProtection="1">
      <alignment horizontal="center" vertical="center"/>
      <protection hidden="1"/>
    </xf>
    <xf numFmtId="0" fontId="14" fillId="5" borderId="0" xfId="0" applyFont="1" applyFill="1" applyAlignment="1" applyProtection="1">
      <alignment horizontal="center" vertical="center"/>
      <protection hidden="1"/>
    </xf>
    <xf numFmtId="0" fontId="17" fillId="4" borderId="0" xfId="0" applyFont="1" applyFill="1" applyAlignment="1" applyProtection="1">
      <alignment horizontal="center" vertical="center"/>
      <protection hidden="1"/>
    </xf>
    <xf numFmtId="0" fontId="32" fillId="6" borderId="20" xfId="0" applyFont="1" applyFill="1" applyBorder="1" applyAlignment="1" applyProtection="1">
      <alignment horizontal="center" vertical="center"/>
      <protection hidden="1"/>
    </xf>
    <xf numFmtId="0" fontId="27" fillId="6" borderId="20" xfId="0" applyFont="1" applyFill="1" applyBorder="1" applyAlignment="1" applyProtection="1">
      <alignment horizontal="center" vertical="center"/>
      <protection hidden="1"/>
    </xf>
    <xf numFmtId="0" fontId="27" fillId="6" borderId="20" xfId="0" applyFont="1" applyFill="1" applyBorder="1" applyAlignment="1" applyProtection="1">
      <alignment horizontal="center" vertical="center" wrapText="1"/>
      <protection hidden="1"/>
    </xf>
    <xf numFmtId="0" fontId="15" fillId="0" borderId="20" xfId="0" applyFont="1" applyBorder="1" applyAlignment="1" applyProtection="1">
      <alignment horizontal="center" vertical="center" wrapText="1"/>
      <protection hidden="1"/>
    </xf>
    <xf numFmtId="0" fontId="6" fillId="0" borderId="20" xfId="0" applyFont="1" applyBorder="1" applyAlignment="1" applyProtection="1">
      <alignment horizontal="center" vertical="center" wrapText="1"/>
      <protection hidden="1"/>
    </xf>
    <xf numFmtId="177" fontId="6" fillId="0" borderId="20" xfId="0" applyNumberFormat="1" applyFont="1" applyBorder="1" applyAlignment="1" applyProtection="1">
      <alignment horizontal="center" vertical="center"/>
      <protection hidden="1"/>
    </xf>
    <xf numFmtId="0" fontId="32" fillId="6" borderId="20" xfId="0" applyFont="1" applyFill="1" applyBorder="1" applyAlignment="1" applyProtection="1">
      <alignment horizontal="center" vertical="center" wrapText="1"/>
      <protection hidden="1"/>
    </xf>
    <xf numFmtId="0" fontId="15" fillId="0" borderId="20" xfId="0" applyFont="1" applyBorder="1" applyAlignment="1" applyProtection="1">
      <alignment horizontal="center" vertical="center"/>
      <protection hidden="1"/>
    </xf>
    <xf numFmtId="179" fontId="15" fillId="0" borderId="20" xfId="0" applyNumberFormat="1" applyFont="1" applyBorder="1" applyAlignment="1" applyProtection="1">
      <alignment horizontal="center" vertical="center"/>
      <protection hidden="1"/>
    </xf>
    <xf numFmtId="0" fontId="15" fillId="4" borderId="0" xfId="0" applyFont="1" applyFill="1" applyAlignment="1" applyProtection="1">
      <alignment horizontal="center" vertical="center"/>
      <protection hidden="1"/>
    </xf>
    <xf numFmtId="0" fontId="6" fillId="4" borderId="0" xfId="0" applyFont="1" applyFill="1" applyAlignment="1" applyProtection="1">
      <alignment horizontal="center" vertical="center"/>
      <protection hidden="1"/>
    </xf>
    <xf numFmtId="194" fontId="15" fillId="0" borderId="20" xfId="0" applyNumberFormat="1" applyFont="1" applyBorder="1" applyAlignment="1" applyProtection="1">
      <alignment horizontal="center" vertical="center"/>
      <protection hidden="1"/>
    </xf>
    <xf numFmtId="0" fontId="6" fillId="4" borderId="20" xfId="0" applyFont="1" applyFill="1" applyBorder="1" applyAlignment="1" applyProtection="1">
      <alignment horizontal="center" vertical="center"/>
      <protection hidden="1"/>
    </xf>
    <xf numFmtId="177" fontId="15" fillId="0" borderId="20" xfId="0" applyNumberFormat="1" applyFont="1" applyBorder="1" applyAlignment="1" applyProtection="1">
      <alignment horizontal="center" vertical="center"/>
      <protection hidden="1"/>
    </xf>
    <xf numFmtId="0" fontId="15" fillId="4" borderId="20" xfId="0" applyFont="1" applyFill="1" applyBorder="1" applyAlignment="1" applyProtection="1">
      <alignment horizontal="center" vertical="center"/>
      <protection hidden="1"/>
    </xf>
    <xf numFmtId="178" fontId="15" fillId="0" borderId="20" xfId="0" applyNumberFormat="1" applyFont="1" applyBorder="1" applyAlignment="1" applyProtection="1">
      <alignment horizontal="center" vertical="center"/>
      <protection hidden="1"/>
    </xf>
    <xf numFmtId="0" fontId="13" fillId="5" borderId="0" xfId="0" applyFont="1" applyFill="1" applyAlignment="1" applyProtection="1">
      <alignment horizontal="center" vertical="center"/>
      <protection hidden="1"/>
    </xf>
    <xf numFmtId="0" fontId="16" fillId="4" borderId="0" xfId="0" applyFont="1" applyFill="1" applyAlignment="1" applyProtection="1">
      <alignment horizontal="center" vertical="center"/>
      <protection hidden="1"/>
    </xf>
    <xf numFmtId="0" fontId="39" fillId="6" borderId="20" xfId="23" applyFont="1" applyFill="1" applyBorder="1" applyAlignment="1">
      <alignment horizontal="center" vertical="center"/>
    </xf>
    <xf numFmtId="194" fontId="15" fillId="0" borderId="20" xfId="0" applyNumberFormat="1" applyFont="1" applyBorder="1" applyAlignment="1" applyProtection="1">
      <alignment horizontal="center" vertical="center" wrapText="1"/>
      <protection hidden="1"/>
    </xf>
    <xf numFmtId="0" fontId="36" fillId="6" borderId="20" xfId="0" applyFont="1" applyFill="1" applyBorder="1" applyAlignment="1" applyProtection="1">
      <alignment horizontal="center" vertical="center"/>
      <protection hidden="1"/>
    </xf>
    <xf numFmtId="0" fontId="20" fillId="6" borderId="20" xfId="0" applyFont="1" applyFill="1" applyBorder="1" applyAlignment="1" applyProtection="1">
      <alignment horizontal="center" vertical="center"/>
      <protection hidden="1"/>
    </xf>
    <xf numFmtId="177" fontId="6" fillId="4" borderId="20" xfId="0" applyNumberFormat="1" applyFont="1" applyFill="1" applyBorder="1" applyAlignment="1" applyProtection="1">
      <alignment horizontal="center" vertical="center"/>
      <protection hidden="1"/>
    </xf>
    <xf numFmtId="0" fontId="40" fillId="6" borderId="20" xfId="0" applyFont="1" applyFill="1" applyBorder="1" applyAlignment="1">
      <alignment horizontal="left" vertical="center"/>
    </xf>
    <xf numFmtId="0" fontId="41" fillId="4" borderId="0" xfId="0" applyFont="1" applyFill="1" applyAlignment="1" applyProtection="1">
      <alignment horizontal="center" vertical="center"/>
      <protection hidden="1"/>
    </xf>
    <xf numFmtId="194" fontId="6" fillId="0" borderId="20" xfId="0" applyNumberFormat="1" applyFont="1" applyBorder="1" applyAlignment="1" applyProtection="1">
      <alignment horizontal="center" vertical="center" wrapText="1"/>
      <protection hidden="1"/>
    </xf>
    <xf numFmtId="194" fontId="6" fillId="0" borderId="20" xfId="0" applyNumberFormat="1" applyFont="1" applyBorder="1" applyAlignment="1" applyProtection="1">
      <alignment horizontal="center" vertical="center"/>
      <protection hidden="1"/>
    </xf>
    <xf numFmtId="2" fontId="6" fillId="0" borderId="24" xfId="215" applyNumberFormat="1" applyFont="1" applyBorder="1" applyAlignment="1">
      <alignment horizontal="center" vertical="center"/>
    </xf>
    <xf numFmtId="2" fontId="6" fillId="0" borderId="25" xfId="215" applyNumberFormat="1" applyFont="1" applyBorder="1" applyAlignment="1">
      <alignment horizontal="center" vertical="center"/>
    </xf>
    <xf numFmtId="0" fontId="42" fillId="14" borderId="20" xfId="23" applyBorder="1" applyAlignment="1">
      <alignment horizontal="center" vertical="center"/>
    </xf>
    <xf numFmtId="0" fontId="43" fillId="4" borderId="0" xfId="0" applyFont="1" applyFill="1" applyAlignment="1" applyProtection="1">
      <alignment horizontal="center" vertical="center"/>
      <protection hidden="1"/>
    </xf>
    <xf numFmtId="0" fontId="44" fillId="5" borderId="0" xfId="0" applyFont="1" applyFill="1" applyAlignment="1" applyProtection="1">
      <alignment horizontal="center" vertical="center"/>
      <protection hidden="1"/>
    </xf>
    <xf numFmtId="0" fontId="45" fillId="4" borderId="0" xfId="0" applyFont="1" applyFill="1" applyAlignment="1" applyProtection="1">
      <alignment horizontal="center" vertical="center"/>
      <protection hidden="1"/>
    </xf>
    <xf numFmtId="0" fontId="46" fillId="4" borderId="0" xfId="0" applyFont="1" applyFill="1" applyAlignment="1">
      <alignment horizontal="center" vertical="center"/>
    </xf>
    <xf numFmtId="0" fontId="47" fillId="4" borderId="0" xfId="0" applyFont="1" applyFill="1" applyAlignment="1">
      <alignment horizontal="center" vertical="center"/>
    </xf>
    <xf numFmtId="176" fontId="15" fillId="0" borderId="20" xfId="0" applyNumberFormat="1" applyFont="1" applyBorder="1" applyAlignment="1" applyProtection="1">
      <alignment horizontal="center" vertical="center"/>
      <protection hidden="1"/>
    </xf>
    <xf numFmtId="179" fontId="47" fillId="4" borderId="0" xfId="0" applyNumberFormat="1" applyFont="1" applyFill="1" applyAlignment="1">
      <alignment horizontal="center" vertical="center"/>
    </xf>
    <xf numFmtId="180" fontId="47" fillId="4" borderId="0" xfId="0" applyNumberFormat="1" applyFont="1" applyFill="1" applyAlignment="1">
      <alignment horizontal="center" vertical="center"/>
    </xf>
    <xf numFmtId="0" fontId="43" fillId="4" borderId="0" xfId="0" applyFont="1" applyFill="1" applyAlignment="1">
      <alignment horizontal="center" vertical="center"/>
    </xf>
    <xf numFmtId="0" fontId="48" fillId="4" borderId="0" xfId="0" applyFont="1" applyFill="1" applyAlignment="1">
      <alignment horizontal="center" vertical="center"/>
    </xf>
    <xf numFmtId="0" fontId="49" fillId="4" borderId="0" xfId="0" applyFont="1" applyFill="1" applyAlignment="1">
      <alignment horizontal="center" vertical="center"/>
    </xf>
    <xf numFmtId="0" fontId="15" fillId="0" borderId="20" xfId="0" applyFont="1" applyBorder="1" applyAlignment="1">
      <alignment horizontal="center" vertical="center" wrapText="1"/>
    </xf>
    <xf numFmtId="191" fontId="15" fillId="0" borderId="20" xfId="0" applyNumberFormat="1" applyFont="1" applyBorder="1" applyAlignment="1">
      <alignment horizontal="center" vertical="center" wrapText="1"/>
    </xf>
    <xf numFmtId="0" fontId="50" fillId="6" borderId="20" xfId="0" applyFont="1" applyFill="1" applyBorder="1" applyAlignment="1">
      <alignment horizontal="center" vertical="center"/>
    </xf>
    <xf numFmtId="0" fontId="51" fillId="6" borderId="20" xfId="0" applyFont="1" applyFill="1" applyBorder="1" applyAlignment="1">
      <alignment horizontal="center" vertical="center"/>
    </xf>
    <xf numFmtId="195" fontId="15" fillId="0" borderId="20" xfId="0" applyNumberFormat="1" applyFont="1" applyBorder="1" applyAlignment="1">
      <alignment horizontal="center" vertical="center" wrapText="1"/>
    </xf>
    <xf numFmtId="0" fontId="52" fillId="5" borderId="0" xfId="0" applyFont="1" applyFill="1" applyAlignment="1">
      <alignment horizontal="left"/>
    </xf>
    <xf numFmtId="0" fontId="53" fillId="6" borderId="20" xfId="0" applyFont="1" applyFill="1" applyBorder="1" applyAlignment="1">
      <alignment horizontal="center" vertical="center"/>
    </xf>
    <xf numFmtId="179" fontId="16" fillId="0" borderId="20" xfId="0" applyNumberFormat="1" applyFont="1" applyBorder="1" applyAlignment="1">
      <alignment horizontal="center" vertical="center"/>
    </xf>
    <xf numFmtId="0" fontId="16" fillId="0" borderId="20" xfId="0" applyFont="1" applyBorder="1" applyAlignment="1">
      <alignment horizontal="center" vertical="center"/>
    </xf>
    <xf numFmtId="179" fontId="6" fillId="10" borderId="20" xfId="215" applyNumberFormat="1" applyFont="1" applyFill="1" applyBorder="1" applyAlignment="1">
      <alignment horizontal="center"/>
    </xf>
    <xf numFmtId="0" fontId="20" fillId="6" borderId="20" xfId="215" applyFont="1" applyFill="1" applyBorder="1" applyAlignment="1" applyProtection="1">
      <alignment horizontal="center" vertical="center"/>
      <protection hidden="1"/>
    </xf>
    <xf numFmtId="193" fontId="54" fillId="12" borderId="20" xfId="215" applyNumberFormat="1" applyFont="1" applyFill="1" applyBorder="1" applyAlignment="1" applyProtection="1">
      <alignment horizontal="center" vertical="center"/>
      <protection hidden="1"/>
    </xf>
    <xf numFmtId="0" fontId="16" fillId="4" borderId="0" xfId="0" applyFont="1" applyFill="1">
      <alignment vertical="center"/>
    </xf>
    <xf numFmtId="0" fontId="6" fillId="7" borderId="20" xfId="0" applyFont="1" applyFill="1" applyBorder="1" applyAlignment="1">
      <alignment horizontal="center" vertical="center"/>
    </xf>
    <xf numFmtId="0" fontId="37" fillId="5" borderId="0" xfId="0" applyFont="1" applyFill="1" applyAlignment="1">
      <alignment horizontal="center" vertical="center"/>
    </xf>
    <xf numFmtId="184" fontId="54" fillId="12" borderId="20" xfId="215" applyNumberFormat="1" applyFont="1" applyFill="1" applyBorder="1" applyAlignment="1" applyProtection="1">
      <alignment horizontal="center" vertical="center"/>
      <protection hidden="1"/>
    </xf>
    <xf numFmtId="1" fontId="6" fillId="0" borderId="20" xfId="0" applyNumberFormat="1" applyFont="1" applyBorder="1" applyAlignment="1">
      <alignment horizontal="center" vertical="center"/>
    </xf>
    <xf numFmtId="0" fontId="20" fillId="6" borderId="20" xfId="215" applyFont="1" applyFill="1" applyBorder="1" applyAlignment="1">
      <alignment horizontal="center" vertical="center"/>
    </xf>
    <xf numFmtId="179" fontId="6" fillId="7" borderId="20" xfId="215" applyNumberFormat="1" applyFont="1" applyFill="1" applyBorder="1" applyAlignment="1">
      <alignment horizontal="center"/>
    </xf>
    <xf numFmtId="0" fontId="55" fillId="5" borderId="0" xfId="0" applyFont="1" applyFill="1" applyAlignment="1">
      <alignment horizontal="center" vertical="center"/>
    </xf>
    <xf numFmtId="0" fontId="56" fillId="7" borderId="20" xfId="601" applyFont="1" applyFill="1" applyBorder="1" applyAlignment="1">
      <alignment horizontal="center"/>
    </xf>
    <xf numFmtId="0" fontId="33" fillId="7" borderId="20" xfId="601" applyFont="1" applyFill="1" applyBorder="1" applyAlignment="1">
      <alignment horizontal="center"/>
    </xf>
    <xf numFmtId="4" fontId="16" fillId="7" borderId="20" xfId="0" applyNumberFormat="1" applyFont="1" applyFill="1" applyBorder="1" applyAlignment="1">
      <alignment horizontal="center" vertical="center" wrapText="1"/>
    </xf>
    <xf numFmtId="0" fontId="33" fillId="7" borderId="20" xfId="634" applyFont="1" applyFill="1" applyBorder="1" applyAlignment="1">
      <alignment horizontal="center"/>
    </xf>
    <xf numFmtId="4" fontId="33" fillId="7" borderId="20" xfId="634" applyNumberFormat="1" applyFont="1" applyFill="1" applyBorder="1" applyAlignment="1">
      <alignment horizontal="center"/>
    </xf>
    <xf numFmtId="4" fontId="16" fillId="7" borderId="20" xfId="0" applyNumberFormat="1" applyFont="1" applyFill="1" applyBorder="1" applyAlignment="1">
      <alignment horizontal="center" vertical="center"/>
    </xf>
    <xf numFmtId="0" fontId="15" fillId="7" borderId="20" xfId="0" applyFont="1" applyFill="1" applyBorder="1" applyAlignment="1">
      <alignment horizontal="center" vertical="center"/>
    </xf>
    <xf numFmtId="4" fontId="23" fillId="7" borderId="20" xfId="0" applyNumberFormat="1" applyFont="1" applyFill="1" applyBorder="1" applyAlignment="1">
      <alignment horizontal="center" vertical="center" wrapText="1"/>
    </xf>
    <xf numFmtId="0" fontId="23" fillId="4" borderId="0" xfId="0" applyFont="1" applyFill="1" applyAlignment="1">
      <alignment horizontal="center" vertical="center" wrapText="1"/>
    </xf>
    <xf numFmtId="179" fontId="16" fillId="4" borderId="0" xfId="0" applyNumberFormat="1" applyFont="1" applyFill="1" applyAlignment="1" applyProtection="1">
      <alignment horizontal="center" vertical="center"/>
      <protection hidden="1"/>
    </xf>
    <xf numFmtId="0" fontId="33" fillId="4" borderId="0" xfId="0" applyFont="1" applyFill="1" applyAlignment="1">
      <alignment horizontal="center" vertical="center"/>
    </xf>
    <xf numFmtId="0" fontId="57" fillId="4" borderId="0" xfId="0" applyFont="1" applyFill="1" applyAlignment="1">
      <alignment horizontal="center" vertical="center"/>
    </xf>
    <xf numFmtId="4" fontId="33" fillId="4" borderId="0" xfId="0" applyNumberFormat="1" applyFont="1" applyFill="1" applyAlignment="1">
      <alignment horizontal="center" vertical="center"/>
    </xf>
    <xf numFmtId="4" fontId="16" fillId="4" borderId="0" xfId="0" applyNumberFormat="1" applyFont="1" applyFill="1" applyAlignment="1">
      <alignment horizontal="center" vertical="center"/>
    </xf>
    <xf numFmtId="0" fontId="32" fillId="6" borderId="20" xfId="0" applyFont="1" applyFill="1" applyBorder="1" applyAlignment="1">
      <alignment horizontal="center" vertical="center"/>
    </xf>
    <xf numFmtId="0" fontId="27" fillId="6" borderId="20" xfId="0" applyFont="1" applyFill="1" applyBorder="1" applyAlignment="1">
      <alignment horizontal="center" vertical="center"/>
    </xf>
    <xf numFmtId="184" fontId="27" fillId="6" borderId="20" xfId="0" applyNumberFormat="1" applyFont="1" applyFill="1" applyBorder="1" applyAlignment="1">
      <alignment horizontal="center" vertical="center"/>
    </xf>
    <xf numFmtId="185" fontId="27" fillId="6" borderId="20" xfId="0" applyNumberFormat="1" applyFont="1" applyFill="1" applyBorder="1" applyAlignment="1">
      <alignment horizontal="center" vertical="center"/>
    </xf>
    <xf numFmtId="0" fontId="58" fillId="6" borderId="20" xfId="0" applyFont="1" applyFill="1" applyBorder="1" applyAlignment="1">
      <alignment horizontal="center" vertical="center"/>
    </xf>
    <xf numFmtId="186" fontId="59" fillId="6" borderId="20" xfId="0" applyNumberFormat="1" applyFont="1" applyFill="1" applyBorder="1" applyAlignment="1">
      <alignment horizontal="center" vertical="center"/>
    </xf>
    <xf numFmtId="0" fontId="60" fillId="6" borderId="20" xfId="0" applyFont="1" applyFill="1" applyBorder="1" applyAlignment="1">
      <alignment horizontal="center" vertical="center"/>
    </xf>
    <xf numFmtId="0" fontId="58" fillId="6" borderId="20" xfId="744" applyFont="1" applyFill="1" applyBorder="1" applyAlignment="1">
      <alignment horizontal="center"/>
    </xf>
    <xf numFmtId="0" fontId="6" fillId="5" borderId="20" xfId="88" applyFont="1" applyFill="1" applyBorder="1" applyAlignment="1">
      <alignment horizontal="center"/>
    </xf>
    <xf numFmtId="186" fontId="15" fillId="7" borderId="20" xfId="0" applyNumberFormat="1" applyFont="1" applyFill="1" applyBorder="1" applyAlignment="1">
      <alignment horizontal="center" vertical="center"/>
    </xf>
    <xf numFmtId="0" fontId="58" fillId="6" borderId="22" xfId="0" applyFont="1" applyFill="1" applyBorder="1" applyAlignment="1">
      <alignment horizontal="center" vertical="center"/>
    </xf>
    <xf numFmtId="179" fontId="6" fillId="15" borderId="20" xfId="121" applyNumberFormat="1" applyFont="1" applyFill="1" applyBorder="1" applyAlignment="1">
      <alignment horizontal="left"/>
    </xf>
    <xf numFmtId="0" fontId="6" fillId="5" borderId="20" xfId="744" applyFont="1" applyFill="1" applyBorder="1" applyAlignment="1">
      <alignment horizontal="center"/>
    </xf>
    <xf numFmtId="0" fontId="60" fillId="6" borderId="23" xfId="0" applyFont="1" applyFill="1" applyBorder="1" applyAlignment="1">
      <alignment horizontal="center" vertical="center"/>
    </xf>
    <xf numFmtId="0" fontId="60" fillId="6" borderId="20" xfId="0" applyFont="1" applyFill="1" applyBorder="1">
      <alignment vertical="center"/>
    </xf>
    <xf numFmtId="178" fontId="15" fillId="16" borderId="20" xfId="0" applyNumberFormat="1" applyFont="1" applyFill="1" applyBorder="1" applyAlignment="1">
      <alignment horizontal="center" vertical="center"/>
    </xf>
    <xf numFmtId="184" fontId="15" fillId="4" borderId="20" xfId="0" applyNumberFormat="1" applyFont="1" applyFill="1" applyBorder="1" applyAlignment="1">
      <alignment horizontal="center" vertical="center"/>
    </xf>
    <xf numFmtId="0" fontId="20" fillId="6" borderId="23" xfId="0" applyFont="1" applyFill="1" applyBorder="1" applyAlignment="1">
      <alignment horizontal="center" vertical="center"/>
    </xf>
    <xf numFmtId="0" fontId="29" fillId="6" borderId="20" xfId="0" applyFont="1" applyFill="1" applyBorder="1" applyAlignment="1">
      <alignment horizontal="center" vertical="center" wrapText="1"/>
    </xf>
    <xf numFmtId="180" fontId="30" fillId="8" borderId="20" xfId="0" applyNumberFormat="1" applyFont="1" applyFill="1" applyBorder="1">
      <alignment vertical="center"/>
    </xf>
    <xf numFmtId="0" fontId="32" fillId="6" borderId="22" xfId="0" applyFont="1" applyFill="1" applyBorder="1" applyAlignment="1">
      <alignment horizontal="center" vertical="center"/>
    </xf>
    <xf numFmtId="184" fontId="31" fillId="8" borderId="20" xfId="0" applyNumberFormat="1" applyFont="1" applyFill="1" applyBorder="1" applyAlignment="1">
      <alignment horizontal="center" vertical="center"/>
    </xf>
    <xf numFmtId="184" fontId="31" fillId="8" borderId="22" xfId="0" applyNumberFormat="1" applyFont="1" applyFill="1" applyBorder="1" applyAlignment="1">
      <alignment horizontal="center" vertical="center"/>
    </xf>
    <xf numFmtId="184" fontId="5" fillId="0" borderId="20" xfId="0" applyNumberFormat="1" applyFont="1" applyBorder="1" applyAlignment="1">
      <alignment horizontal="center" vertical="center"/>
    </xf>
    <xf numFmtId="0" fontId="6" fillId="5" borderId="26" xfId="700" applyFont="1" applyFill="1" applyBorder="1" applyAlignment="1">
      <alignment horizontal="center"/>
    </xf>
    <xf numFmtId="184" fontId="30" fillId="8" borderId="20" xfId="0" applyNumberFormat="1" applyFont="1" applyFill="1" applyBorder="1" applyAlignment="1">
      <alignment horizontal="center" vertical="center"/>
    </xf>
    <xf numFmtId="180" fontId="6" fillId="8" borderId="20" xfId="215" applyNumberFormat="1" applyFont="1" applyFill="1" applyBorder="1" applyAlignment="1">
      <alignment horizontal="center"/>
    </xf>
    <xf numFmtId="0" fontId="36" fillId="6" borderId="20" xfId="0" applyFont="1" applyFill="1" applyBorder="1" applyAlignment="1">
      <alignment horizontal="center" vertical="center"/>
    </xf>
    <xf numFmtId="0" fontId="37" fillId="6" borderId="20" xfId="0" applyFont="1" applyFill="1" applyBorder="1" applyAlignment="1">
      <alignment horizontal="center" vertical="center"/>
    </xf>
    <xf numFmtId="0" fontId="53" fillId="6" borderId="20" xfId="0" applyFont="1" applyFill="1" applyBorder="1" applyAlignment="1">
      <alignment horizontal="center" vertical="center" wrapText="1"/>
    </xf>
    <xf numFmtId="10" fontId="53" fillId="6" borderId="20" xfId="0" applyNumberFormat="1" applyFont="1" applyFill="1" applyBorder="1" applyAlignment="1">
      <alignment horizontal="center" vertical="center" wrapText="1"/>
    </xf>
    <xf numFmtId="0" fontId="0" fillId="8" borderId="20" xfId="0" applyFill="1" applyBorder="1" applyAlignment="1">
      <alignment horizontal="center" vertical="center" wrapText="1"/>
    </xf>
    <xf numFmtId="0" fontId="0" fillId="8" borderId="20" xfId="0" applyFill="1" applyBorder="1" applyAlignment="1">
      <alignment horizontal="right" vertical="center" wrapText="1"/>
    </xf>
    <xf numFmtId="4" fontId="0" fillId="8" borderId="20" xfId="0" applyNumberFormat="1" applyFill="1" applyBorder="1" applyAlignment="1">
      <alignment horizontal="right" vertical="center" wrapText="1"/>
    </xf>
    <xf numFmtId="179" fontId="0" fillId="8" borderId="20" xfId="0" applyNumberFormat="1" applyFill="1" applyBorder="1" applyAlignment="1">
      <alignment horizontal="right" vertical="center" wrapText="1"/>
    </xf>
    <xf numFmtId="10" fontId="0" fillId="8" borderId="20" xfId="0" applyNumberFormat="1" applyFill="1" applyBorder="1" applyAlignment="1">
      <alignment horizontal="right" vertical="center" wrapText="1"/>
    </xf>
    <xf numFmtId="0" fontId="32" fillId="11" borderId="23" xfId="215" applyFont="1" applyFill="1" applyBorder="1" applyAlignment="1" applyProtection="1">
      <alignment horizontal="center" vertical="center"/>
      <protection hidden="1"/>
    </xf>
    <xf numFmtId="193" fontId="34" fillId="12" borderId="23" xfId="215" applyNumberFormat="1" applyFont="1" applyFill="1" applyBorder="1" applyAlignment="1" applyProtection="1">
      <alignment horizontal="center" vertical="center"/>
      <protection hidden="1"/>
    </xf>
    <xf numFmtId="0" fontId="61" fillId="5" borderId="0" xfId="0" applyFont="1" applyFill="1" applyAlignment="1">
      <alignment horizontal="center" vertical="center"/>
    </xf>
    <xf numFmtId="0" fontId="62" fillId="8" borderId="20" xfId="0" applyFont="1" applyFill="1" applyBorder="1" applyAlignment="1">
      <alignment horizontal="center" vertical="center" wrapText="1"/>
    </xf>
    <xf numFmtId="4" fontId="62" fillId="8" borderId="20" xfId="0" applyNumberFormat="1" applyFont="1" applyFill="1" applyBorder="1" applyAlignment="1">
      <alignment horizontal="center" vertical="center" wrapText="1"/>
    </xf>
    <xf numFmtId="189" fontId="0" fillId="8" borderId="20" xfId="0" applyNumberFormat="1" applyFill="1" applyBorder="1" applyAlignment="1">
      <alignment horizontal="right" vertical="center" wrapText="1"/>
    </xf>
    <xf numFmtId="177" fontId="0" fillId="8" borderId="20" xfId="0" applyNumberFormat="1" applyFill="1" applyBorder="1" applyAlignment="1">
      <alignment horizontal="right" vertical="center" wrapText="1"/>
    </xf>
    <xf numFmtId="0" fontId="0" fillId="8" borderId="20" xfId="0" applyFill="1" applyBorder="1" applyAlignment="1">
      <alignment vertical="center" wrapText="1"/>
    </xf>
    <xf numFmtId="3" fontId="0" fillId="8" borderId="20" xfId="0" applyNumberFormat="1" applyFill="1" applyBorder="1" applyAlignment="1">
      <alignment horizontal="right" vertical="center" wrapText="1"/>
    </xf>
    <xf numFmtId="0" fontId="53" fillId="6" borderId="22" xfId="0" applyFont="1" applyFill="1" applyBorder="1" applyAlignment="1">
      <alignment horizontal="center" vertical="center" wrapText="1"/>
    </xf>
    <xf numFmtId="0" fontId="0" fillId="8" borderId="22" xfId="0" applyFill="1" applyBorder="1" applyAlignment="1">
      <alignment horizontal="right" vertical="center" wrapText="1"/>
    </xf>
    <xf numFmtId="0" fontId="0" fillId="8" borderId="20" xfId="0" applyFill="1" applyBorder="1">
      <alignment vertical="center"/>
    </xf>
    <xf numFmtId="0" fontId="0" fillId="8" borderId="22" xfId="0" applyFill="1" applyBorder="1">
      <alignment vertical="center"/>
    </xf>
    <xf numFmtId="0" fontId="21" fillId="6" borderId="20" xfId="0" applyFont="1" applyFill="1" applyBorder="1" applyAlignment="1" applyProtection="1">
      <alignment horizontal="center" vertical="center"/>
      <protection hidden="1"/>
    </xf>
    <xf numFmtId="0" fontId="21" fillId="6" borderId="20" xfId="0" applyFont="1" applyFill="1" applyBorder="1" applyAlignment="1" applyProtection="1">
      <alignment horizontal="center" vertical="center" wrapText="1"/>
      <protection hidden="1"/>
    </xf>
    <xf numFmtId="0" fontId="20" fillId="6" borderId="20" xfId="0" applyFont="1" applyFill="1" applyBorder="1" applyAlignment="1" applyProtection="1">
      <alignment horizontal="center" vertical="center" wrapText="1"/>
      <protection hidden="1"/>
    </xf>
    <xf numFmtId="179" fontId="63" fillId="15" borderId="20" xfId="0" applyNumberFormat="1" applyFont="1" applyFill="1" applyBorder="1" applyAlignment="1" applyProtection="1">
      <alignment horizontal="center" vertical="center"/>
      <protection hidden="1"/>
    </xf>
    <xf numFmtId="0" fontId="39" fillId="6" borderId="21" xfId="23" applyFont="1" applyFill="1" applyBorder="1" applyAlignment="1">
      <alignment horizontal="center" vertical="center"/>
    </xf>
    <xf numFmtId="2" fontId="6" fillId="0" borderId="20" xfId="215" applyNumberFormat="1" applyFont="1" applyBorder="1" applyAlignment="1">
      <alignment horizontal="center" vertical="center"/>
    </xf>
    <xf numFmtId="196" fontId="6" fillId="0" borderId="20" xfId="215" applyNumberFormat="1" applyFont="1" applyBorder="1" applyAlignment="1">
      <alignment horizontal="center" vertical="center"/>
    </xf>
    <xf numFmtId="0" fontId="42" fillId="8" borderId="21" xfId="23" applyFill="1" applyBorder="1" applyAlignment="1">
      <alignment horizontal="center" vertical="center"/>
    </xf>
    <xf numFmtId="0" fontId="15" fillId="6" borderId="20" xfId="0" applyFont="1" applyFill="1" applyBorder="1" applyAlignment="1">
      <alignment horizontal="center" vertical="center"/>
    </xf>
    <xf numFmtId="0" fontId="15" fillId="4" borderId="20" xfId="0" applyFont="1" applyFill="1" applyBorder="1" applyAlignment="1">
      <alignment horizontal="center" vertical="center"/>
    </xf>
    <xf numFmtId="0" fontId="32" fillId="6" borderId="20" xfId="0" applyFont="1" applyFill="1" applyBorder="1" applyAlignment="1">
      <alignment horizontal="center" vertical="center" wrapText="1"/>
    </xf>
    <xf numFmtId="0" fontId="58" fillId="6" borderId="21" xfId="0" applyFont="1" applyFill="1" applyBorder="1" applyAlignment="1">
      <alignment horizontal="center" vertical="center"/>
    </xf>
    <xf numFmtId="0" fontId="51" fillId="6" borderId="21" xfId="0" applyFont="1" applyFill="1" applyBorder="1" applyAlignment="1">
      <alignment horizontal="center" vertical="center"/>
    </xf>
    <xf numFmtId="0" fontId="64" fillId="5" borderId="0" xfId="0" applyFont="1" applyFill="1" applyAlignment="1">
      <alignment horizontal="left"/>
    </xf>
    <xf numFmtId="0" fontId="65" fillId="6" borderId="22" xfId="0" applyFont="1" applyFill="1" applyBorder="1" applyAlignment="1">
      <alignment horizontal="center" vertical="center"/>
    </xf>
    <xf numFmtId="179" fontId="16" fillId="0" borderId="22" xfId="0" applyNumberFormat="1" applyFont="1" applyBorder="1" applyAlignment="1">
      <alignment horizontal="center" vertical="center"/>
    </xf>
    <xf numFmtId="0" fontId="16" fillId="0" borderId="22" xfId="0" applyFont="1" applyBorder="1" applyAlignment="1">
      <alignment horizontal="center" vertical="center"/>
    </xf>
    <xf numFmtId="0" fontId="15" fillId="0" borderId="21" xfId="0" applyFont="1" applyBorder="1" applyAlignment="1">
      <alignment horizontal="center" vertical="center"/>
    </xf>
    <xf numFmtId="0" fontId="16" fillId="0" borderId="27" xfId="0" applyFont="1" applyBorder="1" applyAlignment="1">
      <alignment horizontal="center" vertical="center"/>
    </xf>
    <xf numFmtId="0" fontId="51" fillId="6" borderId="28" xfId="0" applyFont="1" applyFill="1" applyBorder="1" applyAlignment="1">
      <alignment horizontal="center" vertical="center"/>
    </xf>
    <xf numFmtId="0" fontId="16" fillId="5" borderId="20" xfId="0" applyFont="1" applyFill="1" applyBorder="1">
      <alignment vertical="center"/>
    </xf>
    <xf numFmtId="9" fontId="32" fillId="6" borderId="20" xfId="3" applyFont="1" applyFill="1" applyBorder="1" applyAlignment="1" applyProtection="1">
      <alignment horizontal="center" vertical="center"/>
    </xf>
    <xf numFmtId="0" fontId="32" fillId="6" borderId="20" xfId="215" applyFont="1" applyFill="1" applyBorder="1" applyAlignment="1" applyProtection="1">
      <alignment horizontal="center" vertical="center"/>
      <protection hidden="1"/>
    </xf>
    <xf numFmtId="0" fontId="66" fillId="7" borderId="20" xfId="0" applyFont="1" applyFill="1" applyBorder="1" applyAlignment="1">
      <alignment horizontal="center" vertical="center"/>
    </xf>
    <xf numFmtId="184" fontId="67" fillId="12" borderId="20" xfId="215" applyNumberFormat="1" applyFont="1" applyFill="1" applyBorder="1" applyAlignment="1" applyProtection="1">
      <alignment horizontal="center" vertical="center"/>
      <protection hidden="1"/>
    </xf>
    <xf numFmtId="0" fontId="36" fillId="6" borderId="20" xfId="0" applyFont="1" applyFill="1" applyBorder="1" applyAlignment="1">
      <alignment horizontal="center" vertical="center" wrapText="1"/>
    </xf>
    <xf numFmtId="0" fontId="15" fillId="8" borderId="20" xfId="0" applyFont="1" applyFill="1" applyBorder="1" applyAlignment="1">
      <alignment horizontal="center" vertical="center"/>
    </xf>
    <xf numFmtId="0" fontId="68" fillId="6" borderId="20" xfId="0" applyFont="1" applyFill="1" applyBorder="1" applyAlignment="1">
      <alignment horizontal="center" vertical="center"/>
    </xf>
    <xf numFmtId="4" fontId="23" fillId="8" borderId="20" xfId="0" applyNumberFormat="1" applyFont="1" applyFill="1" applyBorder="1" applyAlignment="1">
      <alignment horizontal="center" vertical="center" wrapText="1"/>
    </xf>
    <xf numFmtId="3" fontId="23" fillId="8" borderId="20" xfId="0" applyNumberFormat="1" applyFont="1" applyFill="1" applyBorder="1" applyAlignment="1">
      <alignment horizontal="center" vertical="center" wrapText="1"/>
    </xf>
    <xf numFmtId="0" fontId="69" fillId="6" borderId="20" xfId="0" applyFont="1" applyFill="1" applyBorder="1" applyAlignment="1">
      <alignment horizontal="center" vertical="center"/>
    </xf>
    <xf numFmtId="197" fontId="23" fillId="8" borderId="20" xfId="0" applyNumberFormat="1" applyFont="1" applyFill="1" applyBorder="1" applyAlignment="1">
      <alignment horizontal="center" vertical="center" wrapText="1"/>
    </xf>
    <xf numFmtId="4" fontId="15" fillId="8" borderId="20" xfId="0" applyNumberFormat="1" applyFont="1" applyFill="1" applyBorder="1" applyAlignment="1">
      <alignment horizontal="center" vertical="center"/>
    </xf>
    <xf numFmtId="179" fontId="16" fillId="4" borderId="0" xfId="0" applyNumberFormat="1" applyFont="1" applyFill="1" applyAlignment="1">
      <alignment horizontal="center" vertical="center"/>
    </xf>
    <xf numFmtId="0" fontId="32" fillId="6" borderId="28" xfId="0" applyFont="1" applyFill="1" applyBorder="1" applyAlignment="1">
      <alignment horizontal="center" vertical="center"/>
    </xf>
    <xf numFmtId="186" fontId="22" fillId="6" borderId="20" xfId="0" applyNumberFormat="1" applyFont="1" applyFill="1" applyBorder="1" applyAlignment="1">
      <alignment horizontal="center" vertical="center"/>
    </xf>
    <xf numFmtId="0" fontId="32" fillId="6" borderId="20" xfId="744" applyFont="1" applyFill="1" applyBorder="1" applyAlignment="1">
      <alignment horizontal="center"/>
    </xf>
    <xf numFmtId="0" fontId="6" fillId="5" borderId="28" xfId="88" applyFont="1" applyFill="1" applyBorder="1" applyAlignment="1">
      <alignment horizontal="center"/>
    </xf>
    <xf numFmtId="0" fontId="15" fillId="5" borderId="28" xfId="0" applyFont="1" applyFill="1" applyBorder="1" applyAlignment="1">
      <alignment horizontal="center" vertical="center"/>
    </xf>
    <xf numFmtId="0" fontId="27" fillId="6" borderId="20" xfId="0" applyFont="1" applyFill="1" applyBorder="1">
      <alignment vertical="center"/>
    </xf>
    <xf numFmtId="180" fontId="30" fillId="7" borderId="20" xfId="0" applyNumberFormat="1" applyFont="1" applyFill="1" applyBorder="1">
      <alignment vertical="center"/>
    </xf>
    <xf numFmtId="0" fontId="0" fillId="7" borderId="20" xfId="0" applyFill="1" applyBorder="1" applyAlignment="1">
      <alignment horizontal="center" vertical="center" wrapText="1"/>
    </xf>
    <xf numFmtId="0" fontId="0" fillId="7" borderId="20" xfId="0" applyFill="1" applyBorder="1" applyAlignment="1">
      <alignment horizontal="right" vertical="center" wrapText="1"/>
    </xf>
    <xf numFmtId="179" fontId="0" fillId="7" borderId="20" xfId="0" applyNumberFormat="1" applyFill="1" applyBorder="1" applyAlignment="1">
      <alignment horizontal="right" vertical="center" wrapText="1"/>
    </xf>
    <xf numFmtId="10" fontId="0" fillId="7" borderId="20" xfId="0" applyNumberFormat="1" applyFill="1" applyBorder="1" applyAlignment="1">
      <alignment horizontal="right" vertical="center" wrapText="1"/>
    </xf>
    <xf numFmtId="0" fontId="62" fillId="7" borderId="20" xfId="0" applyFont="1" applyFill="1" applyBorder="1" applyAlignment="1">
      <alignment horizontal="center" vertical="center" wrapText="1"/>
    </xf>
    <xf numFmtId="4" fontId="0" fillId="7" borderId="20" xfId="0" applyNumberFormat="1" applyFill="1" applyBorder="1" applyAlignment="1">
      <alignment horizontal="right" vertical="center" wrapText="1"/>
    </xf>
    <xf numFmtId="189" fontId="0" fillId="7" borderId="20" xfId="0" applyNumberFormat="1" applyFill="1" applyBorder="1" applyAlignment="1">
      <alignment horizontal="right" vertical="center" wrapText="1"/>
    </xf>
    <xf numFmtId="177" fontId="0" fillId="7" borderId="20" xfId="0" applyNumberFormat="1" applyFill="1" applyBorder="1" applyAlignment="1">
      <alignment horizontal="right" vertical="center" wrapText="1"/>
    </xf>
    <xf numFmtId="0" fontId="0" fillId="7" borderId="20" xfId="0" applyFill="1" applyBorder="1" applyAlignment="1">
      <alignment vertical="center" wrapText="1"/>
    </xf>
    <xf numFmtId="3" fontId="0" fillId="7" borderId="20" xfId="0" applyNumberFormat="1" applyFill="1" applyBorder="1" applyAlignment="1">
      <alignment horizontal="right" vertical="center" wrapText="1"/>
    </xf>
    <xf numFmtId="0" fontId="0" fillId="7" borderId="22" xfId="0" applyFill="1" applyBorder="1" applyAlignment="1">
      <alignment horizontal="right" vertical="center" wrapText="1"/>
    </xf>
    <xf numFmtId="0" fontId="0" fillId="7" borderId="20" xfId="0" applyFill="1" applyBorder="1">
      <alignment vertical="center"/>
    </xf>
    <xf numFmtId="0" fontId="0" fillId="7" borderId="22" xfId="0" applyFill="1" applyBorder="1">
      <alignment vertical="center"/>
    </xf>
    <xf numFmtId="0" fontId="70" fillId="9" borderId="20" xfId="215" applyFont="1" applyFill="1" applyBorder="1" applyAlignment="1">
      <alignment horizontal="center"/>
    </xf>
    <xf numFmtId="0" fontId="15" fillId="0" borderId="0" xfId="0" applyFont="1" applyAlignment="1" applyProtection="1">
      <alignment horizontal="center" vertical="center"/>
      <protection hidden="1"/>
    </xf>
    <xf numFmtId="0" fontId="32" fillId="6" borderId="0" xfId="0" applyFont="1" applyFill="1" applyAlignment="1" applyProtection="1">
      <alignment horizontal="center" vertical="center"/>
      <protection hidden="1"/>
    </xf>
    <xf numFmtId="196" fontId="6" fillId="0" borderId="28" xfId="215" applyNumberFormat="1" applyFont="1" applyBorder="1" applyAlignment="1">
      <alignment horizontal="center" vertical="center"/>
    </xf>
    <xf numFmtId="0" fontId="71" fillId="6" borderId="20" xfId="0" applyFont="1" applyFill="1" applyBorder="1" applyAlignment="1">
      <alignment horizontal="center" vertical="center"/>
    </xf>
    <xf numFmtId="0" fontId="72" fillId="6" borderId="20" xfId="0" applyFont="1" applyFill="1" applyBorder="1" applyAlignment="1">
      <alignment horizontal="center" vertical="center"/>
    </xf>
    <xf numFmtId="0" fontId="8" fillId="6" borderId="20" xfId="0" applyFont="1" applyFill="1" applyBorder="1" applyAlignment="1">
      <alignment horizontal="center" vertical="center"/>
    </xf>
    <xf numFmtId="0" fontId="37" fillId="4" borderId="20" xfId="0" applyFont="1" applyFill="1" applyBorder="1" applyAlignment="1">
      <alignment horizontal="center" vertical="center"/>
    </xf>
    <xf numFmtId="184" fontId="54" fillId="7" borderId="20" xfId="215" applyNumberFormat="1" applyFont="1" applyFill="1" applyBorder="1" applyAlignment="1" applyProtection="1">
      <alignment horizontal="center" vertical="center"/>
      <protection hidden="1"/>
    </xf>
    <xf numFmtId="4" fontId="23" fillId="15" borderId="20" xfId="0" applyNumberFormat="1" applyFont="1" applyFill="1" applyBorder="1" applyAlignment="1">
      <alignment horizontal="center" vertical="center" wrapText="1"/>
    </xf>
    <xf numFmtId="3" fontId="23" fillId="15" borderId="20" xfId="0" applyNumberFormat="1" applyFont="1" applyFill="1" applyBorder="1" applyAlignment="1">
      <alignment horizontal="center" vertical="center" wrapText="1"/>
    </xf>
    <xf numFmtId="10" fontId="0" fillId="4" borderId="0" xfId="0" applyNumberFormat="1" applyFill="1" applyAlignment="1">
      <alignment horizontal="right" vertical="center" wrapText="1"/>
    </xf>
    <xf numFmtId="0" fontId="73" fillId="6" borderId="20" xfId="0" applyFont="1" applyFill="1" applyBorder="1" applyAlignment="1">
      <alignment horizontal="center" vertical="center"/>
    </xf>
    <xf numFmtId="197" fontId="23" fillId="15" borderId="20" xfId="0" applyNumberFormat="1" applyFont="1" applyFill="1" applyBorder="1" applyAlignment="1">
      <alignment horizontal="center" vertical="center" wrapText="1"/>
    </xf>
    <xf numFmtId="4" fontId="15" fillId="4" borderId="20" xfId="0" applyNumberFormat="1" applyFont="1" applyFill="1" applyBorder="1" applyAlignment="1">
      <alignment horizontal="center" vertical="center"/>
    </xf>
    <xf numFmtId="0" fontId="74" fillId="5" borderId="0" xfId="0" applyFont="1" applyFill="1" applyAlignment="1">
      <alignment horizontal="center" vertical="center"/>
    </xf>
    <xf numFmtId="0" fontId="75" fillId="5" borderId="0" xfId="0" applyFont="1" applyFill="1" applyAlignment="1">
      <alignment horizontal="center" vertical="center"/>
    </xf>
    <xf numFmtId="184" fontId="27" fillId="7" borderId="20" xfId="0" applyNumberFormat="1" applyFont="1" applyFill="1" applyBorder="1" applyAlignment="1">
      <alignment horizontal="center" vertical="center"/>
    </xf>
    <xf numFmtId="185" fontId="27" fillId="7" borderId="20" xfId="0" applyNumberFormat="1" applyFont="1" applyFill="1" applyBorder="1" applyAlignment="1">
      <alignment horizontal="center" vertical="center"/>
    </xf>
    <xf numFmtId="177" fontId="23" fillId="0" borderId="21" xfId="0" applyNumberFormat="1" applyFont="1" applyBorder="1" applyAlignment="1">
      <alignment horizontal="center" vertical="center"/>
    </xf>
    <xf numFmtId="0" fontId="76" fillId="5" borderId="0" xfId="0" applyFont="1" applyFill="1">
      <alignment vertical="center"/>
    </xf>
    <xf numFmtId="178" fontId="15" fillId="7" borderId="20" xfId="0" applyNumberFormat="1" applyFont="1" applyFill="1" applyBorder="1" applyAlignment="1">
      <alignment horizontal="center" vertical="center"/>
    </xf>
    <xf numFmtId="0" fontId="74" fillId="5" borderId="0" xfId="0" applyFont="1" applyFill="1">
      <alignment vertical="center"/>
    </xf>
    <xf numFmtId="180" fontId="30" fillId="7" borderId="22" xfId="0" applyNumberFormat="1" applyFont="1" applyFill="1" applyBorder="1">
      <alignment vertical="center"/>
    </xf>
    <xf numFmtId="0" fontId="27" fillId="5" borderId="20" xfId="0" applyFont="1" applyFill="1" applyBorder="1" applyAlignment="1">
      <alignment horizontal="center" vertical="center"/>
    </xf>
    <xf numFmtId="184" fontId="31" fillId="7" borderId="22" xfId="0" applyNumberFormat="1" applyFont="1" applyFill="1" applyBorder="1" applyAlignment="1">
      <alignment horizontal="center" vertical="center"/>
    </xf>
    <xf numFmtId="0" fontId="6" fillId="17" borderId="20" xfId="0" applyFont="1" applyFill="1" applyBorder="1" applyAlignment="1">
      <alignment horizontal="center" vertical="center"/>
    </xf>
    <xf numFmtId="0" fontId="6" fillId="5" borderId="20" xfId="215" applyFont="1" applyFill="1" applyBorder="1" applyAlignment="1">
      <alignment horizontal="center"/>
    </xf>
    <xf numFmtId="0" fontId="32" fillId="6" borderId="20" xfId="502" applyFont="1" applyFill="1" applyBorder="1" applyAlignment="1">
      <alignment horizontal="center"/>
    </xf>
    <xf numFmtId="0" fontId="27" fillId="6" borderId="20" xfId="502" applyFont="1" applyFill="1" applyBorder="1" applyAlignment="1">
      <alignment horizontal="center"/>
    </xf>
    <xf numFmtId="0" fontId="15" fillId="17" borderId="20" xfId="0" applyFont="1" applyFill="1" applyBorder="1" applyAlignment="1">
      <alignment horizontal="center" vertical="center"/>
    </xf>
    <xf numFmtId="0" fontId="0" fillId="7" borderId="20" xfId="0" applyFont="1" applyFill="1" applyBorder="1" applyAlignment="1">
      <alignment horizontal="right" vertical="center" wrapText="1"/>
    </xf>
    <xf numFmtId="0" fontId="74" fillId="5" borderId="0" xfId="0" applyFont="1" applyFill="1" applyAlignment="1" applyProtection="1">
      <alignment horizontal="center" vertical="center"/>
      <protection hidden="1"/>
    </xf>
    <xf numFmtId="0" fontId="75" fillId="5" borderId="0" xfId="0" applyFont="1" applyFill="1" applyAlignment="1" applyProtection="1">
      <alignment horizontal="center" vertical="center"/>
      <protection hidden="1"/>
    </xf>
    <xf numFmtId="0" fontId="76" fillId="5" borderId="0" xfId="0" applyFont="1" applyFill="1" applyAlignment="1" applyProtection="1">
      <alignment horizontal="center" vertical="center"/>
      <protection hidden="1"/>
    </xf>
    <xf numFmtId="0" fontId="42" fillId="14" borderId="21" xfId="23" applyBorder="1" applyAlignment="1">
      <alignment horizontal="center" vertical="center"/>
    </xf>
    <xf numFmtId="184" fontId="15" fillId="0" borderId="20" xfId="0" applyNumberFormat="1" applyFont="1" applyBorder="1" applyAlignment="1">
      <alignment horizontal="center" vertical="center" wrapText="1"/>
    </xf>
    <xf numFmtId="0" fontId="32" fillId="6" borderId="21" xfId="0" applyFont="1" applyFill="1" applyBorder="1" applyAlignment="1">
      <alignment horizontal="center" vertical="center"/>
    </xf>
    <xf numFmtId="0" fontId="8" fillId="6" borderId="22" xfId="0" applyFont="1" applyFill="1" applyBorder="1" applyAlignment="1">
      <alignment horizontal="center" vertical="center"/>
    </xf>
    <xf numFmtId="3" fontId="23" fillId="7" borderId="20" xfId="0" applyNumberFormat="1" applyFont="1" applyFill="1" applyBorder="1" applyAlignment="1">
      <alignment horizontal="center" vertical="center" wrapText="1"/>
    </xf>
    <xf numFmtId="197" fontId="23" fillId="7" borderId="20" xfId="0" applyNumberFormat="1" applyFont="1" applyFill="1" applyBorder="1" applyAlignment="1">
      <alignment horizontal="center" vertical="center" wrapText="1"/>
    </xf>
    <xf numFmtId="0" fontId="31" fillId="4" borderId="0" xfId="0" applyFont="1" applyFill="1" applyAlignment="1" applyProtection="1">
      <alignment horizontal="center" vertical="center"/>
      <protection hidden="1"/>
    </xf>
    <xf numFmtId="0" fontId="27" fillId="6" borderId="23" xfId="0" applyFont="1" applyFill="1" applyBorder="1" applyAlignment="1">
      <alignment horizontal="center" vertical="center"/>
    </xf>
    <xf numFmtId="184" fontId="6" fillId="7" borderId="20" xfId="0" applyNumberFormat="1" applyFont="1" applyFill="1" applyBorder="1" applyAlignment="1">
      <alignment horizontal="center" vertical="center"/>
    </xf>
    <xf numFmtId="184" fontId="15" fillId="7" borderId="20" xfId="0" applyNumberFormat="1" applyFont="1" applyFill="1" applyBorder="1" applyAlignment="1">
      <alignment horizontal="center" vertical="center"/>
    </xf>
    <xf numFmtId="0" fontId="27" fillId="0" borderId="20" xfId="0" applyFont="1" applyBorder="1" applyAlignment="1">
      <alignment horizontal="center" vertical="center"/>
    </xf>
    <xf numFmtId="191" fontId="6" fillId="7" borderId="20" xfId="0" applyNumberFormat="1" applyFont="1" applyFill="1" applyBorder="1" applyAlignment="1">
      <alignment horizontal="center" vertical="center"/>
    </xf>
    <xf numFmtId="0" fontId="32" fillId="6" borderId="23" xfId="0" applyFont="1" applyFill="1" applyBorder="1" applyAlignment="1">
      <alignment horizontal="center" vertical="center"/>
    </xf>
    <xf numFmtId="9" fontId="6" fillId="5" borderId="20" xfId="3" applyFont="1" applyFill="1" applyBorder="1" applyAlignment="1" applyProtection="1">
      <alignment horizontal="center" vertical="center"/>
    </xf>
    <xf numFmtId="0" fontId="32" fillId="11" borderId="23" xfId="215" applyFont="1" applyFill="1" applyBorder="1" applyAlignment="1">
      <alignment horizontal="center" vertical="center"/>
    </xf>
    <xf numFmtId="0" fontId="32" fillId="11" borderId="22" xfId="215" applyFont="1" applyFill="1" applyBorder="1" applyAlignment="1">
      <alignment horizontal="center" vertical="center"/>
    </xf>
    <xf numFmtId="193" fontId="34" fillId="12" borderId="23" xfId="215" applyNumberFormat="1" applyFont="1" applyFill="1" applyBorder="1" applyAlignment="1">
      <alignment horizontal="center" vertical="center"/>
    </xf>
    <xf numFmtId="193" fontId="34" fillId="12" borderId="22" xfId="215" applyNumberFormat="1" applyFont="1" applyFill="1" applyBorder="1" applyAlignment="1">
      <alignment horizontal="center" vertical="center"/>
    </xf>
    <xf numFmtId="0" fontId="61" fillId="4" borderId="0" xfId="0" applyFont="1" applyFill="1" applyAlignment="1">
      <alignment horizontal="center" vertical="center"/>
    </xf>
    <xf numFmtId="177" fontId="62" fillId="7" borderId="20" xfId="0" applyNumberFormat="1" applyFont="1" applyFill="1" applyBorder="1" applyAlignment="1">
      <alignment horizontal="center" vertical="center" wrapText="1"/>
    </xf>
    <xf numFmtId="177" fontId="0" fillId="7" borderId="20" xfId="0" applyNumberFormat="1" applyFill="1" applyBorder="1" applyAlignment="1">
      <alignment horizontal="center" vertical="center" wrapText="1"/>
    </xf>
    <xf numFmtId="179" fontId="6" fillId="5" borderId="21" xfId="121" applyNumberFormat="1" applyFont="1" applyFill="1" applyBorder="1" applyAlignment="1">
      <alignment horizontal="left"/>
    </xf>
    <xf numFmtId="0" fontId="15" fillId="6" borderId="20" xfId="0" applyFont="1" applyFill="1" applyBorder="1" applyAlignment="1" applyProtection="1">
      <alignment horizontal="center" vertical="center"/>
      <protection hidden="1"/>
    </xf>
    <xf numFmtId="0" fontId="77" fillId="5" borderId="0" xfId="0" applyFont="1" applyFill="1" applyAlignment="1">
      <alignment horizontal="center" vertical="center"/>
    </xf>
    <xf numFmtId="0" fontId="78" fillId="6" borderId="20" xfId="0" applyFont="1" applyFill="1" applyBorder="1" applyAlignment="1">
      <alignment horizontal="center" vertical="center"/>
    </xf>
    <xf numFmtId="187" fontId="15" fillId="5" borderId="20" xfId="0" applyNumberFormat="1" applyFont="1" applyFill="1" applyBorder="1" applyAlignment="1">
      <alignment horizontal="center" vertical="center"/>
    </xf>
    <xf numFmtId="186" fontId="15" fillId="5" borderId="22" xfId="0" applyNumberFormat="1" applyFont="1" applyFill="1" applyBorder="1" applyAlignment="1">
      <alignment horizontal="center" vertical="center"/>
    </xf>
    <xf numFmtId="0" fontId="79" fillId="6" borderId="22" xfId="0" applyFont="1" applyFill="1" applyBorder="1" applyAlignment="1">
      <alignment horizontal="center" vertical="center" wrapText="1"/>
    </xf>
    <xf numFmtId="0" fontId="6" fillId="7" borderId="20" xfId="700" applyFont="1" applyFill="1" applyBorder="1" applyAlignment="1">
      <alignment horizontal="center"/>
    </xf>
    <xf numFmtId="0" fontId="20" fillId="6" borderId="21" xfId="0" applyFont="1" applyFill="1" applyBorder="1" applyAlignment="1">
      <alignment horizontal="center" vertical="center"/>
    </xf>
    <xf numFmtId="184" fontId="15" fillId="0" borderId="21" xfId="0" applyNumberFormat="1" applyFont="1" applyBorder="1" applyAlignment="1">
      <alignment horizontal="center" vertical="center"/>
    </xf>
    <xf numFmtId="184" fontId="31" fillId="12" borderId="22" xfId="0" applyNumberFormat="1" applyFont="1" applyFill="1" applyBorder="1" applyAlignment="1">
      <alignment horizontal="center" vertical="center"/>
    </xf>
    <xf numFmtId="0" fontId="56" fillId="7" borderId="20" xfId="0" applyFont="1" applyFill="1" applyBorder="1" applyAlignment="1">
      <alignment vertical="center" wrapText="1"/>
    </xf>
    <xf numFmtId="3" fontId="56" fillId="7" borderId="20" xfId="0" applyNumberFormat="1" applyFont="1" applyFill="1" applyBorder="1" applyAlignment="1">
      <alignment horizontal="right" vertical="center" wrapText="1"/>
    </xf>
    <xf numFmtId="0" fontId="17" fillId="5" borderId="0" xfId="0" applyFont="1" applyFill="1" applyAlignment="1" applyProtection="1">
      <alignment horizontal="center" vertical="center"/>
      <protection hidden="1"/>
    </xf>
    <xf numFmtId="0" fontId="15" fillId="5" borderId="0" xfId="0" applyFont="1" applyFill="1" applyAlignment="1" applyProtection="1">
      <alignment horizontal="center" vertical="center"/>
      <protection hidden="1"/>
    </xf>
    <xf numFmtId="0" fontId="15" fillId="0" borderId="23" xfId="0" applyFont="1" applyBorder="1" applyAlignment="1" applyProtection="1">
      <alignment horizontal="center" vertical="center" wrapText="1"/>
      <protection hidden="1"/>
    </xf>
    <xf numFmtId="0" fontId="6" fillId="0" borderId="23" xfId="0" applyFont="1" applyBorder="1" applyAlignment="1" applyProtection="1">
      <alignment horizontal="center" vertical="center" wrapText="1"/>
      <protection hidden="1"/>
    </xf>
    <xf numFmtId="177" fontId="6" fillId="0" borderId="23" xfId="0" applyNumberFormat="1" applyFont="1" applyBorder="1" applyAlignment="1" applyProtection="1">
      <alignment horizontal="center" vertical="center"/>
      <protection hidden="1"/>
    </xf>
    <xf numFmtId="0" fontId="15" fillId="0" borderId="23" xfId="0" applyFont="1" applyBorder="1" applyAlignment="1" applyProtection="1">
      <alignment horizontal="center" vertical="center"/>
      <protection hidden="1"/>
    </xf>
    <xf numFmtId="0" fontId="70" fillId="9" borderId="0" xfId="215" applyFont="1" applyFill="1" applyAlignment="1">
      <alignment horizontal="center"/>
    </xf>
    <xf numFmtId="0" fontId="16" fillId="5" borderId="0" xfId="0" applyFont="1" applyFill="1" applyAlignment="1" applyProtection="1">
      <alignment horizontal="center" vertical="center"/>
      <protection hidden="1"/>
    </xf>
    <xf numFmtId="0" fontId="16" fillId="4" borderId="21" xfId="0" applyFont="1" applyFill="1" applyBorder="1" applyAlignment="1" applyProtection="1">
      <alignment horizontal="center" vertical="center"/>
      <protection hidden="1"/>
    </xf>
    <xf numFmtId="0" fontId="6" fillId="5" borderId="0" xfId="0" applyFont="1" applyFill="1" applyAlignment="1" applyProtection="1">
      <alignment horizontal="center" vertical="center"/>
      <protection hidden="1"/>
    </xf>
    <xf numFmtId="0" fontId="70" fillId="4" borderId="0" xfId="0" applyFont="1" applyFill="1" applyAlignment="1">
      <alignment horizontal="center" vertical="center"/>
    </xf>
    <xf numFmtId="0" fontId="80" fillId="4" borderId="0" xfId="0" applyFont="1" applyFill="1" applyAlignment="1">
      <alignment horizontal="center" vertical="center"/>
    </xf>
    <xf numFmtId="0" fontId="45" fillId="4" borderId="0" xfId="0" applyFont="1" applyFill="1" applyAlignment="1">
      <alignment horizontal="center" vertical="center"/>
    </xf>
    <xf numFmtId="0" fontId="16" fillId="0" borderId="21" xfId="0" applyFont="1" applyBorder="1" applyAlignment="1">
      <alignment horizontal="center" vertical="center"/>
    </xf>
    <xf numFmtId="1" fontId="6" fillId="0" borderId="20" xfId="3" applyNumberFormat="1" applyFont="1" applyFill="1" applyBorder="1" applyAlignment="1" applyProtection="1">
      <alignment horizontal="center" vertical="center"/>
    </xf>
    <xf numFmtId="4" fontId="15" fillId="7" borderId="20" xfId="0" applyNumberFormat="1" applyFont="1" applyFill="1" applyBorder="1" applyAlignment="1">
      <alignment horizontal="center" vertical="center"/>
    </xf>
    <xf numFmtId="179" fontId="15" fillId="0" borderId="29" xfId="0" applyNumberFormat="1" applyFont="1" applyBorder="1" applyAlignment="1">
      <alignment horizontal="center" vertical="center"/>
    </xf>
    <xf numFmtId="179" fontId="15" fillId="0" borderId="28" xfId="0" applyNumberFormat="1" applyFont="1" applyBorder="1" applyAlignment="1">
      <alignment horizontal="center" vertical="center"/>
    </xf>
    <xf numFmtId="183" fontId="15" fillId="0" borderId="28" xfId="0" applyNumberFormat="1" applyFont="1" applyBorder="1" applyAlignment="1">
      <alignment horizontal="center" vertical="center"/>
    </xf>
    <xf numFmtId="179" fontId="15" fillId="0" borderId="23" xfId="0" applyNumberFormat="1" applyFont="1" applyBorder="1" applyAlignment="1">
      <alignment horizontal="center" vertical="center"/>
    </xf>
    <xf numFmtId="183" fontId="15" fillId="0" borderId="21" xfId="0" applyNumberFormat="1" applyFont="1" applyBorder="1" applyAlignment="1">
      <alignment horizontal="center" vertical="center"/>
    </xf>
    <xf numFmtId="183" fontId="15" fillId="0" borderId="30" xfId="0" applyNumberFormat="1" applyFont="1" applyBorder="1" applyAlignment="1">
      <alignment horizontal="center" vertical="center"/>
    </xf>
    <xf numFmtId="183" fontId="15" fillId="0" borderId="27" xfId="0" applyNumberFormat="1" applyFont="1" applyBorder="1" applyAlignment="1">
      <alignment horizontal="center" vertical="center"/>
    </xf>
    <xf numFmtId="179" fontId="15" fillId="0" borderId="31" xfId="0" applyNumberFormat="1" applyFont="1" applyBorder="1" applyAlignment="1">
      <alignment horizontal="center" vertical="center"/>
    </xf>
    <xf numFmtId="179" fontId="15" fillId="0" borderId="22" xfId="0" applyNumberFormat="1" applyFont="1" applyBorder="1" applyAlignment="1">
      <alignment horizontal="center" vertical="center"/>
    </xf>
    <xf numFmtId="179" fontId="15" fillId="0" borderId="30" xfId="0" applyNumberFormat="1" applyFont="1" applyBorder="1" applyAlignment="1">
      <alignment horizontal="center" vertical="center"/>
    </xf>
    <xf numFmtId="179" fontId="15" fillId="0" borderId="21" xfId="0" applyNumberFormat="1" applyFont="1" applyBorder="1" applyAlignment="1">
      <alignment horizontal="center" vertical="center"/>
    </xf>
    <xf numFmtId="179" fontId="15" fillId="0" borderId="27" xfId="0" applyNumberFormat="1" applyFont="1" applyBorder="1" applyAlignment="1">
      <alignment horizontal="center" vertical="center"/>
    </xf>
    <xf numFmtId="0" fontId="15" fillId="0" borderId="25" xfId="0" applyFont="1" applyBorder="1" applyAlignment="1">
      <alignment horizontal="center" vertical="center"/>
    </xf>
    <xf numFmtId="0" fontId="15" fillId="0" borderId="24" xfId="0" applyFont="1" applyBorder="1" applyAlignment="1">
      <alignment horizontal="center" vertical="center"/>
    </xf>
    <xf numFmtId="183" fontId="15" fillId="0" borderId="25" xfId="0" applyNumberFormat="1" applyFont="1" applyBorder="1" applyAlignment="1">
      <alignment horizontal="center" vertical="center"/>
    </xf>
    <xf numFmtId="183" fontId="15" fillId="0" borderId="32" xfId="0" applyNumberFormat="1" applyFont="1" applyBorder="1" applyAlignment="1">
      <alignment horizontal="center" vertical="center"/>
    </xf>
    <xf numFmtId="183" fontId="15" fillId="0" borderId="29" xfId="0" applyNumberFormat="1" applyFont="1" applyBorder="1" applyAlignment="1">
      <alignment horizontal="center" vertical="center"/>
    </xf>
    <xf numFmtId="0" fontId="15" fillId="0" borderId="28" xfId="0" applyFont="1" applyBorder="1" applyAlignment="1">
      <alignment horizontal="center" vertical="center"/>
    </xf>
    <xf numFmtId="0" fontId="15" fillId="4" borderId="25" xfId="0" applyFont="1" applyFill="1" applyBorder="1" applyAlignment="1">
      <alignment horizontal="center" vertical="center"/>
    </xf>
    <xf numFmtId="0" fontId="15" fillId="4" borderId="21" xfId="0" applyFont="1" applyFill="1" applyBorder="1" applyAlignment="1">
      <alignment horizontal="center" vertical="center"/>
    </xf>
    <xf numFmtId="187" fontId="15" fillId="0" borderId="29" xfId="0" applyNumberFormat="1" applyFont="1" applyBorder="1" applyAlignment="1">
      <alignment horizontal="center" vertical="center"/>
    </xf>
    <xf numFmtId="187" fontId="15" fillId="0" borderId="28" xfId="0" applyNumberFormat="1" applyFont="1" applyBorder="1" applyAlignment="1">
      <alignment horizontal="center" vertical="center"/>
    </xf>
    <xf numFmtId="188" fontId="15" fillId="0" borderId="28" xfId="744" applyNumberFormat="1" applyFont="1" applyBorder="1" applyAlignment="1">
      <alignment horizontal="center"/>
    </xf>
    <xf numFmtId="183" fontId="6" fillId="5" borderId="28" xfId="700" applyNumberFormat="1" applyFont="1" applyFill="1" applyBorder="1" applyAlignment="1">
      <alignment horizontal="center"/>
    </xf>
    <xf numFmtId="180" fontId="15" fillId="0" borderId="28" xfId="0" applyNumberFormat="1" applyFont="1" applyBorder="1" applyAlignment="1">
      <alignment horizontal="center" vertical="center"/>
    </xf>
    <xf numFmtId="183" fontId="15" fillId="0" borderId="23" xfId="0" applyNumberFormat="1" applyFont="1" applyBorder="1" applyAlignment="1">
      <alignment horizontal="center" vertical="center"/>
    </xf>
    <xf numFmtId="0" fontId="15" fillId="5" borderId="29" xfId="0" applyFont="1" applyFill="1" applyBorder="1" applyAlignment="1">
      <alignment horizontal="center" vertical="center"/>
    </xf>
    <xf numFmtId="0" fontId="15" fillId="5" borderId="25" xfId="0" applyFont="1" applyFill="1" applyBorder="1" applyAlignment="1">
      <alignment horizontal="center" vertical="center"/>
    </xf>
    <xf numFmtId="180" fontId="15" fillId="0" borderId="33" xfId="0" applyNumberFormat="1" applyFont="1" applyBorder="1" applyAlignment="1">
      <alignment horizontal="center" vertical="center"/>
    </xf>
    <xf numFmtId="180" fontId="15" fillId="0" borderId="30" xfId="0" applyNumberFormat="1" applyFont="1" applyBorder="1" applyAlignment="1">
      <alignment horizontal="center" vertical="center"/>
    </xf>
    <xf numFmtId="180" fontId="15" fillId="0" borderId="25" xfId="0" applyNumberFormat="1" applyFont="1" applyBorder="1" applyAlignment="1">
      <alignment horizontal="center" vertical="center"/>
    </xf>
    <xf numFmtId="179" fontId="6" fillId="5" borderId="26" xfId="121" applyNumberFormat="1" applyFont="1" applyFill="1" applyBorder="1" applyAlignment="1">
      <alignment horizontal="center"/>
    </xf>
    <xf numFmtId="179" fontId="6" fillId="5" borderId="30" xfId="121" applyNumberFormat="1" applyFont="1" applyFill="1" applyBorder="1" applyAlignment="1">
      <alignment horizontal="center"/>
    </xf>
    <xf numFmtId="176" fontId="15" fillId="0" borderId="29" xfId="0" applyNumberFormat="1" applyFont="1" applyBorder="1" applyAlignment="1">
      <alignment horizontal="center" vertical="center"/>
    </xf>
    <xf numFmtId="176" fontId="15" fillId="0" borderId="28" xfId="0" applyNumberFormat="1" applyFont="1" applyBorder="1" applyAlignment="1">
      <alignment horizontal="center" vertical="center"/>
    </xf>
    <xf numFmtId="176" fontId="15" fillId="0" borderId="25" xfId="0" applyNumberFormat="1" applyFont="1" applyBorder="1" applyAlignment="1">
      <alignment horizontal="center" vertical="center"/>
    </xf>
    <xf numFmtId="176" fontId="15" fillId="0" borderId="30" xfId="0" applyNumberFormat="1" applyFont="1" applyBorder="1" applyAlignment="1">
      <alignment horizontal="center" vertical="center"/>
    </xf>
    <xf numFmtId="176" fontId="15" fillId="0" borderId="22" xfId="0" applyNumberFormat="1" applyFont="1" applyBorder="1" applyAlignment="1">
      <alignment horizontal="center" vertical="center"/>
    </xf>
    <xf numFmtId="176" fontId="6" fillId="4" borderId="23" xfId="0" applyNumberFormat="1" applyFont="1" applyFill="1" applyBorder="1" applyAlignment="1">
      <alignment horizontal="center" vertical="center"/>
    </xf>
    <xf numFmtId="186" fontId="15" fillId="0" borderId="30" xfId="0" applyNumberFormat="1" applyFont="1" applyBorder="1" applyAlignment="1">
      <alignment horizontal="center" vertical="center"/>
    </xf>
    <xf numFmtId="186" fontId="15" fillId="7" borderId="30" xfId="0" applyNumberFormat="1" applyFont="1" applyFill="1" applyBorder="1" applyAlignment="1">
      <alignment horizontal="center" vertical="center"/>
    </xf>
    <xf numFmtId="186" fontId="15" fillId="7" borderId="25" xfId="0" applyNumberFormat="1" applyFont="1" applyFill="1" applyBorder="1" applyAlignment="1">
      <alignment horizontal="center" vertical="center"/>
    </xf>
    <xf numFmtId="179" fontId="6" fillId="15" borderId="29" xfId="121" applyNumberFormat="1" applyFont="1" applyFill="1" applyBorder="1" applyAlignment="1">
      <alignment horizontal="center"/>
    </xf>
    <xf numFmtId="179" fontId="6" fillId="15" borderId="28" xfId="121" applyNumberFormat="1" applyFont="1" applyFill="1" applyBorder="1" applyAlignment="1">
      <alignment horizontal="center"/>
    </xf>
    <xf numFmtId="179" fontId="6" fillId="5" borderId="28" xfId="121" applyNumberFormat="1" applyFont="1" applyFill="1" applyBorder="1" applyAlignment="1">
      <alignment horizontal="center"/>
    </xf>
    <xf numFmtId="179" fontId="6" fillId="5" borderId="34" xfId="121" applyNumberFormat="1" applyFont="1" applyFill="1" applyBorder="1" applyAlignment="1">
      <alignment horizontal="center"/>
    </xf>
    <xf numFmtId="179" fontId="6" fillId="15" borderId="23" xfId="121" applyNumberFormat="1" applyFont="1" applyFill="1" applyBorder="1" applyAlignment="1">
      <alignment horizontal="center"/>
    </xf>
    <xf numFmtId="179" fontId="6" fillId="5" borderId="33" xfId="121" applyNumberFormat="1" applyFont="1" applyFill="1" applyBorder="1" applyAlignment="1">
      <alignment horizontal="center"/>
    </xf>
    <xf numFmtId="179" fontId="6" fillId="15" borderId="20" xfId="121" applyNumberFormat="1" applyFont="1" applyFill="1" applyBorder="1" applyAlignment="1">
      <alignment horizontal="center"/>
    </xf>
    <xf numFmtId="179" fontId="6" fillId="5" borderId="23" xfId="121" applyNumberFormat="1" applyFont="1" applyFill="1" applyBorder="1" applyAlignment="1">
      <alignment horizontal="center"/>
    </xf>
    <xf numFmtId="179" fontId="6" fillId="5" borderId="21" xfId="121" applyNumberFormat="1" applyFont="1" applyFill="1" applyBorder="1" applyAlignment="1">
      <alignment horizontal="center"/>
    </xf>
    <xf numFmtId="188" fontId="15" fillId="0" borderId="26" xfId="744" applyNumberFormat="1" applyFont="1" applyBorder="1" applyAlignment="1">
      <alignment horizontal="center"/>
    </xf>
    <xf numFmtId="179" fontId="15" fillId="0" borderId="30" xfId="744" applyNumberFormat="1" applyFont="1" applyBorder="1" applyAlignment="1">
      <alignment horizontal="center"/>
    </xf>
    <xf numFmtId="179" fontId="15" fillId="0" borderId="21" xfId="744" applyNumberFormat="1" applyFont="1" applyBorder="1" applyAlignment="1">
      <alignment horizontal="center"/>
    </xf>
    <xf numFmtId="0" fontId="81" fillId="5" borderId="0" xfId="0" applyFont="1" applyFill="1">
      <alignment vertical="center"/>
    </xf>
    <xf numFmtId="0" fontId="15" fillId="5" borderId="23" xfId="0" applyFont="1" applyFill="1" applyBorder="1" applyAlignment="1">
      <alignment horizontal="center" vertical="center"/>
    </xf>
    <xf numFmtId="0" fontId="15" fillId="5" borderId="30" xfId="0" applyFont="1" applyFill="1" applyBorder="1" applyAlignment="1">
      <alignment horizontal="center" vertical="center"/>
    </xf>
    <xf numFmtId="0" fontId="15" fillId="5" borderId="21" xfId="0" applyFont="1" applyFill="1" applyBorder="1" applyAlignment="1">
      <alignment horizontal="center" vertical="center"/>
    </xf>
    <xf numFmtId="177" fontId="23" fillId="0" borderId="24" xfId="0" applyNumberFormat="1" applyFont="1" applyBorder="1" applyAlignment="1">
      <alignment horizontal="center" vertical="center"/>
    </xf>
    <xf numFmtId="177" fontId="23" fillId="0" borderId="25" xfId="0" applyNumberFormat="1" applyFont="1" applyBorder="1" applyAlignment="1">
      <alignment horizontal="center" vertical="center"/>
    </xf>
    <xf numFmtId="0" fontId="15" fillId="0" borderId="29" xfId="0" applyFont="1" applyBorder="1" applyAlignment="1">
      <alignment horizontal="center" vertical="center"/>
    </xf>
    <xf numFmtId="180" fontId="50" fillId="6" borderId="0" xfId="739" applyNumberFormat="1" applyFont="1" applyFill="1" applyAlignment="1">
      <alignment horizontal="center" vertical="center" wrapText="1"/>
    </xf>
    <xf numFmtId="0" fontId="15" fillId="0" borderId="30" xfId="0" applyFont="1" applyBorder="1" applyAlignment="1">
      <alignment horizontal="center" vertical="center"/>
    </xf>
    <xf numFmtId="179" fontId="6" fillId="5" borderId="29" xfId="121" applyNumberFormat="1" applyFont="1" applyFill="1" applyBorder="1" applyAlignment="1">
      <alignment horizontal="center"/>
    </xf>
    <xf numFmtId="0" fontId="32" fillId="6" borderId="0" xfId="0" applyFont="1" applyFill="1" applyAlignment="1">
      <alignment horizontal="center" vertical="center"/>
    </xf>
    <xf numFmtId="0" fontId="73" fillId="6" borderId="20" xfId="0" applyFont="1" applyFill="1" applyBorder="1" applyAlignment="1">
      <alignment horizontal="center" vertical="center" wrapText="1"/>
    </xf>
    <xf numFmtId="0" fontId="6" fillId="5" borderId="0" xfId="336" applyFont="1" applyFill="1" applyAlignment="1">
      <alignment horizontal="center"/>
    </xf>
    <xf numFmtId="184" fontId="6" fillId="5" borderId="0" xfId="369" applyNumberFormat="1" applyFont="1" applyFill="1" applyAlignment="1">
      <alignment horizontal="center"/>
    </xf>
    <xf numFmtId="184" fontId="6" fillId="5" borderId="0" xfId="468" applyNumberFormat="1" applyFont="1" applyFill="1" applyAlignment="1">
      <alignment horizontal="center"/>
    </xf>
    <xf numFmtId="0" fontId="20" fillId="6" borderId="0" xfId="0" applyFont="1" applyFill="1" applyAlignment="1">
      <alignment horizontal="center" vertical="center"/>
    </xf>
    <xf numFmtId="0" fontId="21" fillId="6" borderId="0" xfId="0" applyFont="1" applyFill="1" applyAlignment="1">
      <alignment horizontal="center" vertical="center"/>
    </xf>
    <xf numFmtId="0" fontId="82" fillId="7" borderId="20" xfId="0" applyFont="1" applyFill="1" applyBorder="1" applyAlignment="1">
      <alignment horizontal="center" wrapText="1"/>
    </xf>
    <xf numFmtId="0" fontId="82" fillId="7" borderId="20" xfId="0" applyFont="1" applyFill="1" applyBorder="1" applyAlignment="1">
      <alignment horizontal="right" wrapText="1"/>
    </xf>
    <xf numFmtId="179" fontId="82" fillId="7" borderId="20" xfId="0" applyNumberFormat="1" applyFont="1" applyFill="1" applyBorder="1" applyAlignment="1">
      <alignment horizontal="right" wrapText="1"/>
    </xf>
    <xf numFmtId="10" fontId="82" fillId="7" borderId="20" xfId="0" applyNumberFormat="1" applyFont="1" applyFill="1" applyBorder="1" applyAlignment="1">
      <alignment horizontal="right" wrapText="1"/>
    </xf>
    <xf numFmtId="0" fontId="83" fillId="7" borderId="20" xfId="0" applyFont="1" applyFill="1" applyBorder="1" applyAlignment="1">
      <alignment horizontal="center" vertical="center" wrapText="1"/>
    </xf>
    <xf numFmtId="4" fontId="82" fillId="7" borderId="20" xfId="0" applyNumberFormat="1" applyFont="1" applyFill="1" applyBorder="1" applyAlignment="1">
      <alignment horizontal="right" wrapText="1"/>
    </xf>
    <xf numFmtId="189" fontId="82" fillId="7" borderId="20" xfId="0" applyNumberFormat="1" applyFont="1" applyFill="1" applyBorder="1" applyAlignment="1">
      <alignment horizontal="right" wrapText="1"/>
    </xf>
    <xf numFmtId="0" fontId="82" fillId="7" borderId="20" xfId="0" applyFont="1" applyFill="1" applyBorder="1" applyAlignment="1">
      <alignment wrapText="1"/>
    </xf>
    <xf numFmtId="3" fontId="82" fillId="7" borderId="20" xfId="0" applyNumberFormat="1" applyFont="1" applyFill="1" applyBorder="1" applyAlignment="1">
      <alignment horizontal="right" wrapText="1"/>
    </xf>
    <xf numFmtId="0" fontId="82" fillId="7" borderId="22" xfId="0" applyFont="1" applyFill="1" applyBorder="1" applyAlignment="1">
      <alignment horizontal="right" wrapText="1"/>
    </xf>
    <xf numFmtId="0" fontId="84" fillId="5" borderId="0" xfId="0" applyFont="1" applyFill="1" applyAlignment="1">
      <alignment horizontal="center" vertical="center"/>
    </xf>
    <xf numFmtId="0" fontId="27" fillId="6" borderId="20" xfId="0" applyFont="1" applyFill="1" applyBorder="1" applyAlignment="1">
      <alignment horizontal="center" vertical="center" wrapText="1"/>
    </xf>
    <xf numFmtId="0" fontId="6" fillId="0" borderId="20" xfId="0" applyFont="1" applyBorder="1" applyAlignment="1">
      <alignment horizontal="center" vertical="center" wrapText="1"/>
    </xf>
    <xf numFmtId="177" fontId="6" fillId="0" borderId="20" xfId="0" applyNumberFormat="1" applyFont="1" applyBorder="1" applyAlignment="1">
      <alignment horizontal="center" vertical="center"/>
    </xf>
    <xf numFmtId="0" fontId="15" fillId="6" borderId="0" xfId="0" applyFont="1" applyFill="1" applyAlignment="1">
      <alignment horizontal="center" vertical="center"/>
    </xf>
    <xf numFmtId="0" fontId="6" fillId="4" borderId="0" xfId="0" applyFont="1" applyFill="1" applyAlignment="1">
      <alignment horizontal="center" vertical="center"/>
    </xf>
    <xf numFmtId="194" fontId="15" fillId="0" borderId="20" xfId="0" applyNumberFormat="1" applyFont="1" applyBorder="1" applyAlignment="1">
      <alignment horizontal="center" vertical="center"/>
    </xf>
    <xf numFmtId="177" fontId="15" fillId="0" borderId="20" xfId="0" applyNumberFormat="1" applyFont="1" applyBorder="1" applyAlignment="1">
      <alignment horizontal="center" vertical="center"/>
    </xf>
    <xf numFmtId="0" fontId="15" fillId="0" borderId="0" xfId="0" applyFont="1" applyAlignment="1">
      <alignment horizontal="center" vertical="center"/>
    </xf>
    <xf numFmtId="178" fontId="15" fillId="0" borderId="20" xfId="0" applyNumberFormat="1" applyFont="1" applyBorder="1" applyAlignment="1">
      <alignment horizontal="center" vertical="center"/>
    </xf>
    <xf numFmtId="0" fontId="33" fillId="5" borderId="0" xfId="0" applyFont="1" applyFill="1" applyAlignment="1">
      <alignment horizontal="center" vertical="center"/>
    </xf>
    <xf numFmtId="0" fontId="16" fillId="5" borderId="0" xfId="0" applyFont="1" applyFill="1" applyAlignment="1">
      <alignment horizontal="center" vertical="center"/>
    </xf>
    <xf numFmtId="0" fontId="37" fillId="0" borderId="20" xfId="0" applyFont="1" applyBorder="1" applyAlignment="1">
      <alignment horizontal="center" vertical="center"/>
    </xf>
    <xf numFmtId="0" fontId="85" fillId="6" borderId="21" xfId="23" applyFont="1" applyFill="1" applyBorder="1" applyAlignment="1" applyProtection="1">
      <alignment horizontal="center" vertical="center"/>
    </xf>
    <xf numFmtId="194" fontId="15" fillId="0" borderId="20" xfId="0" applyNumberFormat="1" applyFont="1" applyBorder="1" applyAlignment="1">
      <alignment horizontal="center" vertical="center" wrapText="1"/>
    </xf>
    <xf numFmtId="0" fontId="41" fillId="4" borderId="0" xfId="0" applyFont="1" applyFill="1" applyAlignment="1">
      <alignment horizontal="center" vertical="center"/>
    </xf>
    <xf numFmtId="194" fontId="6" fillId="0" borderId="20" xfId="0" applyNumberFormat="1" applyFont="1" applyBorder="1" applyAlignment="1">
      <alignment horizontal="center" vertical="center" wrapText="1"/>
    </xf>
    <xf numFmtId="194" fontId="6" fillId="0" borderId="20" xfId="0" applyNumberFormat="1" applyFont="1" applyBorder="1" applyAlignment="1">
      <alignment horizontal="center" vertical="center"/>
    </xf>
    <xf numFmtId="194" fontId="37" fillId="0" borderId="20" xfId="0" applyNumberFormat="1" applyFont="1" applyBorder="1" applyAlignment="1">
      <alignment horizontal="center" vertical="center"/>
    </xf>
    <xf numFmtId="2" fontId="37" fillId="0" borderId="20" xfId="215" applyNumberFormat="1" applyFont="1" applyBorder="1" applyAlignment="1">
      <alignment horizontal="center" vertical="center"/>
    </xf>
    <xf numFmtId="196" fontId="37" fillId="0" borderId="20" xfId="215" applyNumberFormat="1" applyFont="1" applyBorder="1" applyAlignment="1">
      <alignment horizontal="center" vertical="center"/>
    </xf>
    <xf numFmtId="0" fontId="68" fillId="14" borderId="21" xfId="23" applyFont="1" applyBorder="1" applyAlignment="1" applyProtection="1">
      <alignment horizontal="center" vertical="center"/>
    </xf>
    <xf numFmtId="0" fontId="81" fillId="4" borderId="21" xfId="0" applyFont="1" applyFill="1" applyBorder="1" applyAlignment="1">
      <alignment horizontal="center" vertical="center"/>
    </xf>
    <xf numFmtId="176" fontId="37" fillId="0" borderId="20" xfId="0" applyNumberFormat="1" applyFont="1" applyBorder="1" applyAlignment="1">
      <alignment horizontal="center" vertical="center"/>
    </xf>
    <xf numFmtId="0" fontId="15" fillId="4" borderId="33" xfId="0" applyFont="1" applyFill="1" applyBorder="1" applyAlignment="1">
      <alignment horizontal="center" vertical="center"/>
    </xf>
    <xf numFmtId="0" fontId="15" fillId="4" borderId="22" xfId="0" applyFont="1" applyFill="1" applyBorder="1" applyAlignment="1">
      <alignment horizontal="center" vertical="center"/>
    </xf>
    <xf numFmtId="0" fontId="15" fillId="0" borderId="29" xfId="0" applyFont="1" applyBorder="1" applyAlignment="1">
      <alignment horizontal="center" vertical="center" wrapText="1"/>
    </xf>
    <xf numFmtId="0" fontId="15" fillId="0" borderId="23" xfId="0" applyFont="1" applyBorder="1" applyAlignment="1">
      <alignment horizontal="center" vertical="center" wrapText="1"/>
    </xf>
    <xf numFmtId="191" fontId="15" fillId="0" borderId="23" xfId="0" applyNumberFormat="1" applyFont="1" applyBorder="1" applyAlignment="1">
      <alignment horizontal="center" vertical="center" wrapText="1"/>
    </xf>
    <xf numFmtId="184" fontId="15" fillId="0" borderId="23" xfId="0" applyNumberFormat="1" applyFont="1" applyBorder="1" applyAlignment="1">
      <alignment horizontal="center" vertical="center" wrapText="1"/>
    </xf>
    <xf numFmtId="191" fontId="15" fillId="0" borderId="30" xfId="0" applyNumberFormat="1" applyFont="1" applyBorder="1" applyAlignment="1">
      <alignment horizontal="center" vertical="center" wrapText="1"/>
    </xf>
    <xf numFmtId="0" fontId="32" fillId="6" borderId="22" xfId="0" applyFont="1" applyFill="1" applyBorder="1" applyAlignment="1">
      <alignment horizontal="center" vertical="center" wrapText="1"/>
    </xf>
    <xf numFmtId="0" fontId="50" fillId="6" borderId="0" xfId="0" applyFont="1" applyFill="1" applyAlignment="1">
      <alignment horizontal="center" vertical="center"/>
    </xf>
    <xf numFmtId="0" fontId="51" fillId="6" borderId="0" xfId="0" applyFont="1" applyFill="1" applyAlignment="1">
      <alignment horizontal="center" vertical="center"/>
    </xf>
    <xf numFmtId="179" fontId="6" fillId="7" borderId="20" xfId="121" applyNumberFormat="1" applyFont="1" applyFill="1" applyBorder="1" applyAlignment="1">
      <alignment horizontal="center"/>
    </xf>
    <xf numFmtId="179" fontId="16" fillId="0" borderId="28" xfId="0" applyNumberFormat="1" applyFont="1" applyBorder="1" applyAlignment="1">
      <alignment horizontal="center" vertical="center"/>
    </xf>
    <xf numFmtId="179" fontId="16" fillId="0" borderId="21" xfId="0" applyNumberFormat="1" applyFont="1" applyBorder="1" applyAlignment="1">
      <alignment horizontal="center" vertical="center"/>
    </xf>
    <xf numFmtId="0" fontId="16" fillId="0" borderId="28" xfId="0" applyFont="1" applyBorder="1" applyAlignment="1">
      <alignment horizontal="center" vertical="center"/>
    </xf>
    <xf numFmtId="0" fontId="86" fillId="7" borderId="20" xfId="0" applyFont="1" applyFill="1" applyBorder="1" applyAlignment="1">
      <alignment wrapText="1"/>
    </xf>
    <xf numFmtId="4" fontId="86" fillId="7" borderId="20" xfId="0" applyNumberFormat="1" applyFont="1" applyFill="1" applyBorder="1" applyAlignment="1">
      <alignment horizontal="right" wrapText="1"/>
    </xf>
    <xf numFmtId="0" fontId="86" fillId="7" borderId="20" xfId="0" applyFont="1" applyFill="1" applyBorder="1" applyAlignment="1">
      <alignment horizontal="right" wrapText="1"/>
    </xf>
    <xf numFmtId="179" fontId="33" fillId="4" borderId="0" xfId="0" applyNumberFormat="1" applyFont="1" applyFill="1" applyAlignment="1">
      <alignment horizontal="center" vertical="center"/>
    </xf>
    <xf numFmtId="0" fontId="61" fillId="4" borderId="0" xfId="0" applyFont="1" applyFill="1">
      <alignment vertical="center"/>
    </xf>
    <xf numFmtId="0" fontId="32" fillId="11" borderId="20" xfId="0" applyFont="1" applyFill="1" applyBorder="1" applyAlignment="1">
      <alignment horizontal="center" vertical="center"/>
    </xf>
    <xf numFmtId="179" fontId="15" fillId="7" borderId="20" xfId="0" applyNumberFormat="1" applyFont="1" applyFill="1" applyBorder="1" applyAlignment="1">
      <alignment horizontal="center" vertical="center"/>
    </xf>
    <xf numFmtId="183" fontId="15" fillId="7" borderId="20" xfId="0" applyNumberFormat="1" applyFont="1" applyFill="1" applyBorder="1" applyAlignment="1">
      <alignment horizontal="center" vertical="center"/>
    </xf>
    <xf numFmtId="0" fontId="7" fillId="5" borderId="0" xfId="0" applyFont="1" applyFill="1" applyAlignment="1">
      <alignment horizontal="center" vertical="center"/>
    </xf>
    <xf numFmtId="185" fontId="5" fillId="7" borderId="20" xfId="0" applyNumberFormat="1" applyFont="1" applyFill="1" applyBorder="1" applyAlignment="1">
      <alignment horizontal="center" vertical="center"/>
    </xf>
    <xf numFmtId="187" fontId="15" fillId="7" borderId="20" xfId="0" applyNumberFormat="1" applyFont="1" applyFill="1" applyBorder="1" applyAlignment="1">
      <alignment horizontal="center" vertical="center"/>
    </xf>
    <xf numFmtId="0" fontId="33" fillId="5" borderId="0" xfId="0" applyFont="1" applyFill="1">
      <alignment vertical="center"/>
    </xf>
    <xf numFmtId="0" fontId="27" fillId="11" borderId="20" xfId="0" applyFont="1" applyFill="1" applyBorder="1" applyAlignment="1">
      <alignment horizontal="center" vertical="center"/>
    </xf>
    <xf numFmtId="183" fontId="6" fillId="18" borderId="20" xfId="700" applyNumberFormat="1" applyFont="1" applyFill="1" applyBorder="1" applyAlignment="1">
      <alignment horizontal="center"/>
    </xf>
    <xf numFmtId="180" fontId="15" fillId="7" borderId="20" xfId="0" applyNumberFormat="1" applyFont="1" applyFill="1" applyBorder="1" applyAlignment="1">
      <alignment horizontal="center" vertical="center"/>
    </xf>
    <xf numFmtId="10" fontId="6" fillId="5" borderId="20" xfId="0" applyNumberFormat="1" applyFont="1" applyFill="1" applyBorder="1" applyAlignment="1">
      <alignment horizontal="center" vertical="center"/>
    </xf>
    <xf numFmtId="186" fontId="6" fillId="5" borderId="20" xfId="0" applyNumberFormat="1" applyFont="1" applyFill="1" applyBorder="1" applyAlignment="1">
      <alignment horizontal="center" vertical="center"/>
    </xf>
    <xf numFmtId="179" fontId="6" fillId="0" borderId="20" xfId="0" applyNumberFormat="1" applyFont="1" applyBorder="1" applyAlignment="1">
      <alignment horizontal="center" vertical="center"/>
    </xf>
    <xf numFmtId="0" fontId="6" fillId="18" borderId="20" xfId="88" applyFont="1" applyFill="1" applyBorder="1" applyAlignment="1">
      <alignment horizontal="center"/>
    </xf>
    <xf numFmtId="0" fontId="6" fillId="18" borderId="20" xfId="0" applyFont="1" applyFill="1" applyBorder="1" applyAlignment="1">
      <alignment horizontal="center" vertical="center"/>
    </xf>
    <xf numFmtId="176" fontId="15" fillId="7" borderId="20" xfId="0" applyNumberFormat="1" applyFont="1" applyFill="1" applyBorder="1" applyAlignment="1">
      <alignment horizontal="center" vertical="center"/>
    </xf>
    <xf numFmtId="179" fontId="6" fillId="18" borderId="20" xfId="121" applyNumberFormat="1" applyFont="1" applyFill="1" applyBorder="1" applyAlignment="1">
      <alignment horizontal="center"/>
    </xf>
    <xf numFmtId="176" fontId="15" fillId="7" borderId="21" xfId="0" applyNumberFormat="1" applyFont="1" applyFill="1" applyBorder="1" applyAlignment="1">
      <alignment horizontal="center" vertical="center"/>
    </xf>
    <xf numFmtId="176" fontId="6" fillId="4" borderId="0" xfId="0" applyNumberFormat="1" applyFont="1" applyFill="1" applyAlignment="1">
      <alignment horizontal="center" vertical="center"/>
    </xf>
    <xf numFmtId="186" fontId="5" fillId="7" borderId="21" xfId="0" applyNumberFormat="1" applyFont="1" applyFill="1" applyBorder="1" applyAlignment="1">
      <alignment horizontal="center" vertical="center"/>
    </xf>
    <xf numFmtId="179" fontId="6" fillId="18" borderId="20" xfId="121" applyNumberFormat="1" applyFont="1" applyFill="1" applyBorder="1" applyAlignment="1">
      <alignment horizontal="left"/>
    </xf>
    <xf numFmtId="179" fontId="15" fillId="0" borderId="0" xfId="744" applyNumberFormat="1" applyFont="1" applyAlignment="1">
      <alignment horizontal="center"/>
    </xf>
    <xf numFmtId="0" fontId="32" fillId="6" borderId="20" xfId="0" applyFont="1" applyFill="1" applyBorder="1">
      <alignment vertical="center"/>
    </xf>
    <xf numFmtId="178" fontId="6" fillId="7" borderId="20" xfId="0" applyNumberFormat="1" applyFont="1" applyFill="1" applyBorder="1" applyAlignment="1">
      <alignment horizontal="center" vertical="center"/>
    </xf>
    <xf numFmtId="0" fontId="25" fillId="6" borderId="0" xfId="0" applyFont="1" applyFill="1" applyAlignment="1">
      <alignment horizontal="center" vertical="center"/>
    </xf>
    <xf numFmtId="0" fontId="24" fillId="6" borderId="0" xfId="0" applyFont="1" applyFill="1" applyAlignment="1">
      <alignment horizontal="center" vertical="center"/>
    </xf>
    <xf numFmtId="184" fontId="15" fillId="18" borderId="20" xfId="0" applyNumberFormat="1" applyFont="1" applyFill="1" applyBorder="1" applyAlignment="1">
      <alignment horizontal="center" vertical="center"/>
    </xf>
    <xf numFmtId="184" fontId="6" fillId="7" borderId="21" xfId="0" applyNumberFormat="1" applyFont="1" applyFill="1" applyBorder="1" applyAlignment="1">
      <alignment horizontal="center" vertical="center"/>
    </xf>
    <xf numFmtId="187" fontId="15" fillId="0" borderId="21" xfId="0" applyNumberFormat="1" applyFont="1" applyBorder="1" applyAlignment="1">
      <alignment horizontal="center" vertical="center"/>
    </xf>
    <xf numFmtId="177" fontId="5" fillId="7" borderId="20" xfId="0" applyNumberFormat="1" applyFont="1" applyFill="1" applyBorder="1" applyAlignment="1">
      <alignment horizontal="center" vertical="center"/>
    </xf>
    <xf numFmtId="10" fontId="6" fillId="5" borderId="0" xfId="0" applyNumberFormat="1" applyFont="1" applyFill="1" applyAlignment="1">
      <alignment horizontal="center" vertical="center"/>
    </xf>
    <xf numFmtId="180" fontId="50" fillId="6" borderId="20" xfId="739" applyNumberFormat="1" applyFont="1" applyFill="1" applyBorder="1" applyAlignment="1">
      <alignment horizontal="center" vertical="center" wrapText="1"/>
    </xf>
    <xf numFmtId="0" fontId="61" fillId="5" borderId="0" xfId="0" applyFont="1" applyFill="1">
      <alignment vertical="center"/>
    </xf>
    <xf numFmtId="0" fontId="1" fillId="5" borderId="0" xfId="0" applyFont="1" applyFill="1" applyAlignment="1">
      <alignment horizontal="center" vertical="center"/>
    </xf>
    <xf numFmtId="0" fontId="33" fillId="4" borderId="22" xfId="0" applyFont="1" applyFill="1" applyBorder="1" applyAlignment="1">
      <alignment horizontal="center" vertical="center"/>
    </xf>
    <xf numFmtId="179" fontId="6" fillId="5" borderId="0" xfId="0" applyNumberFormat="1" applyFont="1" applyFill="1" applyAlignment="1">
      <alignment horizontal="center" vertical="center"/>
    </xf>
    <xf numFmtId="0" fontId="87" fillId="6" borderId="22" xfId="0" applyFont="1" applyFill="1" applyBorder="1" applyAlignment="1">
      <alignment horizontal="center" vertical="center" wrapText="1"/>
    </xf>
    <xf numFmtId="0" fontId="88" fillId="5" borderId="0" xfId="0" applyFont="1" applyFill="1" applyAlignment="1"/>
    <xf numFmtId="184" fontId="5" fillId="5" borderId="0" xfId="0" applyNumberFormat="1" applyFont="1" applyFill="1" applyAlignment="1">
      <alignment horizontal="center" vertical="center"/>
    </xf>
    <xf numFmtId="0" fontId="6" fillId="18" borderId="20" xfId="700" applyFont="1" applyFill="1" applyBorder="1" applyAlignment="1">
      <alignment horizontal="center"/>
    </xf>
    <xf numFmtId="184" fontId="6" fillId="0" borderId="21" xfId="0" applyNumberFormat="1" applyFont="1" applyBorder="1" applyAlignment="1">
      <alignment horizontal="center" vertical="center"/>
    </xf>
    <xf numFmtId="176" fontId="6" fillId="0" borderId="20" xfId="0" applyNumberFormat="1" applyFont="1" applyBorder="1" applyAlignment="1">
      <alignment horizontal="center" vertical="center"/>
    </xf>
    <xf numFmtId="176" fontId="6" fillId="5" borderId="0" xfId="0" applyNumberFormat="1" applyFont="1" applyFill="1" applyAlignment="1">
      <alignment horizontal="center" vertical="center"/>
    </xf>
    <xf numFmtId="176" fontId="6" fillId="0" borderId="21" xfId="0" applyNumberFormat="1" applyFont="1" applyBorder="1" applyAlignment="1">
      <alignment horizontal="center" vertical="center"/>
    </xf>
    <xf numFmtId="180" fontId="4" fillId="5" borderId="0" xfId="739" applyNumberFormat="1" applyFont="1" applyFill="1" applyAlignment="1">
      <alignment horizontal="center" vertical="center" wrapText="1"/>
    </xf>
    <xf numFmtId="0" fontId="89" fillId="5" borderId="0" xfId="0" applyFont="1" applyFill="1" applyAlignment="1">
      <alignment horizontal="center" vertical="center"/>
    </xf>
    <xf numFmtId="0" fontId="6" fillId="12" borderId="20" xfId="0" applyFont="1" applyFill="1" applyBorder="1" applyAlignment="1">
      <alignment horizontal="center" vertical="center"/>
    </xf>
    <xf numFmtId="0" fontId="53" fillId="6" borderId="0" xfId="0" applyFont="1" applyFill="1" applyAlignment="1">
      <alignment horizontal="center" vertical="center" wrapText="1"/>
    </xf>
    <xf numFmtId="0" fontId="90" fillId="7" borderId="20" xfId="0" applyFont="1" applyFill="1" applyBorder="1" applyAlignment="1">
      <alignment horizontal="center" vertical="center" wrapText="1"/>
    </xf>
    <xf numFmtId="0" fontId="82" fillId="0" borderId="20" xfId="0" applyFont="1" applyFill="1" applyBorder="1" applyAlignment="1">
      <alignment wrapText="1"/>
    </xf>
    <xf numFmtId="10" fontId="82" fillId="0" borderId="20" xfId="0" applyNumberFormat="1" applyFont="1" applyFill="1" applyBorder="1" applyAlignment="1">
      <alignment horizontal="right" wrapText="1"/>
    </xf>
    <xf numFmtId="0" fontId="15" fillId="0" borderId="0" xfId="0" applyFont="1" applyAlignment="1">
      <alignment horizontal="center" vertical="center" wrapText="1"/>
    </xf>
    <xf numFmtId="192" fontId="3" fillId="4" borderId="0" xfId="746" applyNumberFormat="1" applyFont="1" applyFill="1" applyAlignment="1">
      <alignment horizontal="center" vertical="center"/>
    </xf>
    <xf numFmtId="0" fontId="6" fillId="0" borderId="0" xfId="0" applyFont="1" applyAlignment="1">
      <alignment horizontal="center" vertical="center" wrapText="1"/>
    </xf>
    <xf numFmtId="177" fontId="6" fillId="0" borderId="0" xfId="0" applyNumberFormat="1" applyFont="1" applyAlignment="1">
      <alignment horizontal="center" vertical="center"/>
    </xf>
    <xf numFmtId="179" fontId="15" fillId="0" borderId="0" xfId="0" applyNumberFormat="1" applyFont="1" applyAlignment="1">
      <alignment horizontal="center" vertical="center"/>
    </xf>
    <xf numFmtId="177" fontId="15" fillId="0" borderId="0" xfId="0" applyNumberFormat="1" applyFont="1" applyAlignment="1">
      <alignment horizontal="center" vertical="center"/>
    </xf>
    <xf numFmtId="179" fontId="63" fillId="15" borderId="0" xfId="0" applyNumberFormat="1" applyFont="1" applyFill="1" applyAlignment="1" applyProtection="1">
      <alignment horizontal="center" vertical="center"/>
      <protection hidden="1"/>
    </xf>
    <xf numFmtId="0" fontId="39" fillId="6" borderId="0" xfId="23" applyFont="1" applyFill="1" applyAlignment="1" applyProtection="1">
      <alignment horizontal="center" vertical="center"/>
    </xf>
    <xf numFmtId="0" fontId="42" fillId="14" borderId="20" xfId="23" applyBorder="1" applyAlignment="1" applyProtection="1">
      <alignment horizontal="center" vertical="center"/>
    </xf>
    <xf numFmtId="0" fontId="6" fillId="7" borderId="20" xfId="0" applyFont="1" applyFill="1" applyBorder="1" applyAlignment="1">
      <alignment horizontal="center" vertical="center" wrapText="1"/>
    </xf>
    <xf numFmtId="191" fontId="6" fillId="7" borderId="20" xfId="0" applyNumberFormat="1" applyFont="1" applyFill="1" applyBorder="1" applyAlignment="1">
      <alignment horizontal="center" vertical="center" wrapText="1"/>
    </xf>
    <xf numFmtId="184" fontId="6" fillId="7" borderId="20" xfId="0" applyNumberFormat="1" applyFont="1" applyFill="1" applyBorder="1" applyAlignment="1">
      <alignment horizontal="center" vertical="center" wrapText="1"/>
    </xf>
    <xf numFmtId="0" fontId="0" fillId="5" borderId="0" xfId="0" applyFill="1">
      <alignment vertical="center"/>
    </xf>
    <xf numFmtId="195" fontId="6" fillId="7" borderId="20" xfId="0" applyNumberFormat="1" applyFont="1" applyFill="1" applyBorder="1" applyAlignment="1">
      <alignment horizontal="center" vertical="center" wrapText="1"/>
    </xf>
    <xf numFmtId="179" fontId="6" fillId="18" borderId="21" xfId="121" applyNumberFormat="1" applyFont="1" applyFill="1" applyBorder="1" applyAlignment="1">
      <alignment horizontal="left"/>
    </xf>
    <xf numFmtId="179" fontId="33" fillId="7" borderId="22" xfId="0" applyNumberFormat="1" applyFont="1" applyFill="1" applyBorder="1" applyAlignment="1">
      <alignment horizontal="center" vertical="center"/>
    </xf>
    <xf numFmtId="179" fontId="33" fillId="7" borderId="20" xfId="0" applyNumberFormat="1" applyFont="1" applyFill="1" applyBorder="1" applyAlignment="1">
      <alignment horizontal="center" vertical="center"/>
    </xf>
    <xf numFmtId="179" fontId="6" fillId="8" borderId="20" xfId="121" applyNumberFormat="1" applyFont="1" applyFill="1" applyBorder="1" applyAlignment="1">
      <alignment horizontal="center"/>
    </xf>
    <xf numFmtId="10" fontId="4" fillId="5" borderId="0" xfId="745" applyNumberFormat="1" applyFont="1" applyFill="1" applyAlignment="1">
      <alignment horizontal="center" vertical="center"/>
    </xf>
    <xf numFmtId="0" fontId="33" fillId="7" borderId="20" xfId="0" applyFont="1" applyFill="1" applyBorder="1" applyAlignment="1">
      <alignment horizontal="center" vertical="center"/>
    </xf>
    <xf numFmtId="0" fontId="91" fillId="5" borderId="0" xfId="0" applyFont="1" applyFill="1" applyAlignment="1">
      <alignment horizontal="center" vertical="center"/>
    </xf>
    <xf numFmtId="179" fontId="91" fillId="5" borderId="0" xfId="0" applyNumberFormat="1" applyFont="1" applyFill="1" applyAlignment="1">
      <alignment horizontal="center" vertical="center"/>
    </xf>
    <xf numFmtId="179" fontId="47" fillId="5" borderId="0" xfId="0" applyNumberFormat="1" applyFont="1" applyFill="1" applyAlignment="1">
      <alignment horizontal="center" vertical="center"/>
    </xf>
    <xf numFmtId="0" fontId="47" fillId="5" borderId="0" xfId="0" applyFont="1" applyFill="1" applyAlignment="1">
      <alignment horizontal="center" vertical="center"/>
    </xf>
    <xf numFmtId="0" fontId="33" fillId="4" borderId="0" xfId="0" applyFont="1" applyFill="1">
      <alignment vertical="center"/>
    </xf>
    <xf numFmtId="0" fontId="15" fillId="7" borderId="0" xfId="0" applyFont="1" applyFill="1" applyAlignment="1">
      <alignment horizontal="center" vertical="center"/>
    </xf>
    <xf numFmtId="0" fontId="53" fillId="6" borderId="0" xfId="0" applyFont="1" applyFill="1" applyAlignment="1">
      <alignment horizontal="center" vertical="center"/>
    </xf>
    <xf numFmtId="0" fontId="0" fillId="4" borderId="0" xfId="0" applyFill="1" applyAlignment="1">
      <alignment horizontal="center" vertical="center"/>
    </xf>
    <xf numFmtId="0" fontId="73" fillId="6" borderId="0" xfId="0" applyFont="1" applyFill="1" applyAlignment="1">
      <alignment horizontal="center" vertical="center"/>
    </xf>
    <xf numFmtId="4" fontId="6" fillId="7" borderId="20" xfId="0" applyNumberFormat="1" applyFont="1" applyFill="1" applyBorder="1" applyAlignment="1">
      <alignment horizontal="center" vertical="center"/>
    </xf>
    <xf numFmtId="0" fontId="26" fillId="0" borderId="0" xfId="0" applyFont="1">
      <alignment vertical="center"/>
    </xf>
    <xf numFmtId="0" fontId="92" fillId="5" borderId="27" xfId="0" applyFont="1" applyFill="1" applyBorder="1" applyAlignment="1">
      <alignment horizontal="center" vertical="center"/>
    </xf>
    <xf numFmtId="0" fontId="92" fillId="5" borderId="26" xfId="0" applyFont="1" applyFill="1" applyBorder="1" applyAlignment="1">
      <alignment horizontal="center" vertical="center"/>
    </xf>
    <xf numFmtId="0" fontId="92" fillId="5" borderId="31" xfId="0" applyFont="1" applyFill="1" applyBorder="1" applyAlignment="1">
      <alignment horizontal="center" vertical="center"/>
    </xf>
    <xf numFmtId="0" fontId="92" fillId="5" borderId="34" xfId="0" applyFont="1" applyFill="1" applyBorder="1" applyAlignment="1">
      <alignment horizontal="center" vertical="center"/>
    </xf>
    <xf numFmtId="0" fontId="26" fillId="5" borderId="0" xfId="0" applyFont="1" applyFill="1">
      <alignment vertical="center"/>
    </xf>
    <xf numFmtId="4" fontId="56" fillId="5" borderId="20" xfId="501" applyNumberFormat="1" applyFont="1" applyFill="1" applyBorder="1" applyAlignment="1">
      <alignment vertical="center" wrapText="1"/>
    </xf>
    <xf numFmtId="0" fontId="56" fillId="5" borderId="20" xfId="501" applyFont="1" applyFill="1" applyBorder="1" applyAlignment="1">
      <alignment vertical="center" wrapText="1"/>
    </xf>
    <xf numFmtId="4" fontId="56" fillId="5" borderId="20" xfId="501" applyNumberFormat="1" applyFont="1" applyFill="1" applyBorder="1" applyAlignment="1">
      <alignment horizontal="center" vertical="center" wrapText="1"/>
    </xf>
    <xf numFmtId="0" fontId="0" fillId="5" borderId="20" xfId="501" applyFill="1" applyBorder="1" applyAlignment="1">
      <alignment horizontal="center" vertical="center" wrapText="1"/>
    </xf>
    <xf numFmtId="0" fontId="56" fillId="5" borderId="20" xfId="501" applyFont="1" applyFill="1" applyBorder="1" applyAlignment="1">
      <alignment horizontal="right" vertical="center" wrapText="1"/>
    </xf>
    <xf numFmtId="0" fontId="0" fillId="5" borderId="20" xfId="501" applyFill="1" applyBorder="1" applyAlignment="1">
      <alignment vertical="center" wrapText="1"/>
    </xf>
    <xf numFmtId="4" fontId="56" fillId="5" borderId="20" xfId="501" applyNumberFormat="1" applyFont="1" applyFill="1" applyBorder="1" applyAlignment="1">
      <alignment horizontal="right" vertical="center" wrapText="1"/>
    </xf>
    <xf numFmtId="4" fontId="0" fillId="5" borderId="20" xfId="501" applyNumberFormat="1" applyFill="1" applyBorder="1" applyAlignment="1">
      <alignment horizontal="center" vertical="center" wrapText="1"/>
    </xf>
    <xf numFmtId="0" fontId="0" fillId="5" borderId="20" xfId="501" applyFill="1" applyBorder="1" applyAlignment="1">
      <alignment horizontal="left" vertical="center" wrapText="1"/>
    </xf>
    <xf numFmtId="4" fontId="0" fillId="5" borderId="20" xfId="501" applyNumberFormat="1" applyFill="1" applyBorder="1" applyAlignment="1">
      <alignment horizontal="right" vertical="center" wrapText="1"/>
    </xf>
    <xf numFmtId="0" fontId="1" fillId="5" borderId="0" xfId="0" applyFont="1" applyFill="1">
      <alignment vertical="center"/>
    </xf>
    <xf numFmtId="0" fontId="93" fillId="6" borderId="27" xfId="0" applyFont="1" applyFill="1" applyBorder="1" applyAlignment="1">
      <alignment horizontal="left" vertical="center"/>
    </xf>
    <xf numFmtId="0" fontId="93" fillId="6" borderId="26" xfId="0" applyFont="1" applyFill="1" applyBorder="1" applyAlignment="1">
      <alignment horizontal="left" vertical="center"/>
    </xf>
    <xf numFmtId="0" fontId="93" fillId="6" borderId="31" xfId="0" applyFont="1" applyFill="1" applyBorder="1" applyAlignment="1">
      <alignment horizontal="left" vertical="center"/>
    </xf>
    <xf numFmtId="0" fontId="93" fillId="6" borderId="34" xfId="0" applyFont="1" applyFill="1" applyBorder="1" applyAlignment="1">
      <alignment horizontal="left" vertical="center"/>
    </xf>
    <xf numFmtId="0" fontId="32" fillId="6" borderId="34" xfId="0" applyFont="1" applyFill="1" applyBorder="1" applyAlignment="1">
      <alignment horizontal="center" vertical="center"/>
    </xf>
    <xf numFmtId="179" fontId="26" fillId="5" borderId="20" xfId="501" applyNumberFormat="1" applyFont="1" applyFill="1" applyBorder="1">
      <alignment vertical="center"/>
    </xf>
    <xf numFmtId="179" fontId="26" fillId="5" borderId="20" xfId="0" applyNumberFormat="1" applyFont="1" applyFill="1" applyBorder="1">
      <alignment vertical="center"/>
    </xf>
    <xf numFmtId="184" fontId="34" fillId="5" borderId="20" xfId="215" applyNumberFormat="1" applyFont="1" applyFill="1" applyBorder="1" applyAlignment="1">
      <alignment horizontal="center" vertical="center"/>
    </xf>
    <xf numFmtId="0" fontId="32" fillId="5" borderId="21" xfId="0" applyFont="1" applyFill="1" applyBorder="1" applyAlignment="1">
      <alignment horizontal="center" vertical="center"/>
    </xf>
    <xf numFmtId="0" fontId="26" fillId="5" borderId="27" xfId="0" applyFont="1" applyFill="1" applyBorder="1" applyAlignment="1">
      <alignment horizontal="center" vertical="center" wrapText="1"/>
    </xf>
    <xf numFmtId="0" fontId="32" fillId="5" borderId="25" xfId="0" applyFont="1" applyFill="1" applyBorder="1" applyAlignment="1">
      <alignment horizontal="center" vertical="center"/>
    </xf>
    <xf numFmtId="0" fontId="26" fillId="5" borderId="32" xfId="0" applyFont="1" applyFill="1" applyBorder="1" applyAlignment="1">
      <alignment horizontal="center" vertical="center" wrapText="1"/>
    </xf>
    <xf numFmtId="0" fontId="32" fillId="5" borderId="20" xfId="0" applyFont="1" applyFill="1" applyBorder="1">
      <alignment vertical="center"/>
    </xf>
    <xf numFmtId="0" fontId="32" fillId="5" borderId="28" xfId="0" applyFont="1" applyFill="1" applyBorder="1" applyAlignment="1">
      <alignment horizontal="center" vertical="center"/>
    </xf>
    <xf numFmtId="0" fontId="20" fillId="6" borderId="33" xfId="0" applyFont="1" applyFill="1" applyBorder="1" applyAlignment="1">
      <alignment horizontal="center" vertical="center"/>
    </xf>
    <xf numFmtId="3" fontId="0" fillId="5" borderId="20" xfId="501" applyNumberFormat="1" applyFill="1" applyBorder="1" applyAlignment="1">
      <alignment horizontal="center" vertical="center" wrapText="1"/>
    </xf>
    <xf numFmtId="0" fontId="94" fillId="5" borderId="0" xfId="0" applyFont="1" applyFill="1" applyAlignment="1">
      <alignment horizontal="center" vertical="center" wrapText="1"/>
    </xf>
    <xf numFmtId="0" fontId="4" fillId="5" borderId="0" xfId="733" applyFont="1" applyFill="1" applyAlignment="1">
      <alignment horizontal="center" vertical="center"/>
    </xf>
    <xf numFmtId="0" fontId="1" fillId="5" borderId="0" xfId="733" applyFill="1">
      <alignment vertical="center"/>
    </xf>
    <xf numFmtId="0" fontId="92" fillId="5" borderId="30" xfId="0" applyFont="1" applyFill="1" applyBorder="1" applyAlignment="1">
      <alignment horizontal="center" vertical="center"/>
    </xf>
    <xf numFmtId="0" fontId="92" fillId="5" borderId="29" xfId="0" applyFont="1" applyFill="1" applyBorder="1" applyAlignment="1">
      <alignment horizontal="center" vertical="center"/>
    </xf>
    <xf numFmtId="0" fontId="38" fillId="6" borderId="20" xfId="743" applyFont="1" applyFill="1" applyBorder="1" applyAlignment="1">
      <alignment horizontal="center" vertical="center"/>
    </xf>
    <xf numFmtId="10" fontId="0" fillId="5" borderId="20" xfId="501" applyNumberFormat="1" applyFill="1" applyBorder="1" applyAlignment="1">
      <alignment horizontal="center" vertical="center" wrapText="1"/>
    </xf>
    <xf numFmtId="4" fontId="0" fillId="5" borderId="22" xfId="501" applyNumberFormat="1" applyFill="1" applyBorder="1" applyAlignment="1">
      <alignment horizontal="right" vertical="center" wrapText="1"/>
    </xf>
    <xf numFmtId="180" fontId="6" fillId="5" borderId="20" xfId="0" applyNumberFormat="1" applyFont="1" applyFill="1" applyBorder="1" applyAlignment="1">
      <alignment horizontal="center" vertical="center"/>
    </xf>
    <xf numFmtId="181" fontId="3" fillId="5" borderId="20" xfId="737" applyNumberFormat="1" applyFont="1" applyFill="1" applyBorder="1" applyAlignment="1">
      <alignment horizontal="center" vertical="center"/>
    </xf>
    <xf numFmtId="0" fontId="93" fillId="6" borderId="30" xfId="0" applyFont="1" applyFill="1" applyBorder="1" applyAlignment="1">
      <alignment horizontal="left" vertical="center"/>
    </xf>
    <xf numFmtId="0" fontId="93" fillId="6" borderId="29" xfId="0" applyFont="1" applyFill="1" applyBorder="1" applyAlignment="1">
      <alignment horizontal="left" vertical="center"/>
    </xf>
    <xf numFmtId="3" fontId="26" fillId="0" borderId="0" xfId="0" applyNumberFormat="1" applyFont="1">
      <alignment vertical="center"/>
    </xf>
    <xf numFmtId="3" fontId="0" fillId="0" borderId="0" xfId="0" applyNumberFormat="1">
      <alignment vertical="center"/>
    </xf>
    <xf numFmtId="10" fontId="26" fillId="0" borderId="0" xfId="0" applyNumberFormat="1" applyFont="1">
      <alignment vertical="center"/>
    </xf>
    <xf numFmtId="0" fontId="26" fillId="5" borderId="20" xfId="0" applyFont="1" applyFill="1" applyBorder="1">
      <alignment vertical="center"/>
    </xf>
    <xf numFmtId="0" fontId="95" fillId="6" borderId="27" xfId="0" applyFont="1" applyFill="1" applyBorder="1" applyAlignment="1">
      <alignment horizontal="left" vertical="center"/>
    </xf>
    <xf numFmtId="0" fontId="95" fillId="6" borderId="26" xfId="0" applyFont="1" applyFill="1" applyBorder="1" applyAlignment="1">
      <alignment horizontal="left" vertical="center"/>
    </xf>
    <xf numFmtId="0" fontId="95" fillId="6" borderId="31" xfId="0" applyFont="1" applyFill="1" applyBorder="1" applyAlignment="1">
      <alignment horizontal="left" vertical="center"/>
    </xf>
    <xf numFmtId="0" fontId="95" fillId="6" borderId="34" xfId="0" applyFont="1" applyFill="1" applyBorder="1" applyAlignment="1">
      <alignment horizontal="left" vertical="center"/>
    </xf>
    <xf numFmtId="0" fontId="32" fillId="6" borderId="33" xfId="0" applyFont="1" applyFill="1" applyBorder="1" applyAlignment="1">
      <alignment horizontal="center" vertical="center"/>
    </xf>
    <xf numFmtId="0" fontId="32" fillId="6" borderId="25" xfId="0" applyFont="1" applyFill="1" applyBorder="1" applyAlignment="1">
      <alignment horizontal="center" vertical="center"/>
    </xf>
    <xf numFmtId="0" fontId="96" fillId="5" borderId="20" xfId="0" applyFont="1" applyFill="1" applyBorder="1" applyAlignment="1">
      <alignment wrapText="1"/>
    </xf>
    <xf numFmtId="3" fontId="82" fillId="5" borderId="20" xfId="0" applyNumberFormat="1" applyFont="1" applyFill="1" applyBorder="1" applyAlignment="1">
      <alignment horizontal="right" wrapText="1"/>
    </xf>
    <xf numFmtId="0" fontId="82" fillId="5" borderId="20" xfId="0" applyFont="1" applyFill="1" applyBorder="1" applyAlignment="1">
      <alignment wrapText="1"/>
    </xf>
    <xf numFmtId="10" fontId="82" fillId="5" borderId="20" xfId="0" applyNumberFormat="1" applyFont="1" applyFill="1" applyBorder="1" applyAlignment="1">
      <alignment horizontal="right" wrapText="1"/>
    </xf>
    <xf numFmtId="0" fontId="32" fillId="6" borderId="21" xfId="0" applyFont="1" applyFill="1" applyBorder="1" applyAlignment="1">
      <alignment horizontal="center" vertical="center" wrapText="1"/>
    </xf>
    <xf numFmtId="0" fontId="82" fillId="5" borderId="20" xfId="0" applyFont="1" applyFill="1" applyBorder="1" applyAlignment="1">
      <alignment horizontal="right" wrapText="1"/>
    </xf>
    <xf numFmtId="0" fontId="32" fillId="6" borderId="27" xfId="0" applyFont="1" applyFill="1" applyBorder="1" applyAlignment="1">
      <alignment horizontal="center" vertical="center"/>
    </xf>
    <xf numFmtId="0" fontId="95" fillId="6" borderId="30" xfId="0" applyFont="1" applyFill="1" applyBorder="1" applyAlignment="1">
      <alignment horizontal="left" vertical="center"/>
    </xf>
    <xf numFmtId="0" fontId="95" fillId="6" borderId="29" xfId="0" applyFont="1" applyFill="1" applyBorder="1" applyAlignment="1">
      <alignment horizontal="left" vertical="center"/>
    </xf>
    <xf numFmtId="10" fontId="0" fillId="0" borderId="0" xfId="0" applyNumberFormat="1">
      <alignment vertical="center"/>
    </xf>
    <xf numFmtId="4" fontId="0" fillId="0" borderId="0" xfId="0" applyNumberFormat="1">
      <alignment vertical="center"/>
    </xf>
    <xf numFmtId="0" fontId="32" fillId="6" borderId="21" xfId="0" applyFont="1" applyFill="1" applyBorder="1">
      <alignment vertical="center"/>
    </xf>
    <xf numFmtId="4" fontId="96" fillId="5" borderId="20" xfId="0" applyNumberFormat="1" applyFont="1" applyFill="1" applyBorder="1" applyAlignment="1">
      <alignment horizontal="right" wrapText="1"/>
    </xf>
    <xf numFmtId="4" fontId="82" fillId="5" borderId="20" xfId="0" applyNumberFormat="1" applyFont="1" applyFill="1" applyBorder="1" applyAlignment="1">
      <alignment horizontal="right" wrapText="1"/>
    </xf>
    <xf numFmtId="0" fontId="62" fillId="0" borderId="0" xfId="0" applyFont="1" applyAlignment="1">
      <alignment horizontal="center" vertical="center" wrapText="1"/>
    </xf>
    <xf numFmtId="0" fontId="0" fillId="0" borderId="0" xfId="0" applyAlignment="1">
      <alignment vertical="center" wrapText="1"/>
    </xf>
    <xf numFmtId="4" fontId="0" fillId="0" borderId="0" xfId="0" applyNumberFormat="1" applyAlignment="1">
      <alignment horizontal="right" vertical="center" wrapText="1"/>
    </xf>
    <xf numFmtId="0" fontId="0" fillId="0" borderId="0" xfId="0" applyAlignment="1">
      <alignment horizontal="right" vertical="center" wrapText="1"/>
    </xf>
    <xf numFmtId="0" fontId="96" fillId="5" borderId="20" xfId="0" applyFont="1" applyFill="1" applyBorder="1" applyAlignment="1">
      <alignment horizontal="right" wrapText="1"/>
    </xf>
    <xf numFmtId="0" fontId="2" fillId="5" borderId="0" xfId="0" applyFont="1" applyFill="1" applyAlignment="1">
      <alignment horizontal="center" vertical="center" wrapText="1"/>
    </xf>
    <xf numFmtId="0" fontId="1" fillId="0" borderId="0" xfId="0" applyFont="1">
      <alignment vertical="center"/>
    </xf>
    <xf numFmtId="0" fontId="0" fillId="0" borderId="0" xfId="0" applyAlignment="1">
      <alignment horizontal="center" vertical="center" wrapText="1"/>
    </xf>
    <xf numFmtId="10" fontId="0" fillId="0" borderId="0" xfId="0" applyNumberFormat="1" applyAlignment="1">
      <alignment horizontal="right" vertical="center" wrapText="1"/>
    </xf>
    <xf numFmtId="0" fontId="0" fillId="0" borderId="0" xfId="0" applyAlignment="1">
      <alignment horizontal="left" vertical="center" wrapText="1"/>
    </xf>
    <xf numFmtId="4" fontId="62" fillId="0" borderId="0" xfId="0" applyNumberFormat="1" applyFont="1" applyAlignment="1">
      <alignment horizontal="center" vertical="center" wrapText="1"/>
    </xf>
    <xf numFmtId="0" fontId="0" fillId="19" borderId="0" xfId="0" applyFill="1" applyAlignment="1">
      <alignment horizontal="center" vertical="center" wrapText="1"/>
    </xf>
    <xf numFmtId="0" fontId="88" fillId="0" borderId="0" xfId="739" applyFont="1" applyAlignment="1">
      <alignment horizontal="center" vertical="center" wrapText="1"/>
    </xf>
    <xf numFmtId="0" fontId="7" fillId="0" borderId="0" xfId="737" applyFont="1" applyAlignment="1">
      <alignment horizontal="center" vertical="center"/>
    </xf>
    <xf numFmtId="0" fontId="73" fillId="6" borderId="20" xfId="739" applyFont="1" applyFill="1" applyBorder="1" applyAlignment="1">
      <alignment horizontal="center" vertical="center" wrapText="1"/>
    </xf>
    <xf numFmtId="0" fontId="7" fillId="0" borderId="20" xfId="737" applyFont="1" applyBorder="1" applyAlignment="1" applyProtection="1">
      <alignment horizontal="center" vertical="center"/>
      <protection locked="0"/>
    </xf>
    <xf numFmtId="0" fontId="0" fillId="0" borderId="20" xfId="0" applyBorder="1">
      <alignment vertical="center"/>
    </xf>
    <xf numFmtId="0" fontId="88" fillId="0" borderId="20" xfId="739" applyFont="1" applyBorder="1" applyAlignment="1">
      <alignment horizontal="center" vertical="center" wrapText="1"/>
    </xf>
    <xf numFmtId="198" fontId="4" fillId="2" borderId="28" xfId="737" applyNumberFormat="1" applyFont="1" applyFill="1" applyBorder="1" applyAlignment="1" applyProtection="1">
      <alignment horizontal="center" vertical="center"/>
      <protection locked="0"/>
    </xf>
    <xf numFmtId="198" fontId="4" fillId="0" borderId="28" xfId="737" applyNumberFormat="1" applyFont="1" applyBorder="1" applyAlignment="1">
      <alignment horizontal="center" vertical="center"/>
    </xf>
    <xf numFmtId="0" fontId="1" fillId="0" borderId="35" xfId="215" applyBorder="1" applyAlignment="1">
      <alignment horizontal="center" vertical="center"/>
    </xf>
    <xf numFmtId="198" fontId="4" fillId="2" borderId="20" xfId="737" applyNumberFormat="1" applyFont="1" applyFill="1" applyBorder="1" applyAlignment="1" applyProtection="1">
      <alignment horizontal="center" vertical="center"/>
      <protection locked="0"/>
    </xf>
    <xf numFmtId="198" fontId="4" fillId="0" borderId="20" xfId="737" applyNumberFormat="1" applyFont="1" applyBorder="1" applyAlignment="1">
      <alignment horizontal="center" vertical="center"/>
    </xf>
    <xf numFmtId="0" fontId="1" fillId="0" borderId="36" xfId="215" applyBorder="1" applyAlignment="1">
      <alignment horizontal="center" vertical="center"/>
    </xf>
    <xf numFmtId="198" fontId="4" fillId="20" borderId="20" xfId="737" applyNumberFormat="1" applyFont="1" applyFill="1" applyBorder="1" applyAlignment="1">
      <alignment horizontal="center" vertical="center"/>
    </xf>
    <xf numFmtId="0" fontId="97" fillId="6" borderId="20" xfId="0" applyFont="1" applyFill="1" applyBorder="1" applyAlignment="1">
      <alignment horizontal="center" vertical="center"/>
    </xf>
    <xf numFmtId="0" fontId="98" fillId="6" borderId="20" xfId="0" applyFont="1" applyFill="1" applyBorder="1" applyAlignment="1">
      <alignment horizontal="center" vertical="center"/>
    </xf>
    <xf numFmtId="3" fontId="96" fillId="21" borderId="20" xfId="0" applyNumberFormat="1" applyFont="1" applyFill="1" applyBorder="1" applyAlignment="1">
      <alignment horizontal="center" vertical="center"/>
    </xf>
    <xf numFmtId="0" fontId="98" fillId="6" borderId="21" xfId="0" applyFont="1" applyFill="1" applyBorder="1">
      <alignment vertical="center"/>
    </xf>
    <xf numFmtId="0" fontId="98" fillId="6" borderId="25" xfId="0" applyFont="1" applyFill="1" applyBorder="1">
      <alignment vertical="center"/>
    </xf>
    <xf numFmtId="0" fontId="0" fillId="0" borderId="0" xfId="0" applyAlignment="1">
      <alignment horizontal="right" vertical="center"/>
    </xf>
    <xf numFmtId="3" fontId="96" fillId="5" borderId="20" xfId="0" applyNumberFormat="1" applyFont="1" applyFill="1" applyBorder="1" applyAlignment="1">
      <alignment horizontal="center" vertical="center"/>
    </xf>
    <xf numFmtId="3" fontId="0" fillId="21" borderId="20" xfId="0" applyNumberFormat="1" applyFill="1" applyBorder="1" applyAlignment="1">
      <alignment horizontal="center" vertical="center"/>
    </xf>
    <xf numFmtId="0" fontId="0" fillId="0" borderId="0" xfId="0" applyAlignment="1">
      <alignment horizontal="center" vertical="center"/>
    </xf>
    <xf numFmtId="0" fontId="26" fillId="15" borderId="0" xfId="0" applyFont="1" applyFill="1">
      <alignment vertical="center"/>
    </xf>
    <xf numFmtId="0" fontId="99" fillId="22" borderId="0" xfId="0" applyFont="1" applyFill="1" applyAlignment="1">
      <alignment horizontal="center" vertical="center"/>
    </xf>
    <xf numFmtId="0" fontId="56" fillId="0" borderId="0" xfId="0" applyFont="1">
      <alignment vertical="center"/>
    </xf>
    <xf numFmtId="0" fontId="53" fillId="23" borderId="20" xfId="0" applyFont="1" applyFill="1" applyBorder="1" applyAlignment="1">
      <alignment horizontal="left" vertical="center"/>
    </xf>
    <xf numFmtId="0" fontId="0" fillId="21" borderId="20" xfId="0" applyFont="1" applyFill="1" applyBorder="1" applyAlignment="1">
      <alignment horizontal="center" vertical="center"/>
    </xf>
    <xf numFmtId="0" fontId="56" fillId="0" borderId="32" xfId="0" applyFont="1" applyBorder="1" applyAlignment="1">
      <alignment horizontal="center" vertical="center"/>
    </xf>
    <xf numFmtId="0" fontId="56" fillId="0" borderId="0" xfId="0" applyFont="1" applyAlignment="1">
      <alignment horizontal="center" vertical="center"/>
    </xf>
    <xf numFmtId="0" fontId="53" fillId="6" borderId="20" xfId="0" applyFont="1" applyFill="1" applyBorder="1" applyAlignment="1">
      <alignment horizontal="left" vertical="center"/>
    </xf>
    <xf numFmtId="0" fontId="100" fillId="21" borderId="20" xfId="0" applyFont="1" applyFill="1" applyBorder="1" applyAlignment="1">
      <alignment horizontal="center" vertical="center"/>
    </xf>
    <xf numFmtId="0" fontId="56" fillId="0" borderId="0" xfId="0" applyFont="1" applyAlignment="1">
      <alignment horizontal="left" vertical="center"/>
    </xf>
    <xf numFmtId="0" fontId="56" fillId="0" borderId="20" xfId="0" applyFont="1" applyBorder="1">
      <alignment vertical="center"/>
    </xf>
    <xf numFmtId="0" fontId="56" fillId="4" borderId="22" xfId="0" applyFont="1" applyFill="1" applyBorder="1">
      <alignment vertical="center"/>
    </xf>
    <xf numFmtId="0" fontId="53" fillId="6" borderId="20" xfId="0" applyFont="1" applyFill="1" applyBorder="1" applyAlignment="1">
      <alignment horizontal="right" vertical="center"/>
    </xf>
    <xf numFmtId="0" fontId="56" fillId="0" borderId="0" xfId="742" applyFont="1"/>
    <xf numFmtId="0" fontId="53" fillId="6" borderId="31" xfId="742" applyFont="1" applyFill="1" applyBorder="1" applyAlignment="1">
      <alignment horizontal="center"/>
    </xf>
    <xf numFmtId="0" fontId="53" fillId="6" borderId="29" xfId="742" applyFont="1" applyFill="1" applyBorder="1" applyAlignment="1">
      <alignment horizontal="center"/>
    </xf>
    <xf numFmtId="0" fontId="56" fillId="0" borderId="0" xfId="740" applyFont="1">
      <alignment vertical="center"/>
    </xf>
    <xf numFmtId="0" fontId="53" fillId="6" borderId="20" xfId="742" applyFont="1" applyFill="1" applyBorder="1" applyAlignment="1">
      <alignment horizontal="left"/>
    </xf>
    <xf numFmtId="0" fontId="0" fillId="21" borderId="28" xfId="0" applyFont="1" applyFill="1" applyBorder="1" applyAlignment="1">
      <alignment horizontal="center" vertical="center"/>
    </xf>
    <xf numFmtId="9" fontId="0" fillId="21" borderId="20" xfId="0" applyNumberFormat="1" applyFont="1" applyFill="1" applyBorder="1" applyAlignment="1">
      <alignment horizontal="center" vertical="center"/>
    </xf>
    <xf numFmtId="4" fontId="0" fillId="21" borderId="20" xfId="0" applyNumberFormat="1" applyFont="1" applyFill="1" applyBorder="1" applyAlignment="1">
      <alignment horizontal="center" vertical="center"/>
    </xf>
    <xf numFmtId="0" fontId="53" fillId="6" borderId="22" xfId="742" applyFont="1" applyFill="1" applyBorder="1" applyAlignment="1">
      <alignment horizontal="left"/>
    </xf>
    <xf numFmtId="0" fontId="53" fillId="6" borderId="20" xfId="742" applyFont="1" applyFill="1" applyBorder="1" applyAlignment="1">
      <alignment horizontal="left" wrapText="1"/>
    </xf>
    <xf numFmtId="10" fontId="0" fillId="21" borderId="20" xfId="0" applyNumberFormat="1" applyFont="1" applyFill="1" applyBorder="1" applyAlignment="1">
      <alignment horizontal="center" vertical="center"/>
    </xf>
    <xf numFmtId="0" fontId="56" fillId="0" borderId="0" xfId="735" applyFont="1">
      <alignment vertical="center"/>
    </xf>
    <xf numFmtId="0" fontId="53" fillId="6" borderId="37" xfId="734" applyFont="1" applyFill="1" applyBorder="1" applyAlignment="1">
      <alignment horizontal="left" vertical="center" wrapText="1"/>
    </xf>
    <xf numFmtId="3" fontId="0" fillId="21" borderId="20" xfId="0" applyNumberFormat="1" applyFont="1" applyFill="1" applyBorder="1" applyAlignment="1">
      <alignment horizontal="center" vertical="center"/>
    </xf>
    <xf numFmtId="10" fontId="56" fillId="0" borderId="0" xfId="742" applyNumberFormat="1" applyFont="1" applyAlignment="1">
      <alignment horizontal="center"/>
    </xf>
    <xf numFmtId="0" fontId="53" fillId="6" borderId="28" xfId="741" applyFont="1" applyFill="1" applyBorder="1" applyAlignment="1">
      <alignment horizontal="left"/>
    </xf>
    <xf numFmtId="0" fontId="53" fillId="6" borderId="20" xfId="741" applyFont="1" applyFill="1" applyBorder="1" applyAlignment="1">
      <alignment horizontal="left"/>
    </xf>
    <xf numFmtId="183" fontId="53" fillId="6" borderId="20" xfId="741" applyNumberFormat="1" applyFont="1" applyFill="1" applyBorder="1" applyAlignment="1">
      <alignment horizontal="left"/>
    </xf>
    <xf numFmtId="0" fontId="53" fillId="6" borderId="20" xfId="740" applyFont="1" applyFill="1" applyBorder="1" applyAlignment="1">
      <alignment horizontal="center" vertical="center"/>
    </xf>
    <xf numFmtId="0" fontId="53" fillId="6" borderId="0" xfId="735" applyFont="1" applyFill="1" applyAlignment="1">
      <alignment horizontal="left" vertical="center"/>
    </xf>
    <xf numFmtId="0" fontId="53" fillId="6" borderId="20" xfId="741" applyFont="1" applyFill="1" applyBorder="1" applyAlignment="1">
      <alignment horizontal="left" wrapText="1"/>
    </xf>
    <xf numFmtId="0" fontId="53" fillId="6" borderId="21" xfId="741" applyFont="1" applyFill="1" applyBorder="1" applyAlignment="1">
      <alignment horizontal="left" wrapText="1"/>
    </xf>
    <xf numFmtId="0" fontId="53" fillId="6" borderId="20" xfId="738" applyFont="1" applyFill="1" applyBorder="1" applyAlignment="1">
      <alignment horizontal="left" vertical="center"/>
    </xf>
    <xf numFmtId="0" fontId="56" fillId="0" borderId="0" xfId="742" applyFont="1" applyAlignment="1">
      <alignment horizontal="center"/>
    </xf>
    <xf numFmtId="183" fontId="56" fillId="0" borderId="0" xfId="742" applyNumberFormat="1" applyFont="1" applyAlignment="1">
      <alignment horizontal="center"/>
    </xf>
    <xf numFmtId="0" fontId="56" fillId="0" borderId="0" xfId="742" applyFont="1" applyAlignment="1">
      <alignment horizontal="center" wrapText="1"/>
    </xf>
    <xf numFmtId="0" fontId="56" fillId="0" borderId="0" xfId="740" applyFont="1" applyAlignment="1">
      <alignment horizontal="center" vertical="center"/>
    </xf>
    <xf numFmtId="176" fontId="56" fillId="0" borderId="0" xfId="740" applyNumberFormat="1" applyFont="1" applyAlignment="1">
      <alignment horizontal="center" vertical="center"/>
    </xf>
    <xf numFmtId="0" fontId="53" fillId="6" borderId="0" xfId="0" applyFont="1" applyFill="1" applyAlignment="1">
      <alignment horizontal="left" vertical="center"/>
    </xf>
    <xf numFmtId="0" fontId="101" fillId="21" borderId="20" xfId="6" applyFill="1" applyBorder="1" applyAlignment="1">
      <alignment horizontal="left" vertical="center"/>
    </xf>
    <xf numFmtId="0" fontId="53" fillId="6" borderId="20" xfId="740" applyFont="1" applyFill="1" applyBorder="1" applyAlignment="1">
      <alignment horizontal="left" vertical="center"/>
    </xf>
    <xf numFmtId="0" fontId="56" fillId="0" borderId="0" xfId="740" applyFont="1" applyAlignment="1">
      <alignment horizontal="distributed" vertical="center"/>
    </xf>
    <xf numFmtId="0" fontId="53" fillId="6" borderId="29" xfId="740" applyFont="1" applyFill="1" applyBorder="1" applyAlignment="1">
      <alignment horizontal="left" vertical="center"/>
    </xf>
    <xf numFmtId="0" fontId="53" fillId="6" borderId="23" xfId="740" applyFont="1" applyFill="1" applyBorder="1" applyAlignment="1">
      <alignment horizontal="left" vertical="center"/>
    </xf>
    <xf numFmtId="0" fontId="56" fillId="0" borderId="0" xfId="736" applyFont="1" applyAlignment="1">
      <alignment horizontal="center" vertical="center"/>
    </xf>
    <xf numFmtId="1" fontId="56" fillId="0" borderId="0" xfId="736" applyNumberFormat="1" applyFont="1" applyAlignment="1">
      <alignment horizontal="center" vertical="center"/>
    </xf>
    <xf numFmtId="183" fontId="56" fillId="0" borderId="0" xfId="740" applyNumberFormat="1" applyFont="1" applyAlignment="1">
      <alignment horizontal="center" vertical="center"/>
    </xf>
    <xf numFmtId="0" fontId="102" fillId="0" borderId="0" xfId="6" applyFont="1" applyAlignment="1" applyProtection="1">
      <alignment vertical="center"/>
    </xf>
    <xf numFmtId="0" fontId="0" fillId="0" borderId="0" xfId="0" applyAlignment="1">
      <alignment horizontal="left" vertical="center" indent="1"/>
    </xf>
    <xf numFmtId="0" fontId="101" fillId="0" borderId="0" xfId="6" applyAlignment="1">
      <alignment horizontal="left" vertical="center" indent="1"/>
    </xf>
    <xf numFmtId="0" fontId="103" fillId="0" borderId="0" xfId="0" applyFont="1" applyAlignment="1">
      <alignment horizontal="left" vertical="center" indent="1"/>
    </xf>
    <xf numFmtId="0" fontId="103" fillId="0" borderId="0" xfId="0" applyFont="1">
      <alignment vertical="center"/>
    </xf>
    <xf numFmtId="0" fontId="101" fillId="0" borderId="0" xfId="6" applyAlignment="1">
      <alignment vertical="center"/>
    </xf>
    <xf numFmtId="0" fontId="104" fillId="0" borderId="0" xfId="0" applyFont="1">
      <alignment vertical="center"/>
    </xf>
    <xf numFmtId="0" fontId="105" fillId="0" borderId="0" xfId="0" applyFont="1">
      <alignment vertical="center"/>
    </xf>
    <xf numFmtId="0" fontId="106" fillId="0" borderId="0" xfId="0" applyFont="1" applyAlignment="1">
      <alignment horizontal="center" vertical="center" wrapText="1"/>
    </xf>
    <xf numFmtId="0" fontId="103" fillId="0" borderId="0" xfId="0" applyFont="1" applyAlignment="1">
      <alignment horizontal="center" vertical="center" wrapText="1"/>
    </xf>
    <xf numFmtId="3" fontId="103" fillId="0" borderId="0" xfId="0" applyNumberFormat="1" applyFont="1" applyAlignment="1">
      <alignment horizontal="center" vertical="center" wrapText="1"/>
    </xf>
    <xf numFmtId="4" fontId="103" fillId="0" borderId="0" xfId="0" applyNumberFormat="1" applyFont="1" applyAlignment="1">
      <alignment horizontal="center" vertical="center" wrapText="1"/>
    </xf>
    <xf numFmtId="0" fontId="107" fillId="0" borderId="0" xfId="0" applyFont="1">
      <alignment vertical="center"/>
    </xf>
    <xf numFmtId="10" fontId="103" fillId="0" borderId="0" xfId="0" applyNumberFormat="1" applyFont="1" applyAlignment="1">
      <alignment horizontal="center" vertical="center" wrapText="1"/>
    </xf>
    <xf numFmtId="0" fontId="108" fillId="0" borderId="0" xfId="0" applyFont="1">
      <alignment vertical="center"/>
    </xf>
  </cellXfs>
  <cellStyles count="752">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百分比 3" xfId="49"/>
    <cellStyle name="差_1" xfId="50"/>
    <cellStyle name="差_Sheet1" xfId="51"/>
    <cellStyle name="差_初期" xfId="52"/>
    <cellStyle name="差_初始化表" xfId="53"/>
    <cellStyle name="差_第1期" xfId="54"/>
    <cellStyle name="常规 10" xfId="55"/>
    <cellStyle name="常规 10 10" xfId="56"/>
    <cellStyle name="常规 10 11" xfId="57"/>
    <cellStyle name="常规 10 12" xfId="58"/>
    <cellStyle name="常规 10 13" xfId="59"/>
    <cellStyle name="常规 10 14" xfId="60"/>
    <cellStyle name="常规 10 15" xfId="61"/>
    <cellStyle name="常规 10 16" xfId="62"/>
    <cellStyle name="常规 10 17" xfId="63"/>
    <cellStyle name="常规 10 18" xfId="64"/>
    <cellStyle name="常规 10 19" xfId="65"/>
    <cellStyle name="常规 10 2" xfId="66"/>
    <cellStyle name="常规 10 20" xfId="67"/>
    <cellStyle name="常规 10 21" xfId="68"/>
    <cellStyle name="常规 10 22" xfId="69"/>
    <cellStyle name="常规 10 23" xfId="70"/>
    <cellStyle name="常规 10 24" xfId="71"/>
    <cellStyle name="常规 10 25" xfId="72"/>
    <cellStyle name="常规 10 26" xfId="73"/>
    <cellStyle name="常规 10 27" xfId="74"/>
    <cellStyle name="常规 10 28" xfId="75"/>
    <cellStyle name="常规 10 29" xfId="76"/>
    <cellStyle name="常规 10 3" xfId="77"/>
    <cellStyle name="常规 10 30" xfId="78"/>
    <cellStyle name="常规 10 31" xfId="79"/>
    <cellStyle name="常规 10 32" xfId="80"/>
    <cellStyle name="常规 10 4" xfId="81"/>
    <cellStyle name="常规 10 5" xfId="82"/>
    <cellStyle name="常规 10 6" xfId="83"/>
    <cellStyle name="常规 10 7" xfId="84"/>
    <cellStyle name="常规 10 8" xfId="85"/>
    <cellStyle name="常规 10 9" xfId="86"/>
    <cellStyle name="常规 10_副本Xl000000112" xfId="87"/>
    <cellStyle name="常规 11" xfId="88"/>
    <cellStyle name="常规 11 10" xfId="89"/>
    <cellStyle name="常规 11 11" xfId="90"/>
    <cellStyle name="常规 11 12" xfId="91"/>
    <cellStyle name="常规 11 13" xfId="92"/>
    <cellStyle name="常规 11 14" xfId="93"/>
    <cellStyle name="常规 11 15" xfId="94"/>
    <cellStyle name="常规 11 16" xfId="95"/>
    <cellStyle name="常规 11 17" xfId="96"/>
    <cellStyle name="常规 11 18" xfId="97"/>
    <cellStyle name="常规 11 19" xfId="98"/>
    <cellStyle name="常规 11 2" xfId="99"/>
    <cellStyle name="常规 11 20" xfId="100"/>
    <cellStyle name="常规 11 21" xfId="101"/>
    <cellStyle name="常规 11 22" xfId="102"/>
    <cellStyle name="常规 11 23" xfId="103"/>
    <cellStyle name="常规 11 24" xfId="104"/>
    <cellStyle name="常规 11 25" xfId="105"/>
    <cellStyle name="常规 11 26" xfId="106"/>
    <cellStyle name="常规 11 27" xfId="107"/>
    <cellStyle name="常规 11 28" xfId="108"/>
    <cellStyle name="常规 11 29" xfId="109"/>
    <cellStyle name="常规 11 3" xfId="110"/>
    <cellStyle name="常规 11 30" xfId="111"/>
    <cellStyle name="常规 11 31" xfId="112"/>
    <cellStyle name="常规 11 32" xfId="113"/>
    <cellStyle name="常规 11 4" xfId="114"/>
    <cellStyle name="常规 11 5" xfId="115"/>
    <cellStyle name="常规 11 6" xfId="116"/>
    <cellStyle name="常规 11 7" xfId="117"/>
    <cellStyle name="常规 11 8" xfId="118"/>
    <cellStyle name="常规 11 9" xfId="119"/>
    <cellStyle name="常规 11_副本Xl000000112" xfId="120"/>
    <cellStyle name="常规 12" xfId="121"/>
    <cellStyle name="常规 12 10" xfId="122"/>
    <cellStyle name="常规 12 11" xfId="123"/>
    <cellStyle name="常规 12 12" xfId="124"/>
    <cellStyle name="常规 12 13" xfId="125"/>
    <cellStyle name="常规 12 14" xfId="126"/>
    <cellStyle name="常规 12 15" xfId="127"/>
    <cellStyle name="常规 12 16" xfId="128"/>
    <cellStyle name="常规 12 17" xfId="129"/>
    <cellStyle name="常规 12 18" xfId="130"/>
    <cellStyle name="常规 12 19" xfId="131"/>
    <cellStyle name="常规 12 2" xfId="132"/>
    <cellStyle name="常规 12 20" xfId="133"/>
    <cellStyle name="常规 12 21" xfId="134"/>
    <cellStyle name="常规 12 22" xfId="135"/>
    <cellStyle name="常规 12 23" xfId="136"/>
    <cellStyle name="常规 12 24" xfId="137"/>
    <cellStyle name="常规 12 25" xfId="138"/>
    <cellStyle name="常规 12 26" xfId="139"/>
    <cellStyle name="常规 12 27" xfId="140"/>
    <cellStyle name="常规 12 28" xfId="141"/>
    <cellStyle name="常规 12 29" xfId="142"/>
    <cellStyle name="常规 12 3" xfId="143"/>
    <cellStyle name="常规 12 30" xfId="144"/>
    <cellStyle name="常规 12 31" xfId="145"/>
    <cellStyle name="常规 12 32" xfId="146"/>
    <cellStyle name="常规 12 4" xfId="147"/>
    <cellStyle name="常规 12 5" xfId="148"/>
    <cellStyle name="常规 12 6" xfId="149"/>
    <cellStyle name="常规 12 7" xfId="150"/>
    <cellStyle name="常规 12 8" xfId="151"/>
    <cellStyle name="常规 12 9" xfId="152"/>
    <cellStyle name="常规 12_第9期" xfId="153"/>
    <cellStyle name="常规 13" xfId="154"/>
    <cellStyle name="常规 13 10" xfId="155"/>
    <cellStyle name="常规 13 11" xfId="156"/>
    <cellStyle name="常规 13 12" xfId="157"/>
    <cellStyle name="常规 13 13" xfId="158"/>
    <cellStyle name="常规 13 14" xfId="159"/>
    <cellStyle name="常规 13 15" xfId="160"/>
    <cellStyle name="常规 13 16" xfId="161"/>
    <cellStyle name="常规 13 17" xfId="162"/>
    <cellStyle name="常规 13 18" xfId="163"/>
    <cellStyle name="常规 13 19" xfId="164"/>
    <cellStyle name="常规 13 2" xfId="165"/>
    <cellStyle name="常规 13 20" xfId="166"/>
    <cellStyle name="常规 13 21" xfId="167"/>
    <cellStyle name="常规 13 22" xfId="168"/>
    <cellStyle name="常规 13 23" xfId="169"/>
    <cellStyle name="常规 13 24" xfId="170"/>
    <cellStyle name="常规 13 25" xfId="171"/>
    <cellStyle name="常规 13 26" xfId="172"/>
    <cellStyle name="常规 13 27" xfId="173"/>
    <cellStyle name="常规 13 28" xfId="174"/>
    <cellStyle name="常规 13 29" xfId="175"/>
    <cellStyle name="常规 13 3" xfId="176"/>
    <cellStyle name="常规 13 30" xfId="177"/>
    <cellStyle name="常规 13 31" xfId="178"/>
    <cellStyle name="常规 13 32" xfId="179"/>
    <cellStyle name="常规 13 4" xfId="180"/>
    <cellStyle name="常规 13 5" xfId="181"/>
    <cellStyle name="常规 13 6" xfId="182"/>
    <cellStyle name="常规 13 7" xfId="183"/>
    <cellStyle name="常规 13 8" xfId="184"/>
    <cellStyle name="常规 13 9" xfId="185"/>
    <cellStyle name="常规 13_副本Xl000000112" xfId="186"/>
    <cellStyle name="常规 14" xfId="187"/>
    <cellStyle name="常规 15" xfId="188"/>
    <cellStyle name="常规 16" xfId="189"/>
    <cellStyle name="常规 17" xfId="190"/>
    <cellStyle name="常规 18" xfId="191"/>
    <cellStyle name="常规 19" xfId="192"/>
    <cellStyle name="常规 19 10" xfId="193"/>
    <cellStyle name="常规 19 11" xfId="194"/>
    <cellStyle name="常规 19 12" xfId="195"/>
    <cellStyle name="常规 19 13" xfId="196"/>
    <cellStyle name="常规 19 14" xfId="197"/>
    <cellStyle name="常规 19 15" xfId="198"/>
    <cellStyle name="常规 19 16" xfId="199"/>
    <cellStyle name="常规 19 17" xfId="200"/>
    <cellStyle name="常规 19 18" xfId="201"/>
    <cellStyle name="常规 19 19" xfId="202"/>
    <cellStyle name="常规 19 2" xfId="203"/>
    <cellStyle name="常规 19 20" xfId="204"/>
    <cellStyle name="常规 19 21" xfId="205"/>
    <cellStyle name="常规 19 22" xfId="206"/>
    <cellStyle name="常规 19 3" xfId="207"/>
    <cellStyle name="常规 19 4" xfId="208"/>
    <cellStyle name="常规 19 5" xfId="209"/>
    <cellStyle name="常规 19 6" xfId="210"/>
    <cellStyle name="常规 19 7" xfId="211"/>
    <cellStyle name="常规 19 8" xfId="212"/>
    <cellStyle name="常规 19 9" xfId="213"/>
    <cellStyle name="常规 19_副本Xl000000112" xfId="214"/>
    <cellStyle name="常规 2" xfId="215"/>
    <cellStyle name="常规 2 10" xfId="216"/>
    <cellStyle name="常规 2 11" xfId="217"/>
    <cellStyle name="常规 2 12" xfId="218"/>
    <cellStyle name="常规 2 13" xfId="219"/>
    <cellStyle name="常规 2 14" xfId="220"/>
    <cellStyle name="常规 2 15" xfId="221"/>
    <cellStyle name="常规 2 16" xfId="222"/>
    <cellStyle name="常规 2 17" xfId="223"/>
    <cellStyle name="常规 2 18" xfId="224"/>
    <cellStyle name="常规 2 19" xfId="225"/>
    <cellStyle name="常规 2 2" xfId="226"/>
    <cellStyle name="常规 2 20" xfId="227"/>
    <cellStyle name="常规 2 21" xfId="228"/>
    <cellStyle name="常规 2 22" xfId="229"/>
    <cellStyle name="常规 2 23" xfId="230"/>
    <cellStyle name="常规 2 24" xfId="231"/>
    <cellStyle name="常规 2 25" xfId="232"/>
    <cellStyle name="常规 2 26" xfId="233"/>
    <cellStyle name="常规 2 27" xfId="234"/>
    <cellStyle name="常规 2 28" xfId="235"/>
    <cellStyle name="常规 2 29" xfId="236"/>
    <cellStyle name="常规 2 3" xfId="237"/>
    <cellStyle name="常规 2 30" xfId="238"/>
    <cellStyle name="常规 2 31" xfId="239"/>
    <cellStyle name="常规 2 32" xfId="240"/>
    <cellStyle name="常规 2 4" xfId="241"/>
    <cellStyle name="常规 2 5" xfId="242"/>
    <cellStyle name="常规 2 6" xfId="243"/>
    <cellStyle name="常规 2 7" xfId="244"/>
    <cellStyle name="常规 2 8" xfId="245"/>
    <cellStyle name="常规 2 9" xfId="246"/>
    <cellStyle name="常规 2_副本Xl000000112" xfId="247"/>
    <cellStyle name="常规 20" xfId="248"/>
    <cellStyle name="常规 20 10" xfId="249"/>
    <cellStyle name="常规 20 11" xfId="250"/>
    <cellStyle name="常规 20 12" xfId="251"/>
    <cellStyle name="常规 20 13" xfId="252"/>
    <cellStyle name="常规 20 14" xfId="253"/>
    <cellStyle name="常规 20 15" xfId="254"/>
    <cellStyle name="常规 20 16" xfId="255"/>
    <cellStyle name="常规 20 17" xfId="256"/>
    <cellStyle name="常规 20 18" xfId="257"/>
    <cellStyle name="常规 20 19" xfId="258"/>
    <cellStyle name="常规 20 2" xfId="259"/>
    <cellStyle name="常规 20 20" xfId="260"/>
    <cellStyle name="常规 20 21" xfId="261"/>
    <cellStyle name="常规 20 22" xfId="262"/>
    <cellStyle name="常规 20 23" xfId="263"/>
    <cellStyle name="常规 20 24" xfId="264"/>
    <cellStyle name="常规 20 25" xfId="265"/>
    <cellStyle name="常规 20 26" xfId="266"/>
    <cellStyle name="常规 20 27" xfId="267"/>
    <cellStyle name="常规 20 28" xfId="268"/>
    <cellStyle name="常规 20 29" xfId="269"/>
    <cellStyle name="常规 20 3" xfId="270"/>
    <cellStyle name="常规 20 30" xfId="271"/>
    <cellStyle name="常规 20 4" xfId="272"/>
    <cellStyle name="常规 20 5" xfId="273"/>
    <cellStyle name="常规 20 6" xfId="274"/>
    <cellStyle name="常规 20 7" xfId="275"/>
    <cellStyle name="常规 20 8" xfId="276"/>
    <cellStyle name="常规 20 9" xfId="277"/>
    <cellStyle name="常规 20_副本Xl000000112" xfId="278"/>
    <cellStyle name="常规 21" xfId="279"/>
    <cellStyle name="常规 21 10" xfId="280"/>
    <cellStyle name="常规 21 11" xfId="281"/>
    <cellStyle name="常规 21 12" xfId="282"/>
    <cellStyle name="常规 21 13" xfId="283"/>
    <cellStyle name="常规 21 14" xfId="284"/>
    <cellStyle name="常规 21 15" xfId="285"/>
    <cellStyle name="常规 21 16" xfId="286"/>
    <cellStyle name="常规 21 17" xfId="287"/>
    <cellStyle name="常规 21 18" xfId="288"/>
    <cellStyle name="常规 21 19" xfId="289"/>
    <cellStyle name="常规 21 2" xfId="290"/>
    <cellStyle name="常规 21 20" xfId="291"/>
    <cellStyle name="常规 21 21" xfId="292"/>
    <cellStyle name="常规 21 22" xfId="293"/>
    <cellStyle name="常规 21 23" xfId="294"/>
    <cellStyle name="常规 21 3" xfId="295"/>
    <cellStyle name="常规 21 4" xfId="296"/>
    <cellStyle name="常规 21 5" xfId="297"/>
    <cellStyle name="常规 21 6" xfId="298"/>
    <cellStyle name="常规 21 7" xfId="299"/>
    <cellStyle name="常规 21 8" xfId="300"/>
    <cellStyle name="常规 21 9" xfId="301"/>
    <cellStyle name="常规 21_副本Xl000000112" xfId="302"/>
    <cellStyle name="常规 22" xfId="303"/>
    <cellStyle name="常规 22 10" xfId="304"/>
    <cellStyle name="常规 22 11" xfId="305"/>
    <cellStyle name="常规 22 12" xfId="306"/>
    <cellStyle name="常规 22 13" xfId="307"/>
    <cellStyle name="常规 22 14" xfId="308"/>
    <cellStyle name="常规 22 15" xfId="309"/>
    <cellStyle name="常规 22 16" xfId="310"/>
    <cellStyle name="常规 22 17" xfId="311"/>
    <cellStyle name="常规 22 18" xfId="312"/>
    <cellStyle name="常规 22 19" xfId="313"/>
    <cellStyle name="常规 22 2" xfId="314"/>
    <cellStyle name="常规 22 20" xfId="315"/>
    <cellStyle name="常规 22 21" xfId="316"/>
    <cellStyle name="常规 22 22" xfId="317"/>
    <cellStyle name="常规 22 23" xfId="318"/>
    <cellStyle name="常规 22 24" xfId="319"/>
    <cellStyle name="常规 22 25" xfId="320"/>
    <cellStyle name="常规 22 26" xfId="321"/>
    <cellStyle name="常规 22 27" xfId="322"/>
    <cellStyle name="常规 22 28" xfId="323"/>
    <cellStyle name="常规 22 29" xfId="324"/>
    <cellStyle name="常规 22 3" xfId="325"/>
    <cellStyle name="常规 22 30" xfId="326"/>
    <cellStyle name="常规 22 31" xfId="327"/>
    <cellStyle name="常规 22 32" xfId="328"/>
    <cellStyle name="常规 22 4" xfId="329"/>
    <cellStyle name="常规 22 5" xfId="330"/>
    <cellStyle name="常规 22 6" xfId="331"/>
    <cellStyle name="常规 22 7" xfId="332"/>
    <cellStyle name="常规 22 8" xfId="333"/>
    <cellStyle name="常规 22 9" xfId="334"/>
    <cellStyle name="常规 22_副本Xl000000112" xfId="335"/>
    <cellStyle name="常规 23" xfId="336"/>
    <cellStyle name="常规 23 10" xfId="337"/>
    <cellStyle name="常规 23 11" xfId="338"/>
    <cellStyle name="常规 23 12" xfId="339"/>
    <cellStyle name="常规 23 13" xfId="340"/>
    <cellStyle name="常规 23 14" xfId="341"/>
    <cellStyle name="常规 23 15" xfId="342"/>
    <cellStyle name="常规 23 16" xfId="343"/>
    <cellStyle name="常规 23 17" xfId="344"/>
    <cellStyle name="常规 23 18" xfId="345"/>
    <cellStyle name="常规 23 19" xfId="346"/>
    <cellStyle name="常规 23 2" xfId="347"/>
    <cellStyle name="常规 23 20" xfId="348"/>
    <cellStyle name="常规 23 21" xfId="349"/>
    <cellStyle name="常规 23 22" xfId="350"/>
    <cellStyle name="常规 23 23" xfId="351"/>
    <cellStyle name="常规 23 24" xfId="352"/>
    <cellStyle name="常规 23 25" xfId="353"/>
    <cellStyle name="常规 23 26" xfId="354"/>
    <cellStyle name="常规 23 27" xfId="355"/>
    <cellStyle name="常规 23 28" xfId="356"/>
    <cellStyle name="常规 23 29" xfId="357"/>
    <cellStyle name="常规 23 3" xfId="358"/>
    <cellStyle name="常规 23 30" xfId="359"/>
    <cellStyle name="常规 23 31" xfId="360"/>
    <cellStyle name="常规 23 32" xfId="361"/>
    <cellStyle name="常规 23 4" xfId="362"/>
    <cellStyle name="常规 23 5" xfId="363"/>
    <cellStyle name="常规 23 6" xfId="364"/>
    <cellStyle name="常规 23 7" xfId="365"/>
    <cellStyle name="常规 23 8" xfId="366"/>
    <cellStyle name="常规 23 9" xfId="367"/>
    <cellStyle name="常规 23_副本Xl000000112" xfId="368"/>
    <cellStyle name="常规 24" xfId="369"/>
    <cellStyle name="常规 24 10" xfId="370"/>
    <cellStyle name="常规 24 11" xfId="371"/>
    <cellStyle name="常规 24 12" xfId="372"/>
    <cellStyle name="常规 24 13" xfId="373"/>
    <cellStyle name="常规 24 14" xfId="374"/>
    <cellStyle name="常规 24 15" xfId="375"/>
    <cellStyle name="常规 24 16" xfId="376"/>
    <cellStyle name="常规 24 17" xfId="377"/>
    <cellStyle name="常规 24 18" xfId="378"/>
    <cellStyle name="常规 24 19" xfId="379"/>
    <cellStyle name="常规 24 2" xfId="380"/>
    <cellStyle name="常规 24 20" xfId="381"/>
    <cellStyle name="常规 24 21" xfId="382"/>
    <cellStyle name="常规 24 22" xfId="383"/>
    <cellStyle name="常规 24 23" xfId="384"/>
    <cellStyle name="常规 24 24" xfId="385"/>
    <cellStyle name="常规 24 25" xfId="386"/>
    <cellStyle name="常规 24 26" xfId="387"/>
    <cellStyle name="常规 24 27" xfId="388"/>
    <cellStyle name="常规 24 28" xfId="389"/>
    <cellStyle name="常规 24 29" xfId="390"/>
    <cellStyle name="常规 24 3" xfId="391"/>
    <cellStyle name="常规 24 30" xfId="392"/>
    <cellStyle name="常规 24 31" xfId="393"/>
    <cellStyle name="常规 24 32" xfId="394"/>
    <cellStyle name="常规 24 4" xfId="395"/>
    <cellStyle name="常规 24 5" xfId="396"/>
    <cellStyle name="常规 24 6" xfId="397"/>
    <cellStyle name="常规 24 7" xfId="398"/>
    <cellStyle name="常规 24 8" xfId="399"/>
    <cellStyle name="常规 24 9" xfId="400"/>
    <cellStyle name="常规 24_副本Xl000000112" xfId="401"/>
    <cellStyle name="常规 25" xfId="402"/>
    <cellStyle name="常规 25 10" xfId="403"/>
    <cellStyle name="常规 25 11" xfId="404"/>
    <cellStyle name="常规 25 12" xfId="405"/>
    <cellStyle name="常规 25 13" xfId="406"/>
    <cellStyle name="常规 25 14" xfId="407"/>
    <cellStyle name="常规 25 15" xfId="408"/>
    <cellStyle name="常规 25 16" xfId="409"/>
    <cellStyle name="常规 25 17" xfId="410"/>
    <cellStyle name="常规 25 18" xfId="411"/>
    <cellStyle name="常规 25 19" xfId="412"/>
    <cellStyle name="常规 25 2" xfId="413"/>
    <cellStyle name="常规 25 20" xfId="414"/>
    <cellStyle name="常规 25 21" xfId="415"/>
    <cellStyle name="常规 25 22" xfId="416"/>
    <cellStyle name="常规 25 23" xfId="417"/>
    <cellStyle name="常规 25 24" xfId="418"/>
    <cellStyle name="常规 25 25" xfId="419"/>
    <cellStyle name="常规 25 26" xfId="420"/>
    <cellStyle name="常规 25 27" xfId="421"/>
    <cellStyle name="常规 25 28" xfId="422"/>
    <cellStyle name="常规 25 29" xfId="423"/>
    <cellStyle name="常规 25 3" xfId="424"/>
    <cellStyle name="常规 25 30" xfId="425"/>
    <cellStyle name="常规 25 31" xfId="426"/>
    <cellStyle name="常规 25 32" xfId="427"/>
    <cellStyle name="常规 25 4" xfId="428"/>
    <cellStyle name="常规 25 5" xfId="429"/>
    <cellStyle name="常规 25 6" xfId="430"/>
    <cellStyle name="常规 25 7" xfId="431"/>
    <cellStyle name="常规 25 8" xfId="432"/>
    <cellStyle name="常规 25 9" xfId="433"/>
    <cellStyle name="常规 25_副本Xl000000112" xfId="434"/>
    <cellStyle name="常规 26" xfId="435"/>
    <cellStyle name="常规 26 10" xfId="436"/>
    <cellStyle name="常规 26 11" xfId="437"/>
    <cellStyle name="常规 26 12" xfId="438"/>
    <cellStyle name="常规 26 13" xfId="439"/>
    <cellStyle name="常规 26 14" xfId="440"/>
    <cellStyle name="常规 26 15" xfId="441"/>
    <cellStyle name="常规 26 16" xfId="442"/>
    <cellStyle name="常规 26 17" xfId="443"/>
    <cellStyle name="常规 26 18" xfId="444"/>
    <cellStyle name="常规 26 19" xfId="445"/>
    <cellStyle name="常规 26 2" xfId="446"/>
    <cellStyle name="常规 26 20" xfId="447"/>
    <cellStyle name="常规 26 21" xfId="448"/>
    <cellStyle name="常规 26 22" xfId="449"/>
    <cellStyle name="常规 26 23" xfId="450"/>
    <cellStyle name="常规 26 24" xfId="451"/>
    <cellStyle name="常规 26 25" xfId="452"/>
    <cellStyle name="常规 26 26" xfId="453"/>
    <cellStyle name="常规 26 27" xfId="454"/>
    <cellStyle name="常规 26 28" xfId="455"/>
    <cellStyle name="常规 26 29" xfId="456"/>
    <cellStyle name="常规 26 3" xfId="457"/>
    <cellStyle name="常规 26 30" xfId="458"/>
    <cellStyle name="常规 26 31" xfId="459"/>
    <cellStyle name="常规 26 32" xfId="460"/>
    <cellStyle name="常规 26 4" xfId="461"/>
    <cellStyle name="常规 26 5" xfId="462"/>
    <cellStyle name="常规 26 6" xfId="463"/>
    <cellStyle name="常规 26 7" xfId="464"/>
    <cellStyle name="常规 26 8" xfId="465"/>
    <cellStyle name="常规 26 9" xfId="466"/>
    <cellStyle name="常规 26_副本Xl000000112" xfId="467"/>
    <cellStyle name="常规 27" xfId="468"/>
    <cellStyle name="常规 27 10" xfId="469"/>
    <cellStyle name="常规 27 11" xfId="470"/>
    <cellStyle name="常规 27 12" xfId="471"/>
    <cellStyle name="常规 27 13" xfId="472"/>
    <cellStyle name="常规 27 14" xfId="473"/>
    <cellStyle name="常规 27 15" xfId="474"/>
    <cellStyle name="常规 27 16" xfId="475"/>
    <cellStyle name="常规 27 17" xfId="476"/>
    <cellStyle name="常规 27 18" xfId="477"/>
    <cellStyle name="常规 27 19" xfId="478"/>
    <cellStyle name="常规 27 2" xfId="479"/>
    <cellStyle name="常规 27 20" xfId="480"/>
    <cellStyle name="常规 27 21" xfId="481"/>
    <cellStyle name="常规 27 22" xfId="482"/>
    <cellStyle name="常规 27 23" xfId="483"/>
    <cellStyle name="常规 27 24" xfId="484"/>
    <cellStyle name="常规 27 25" xfId="485"/>
    <cellStyle name="常规 27 26" xfId="486"/>
    <cellStyle name="常规 27 27" xfId="487"/>
    <cellStyle name="常规 27 28" xfId="488"/>
    <cellStyle name="常规 27 29" xfId="489"/>
    <cellStyle name="常规 27 3" xfId="490"/>
    <cellStyle name="常规 27 30" xfId="491"/>
    <cellStyle name="常规 27 31" xfId="492"/>
    <cellStyle name="常规 27 32" xfId="493"/>
    <cellStyle name="常规 27 4" xfId="494"/>
    <cellStyle name="常规 27 5" xfId="495"/>
    <cellStyle name="常规 27 6" xfId="496"/>
    <cellStyle name="常规 27 7" xfId="497"/>
    <cellStyle name="常规 27 8" xfId="498"/>
    <cellStyle name="常规 27 9" xfId="499"/>
    <cellStyle name="常规 27_副本Xl000000112" xfId="500"/>
    <cellStyle name="常规 28" xfId="501"/>
    <cellStyle name="常规 3" xfId="502"/>
    <cellStyle name="常规 3 10" xfId="503"/>
    <cellStyle name="常规 3 11" xfId="504"/>
    <cellStyle name="常规 3 12" xfId="505"/>
    <cellStyle name="常规 3 13" xfId="506"/>
    <cellStyle name="常规 3 14" xfId="507"/>
    <cellStyle name="常规 3 15" xfId="508"/>
    <cellStyle name="常规 3 16" xfId="509"/>
    <cellStyle name="常规 3 17" xfId="510"/>
    <cellStyle name="常规 3 18" xfId="511"/>
    <cellStyle name="常规 3 19" xfId="512"/>
    <cellStyle name="常规 3 2" xfId="513"/>
    <cellStyle name="常规 3 20" xfId="514"/>
    <cellStyle name="常规 3 21" xfId="515"/>
    <cellStyle name="常规 3 22" xfId="516"/>
    <cellStyle name="常规 3 23" xfId="517"/>
    <cellStyle name="常规 3 24" xfId="518"/>
    <cellStyle name="常规 3 25" xfId="519"/>
    <cellStyle name="常规 3 26" xfId="520"/>
    <cellStyle name="常规 3 27" xfId="521"/>
    <cellStyle name="常规 3 28" xfId="522"/>
    <cellStyle name="常规 3 29" xfId="523"/>
    <cellStyle name="常规 3 3" xfId="524"/>
    <cellStyle name="常规 3 30" xfId="525"/>
    <cellStyle name="常规 3 31" xfId="526"/>
    <cellStyle name="常规 3 32" xfId="527"/>
    <cellStyle name="常规 3 4" xfId="528"/>
    <cellStyle name="常规 3 5" xfId="529"/>
    <cellStyle name="常规 3 6" xfId="530"/>
    <cellStyle name="常规 3 7" xfId="531"/>
    <cellStyle name="常规 3 8" xfId="532"/>
    <cellStyle name="常规 3 9" xfId="533"/>
    <cellStyle name="常规 3_副本Xl000000112" xfId="534"/>
    <cellStyle name="常规 4" xfId="535"/>
    <cellStyle name="常规 4 10" xfId="536"/>
    <cellStyle name="常规 4 11" xfId="537"/>
    <cellStyle name="常规 4 12" xfId="538"/>
    <cellStyle name="常规 4 13" xfId="539"/>
    <cellStyle name="常规 4 14" xfId="540"/>
    <cellStyle name="常规 4 15" xfId="541"/>
    <cellStyle name="常规 4 16" xfId="542"/>
    <cellStyle name="常规 4 17" xfId="543"/>
    <cellStyle name="常规 4 18" xfId="544"/>
    <cellStyle name="常规 4 19" xfId="545"/>
    <cellStyle name="常规 4 2" xfId="546"/>
    <cellStyle name="常规 4 20" xfId="547"/>
    <cellStyle name="常规 4 21" xfId="548"/>
    <cellStyle name="常规 4 22" xfId="549"/>
    <cellStyle name="常规 4 23" xfId="550"/>
    <cellStyle name="常规 4 24" xfId="551"/>
    <cellStyle name="常规 4 25" xfId="552"/>
    <cellStyle name="常规 4 26" xfId="553"/>
    <cellStyle name="常规 4 27" xfId="554"/>
    <cellStyle name="常规 4 28" xfId="555"/>
    <cellStyle name="常规 4 29" xfId="556"/>
    <cellStyle name="常规 4 3" xfId="557"/>
    <cellStyle name="常规 4 30" xfId="558"/>
    <cellStyle name="常规 4 31" xfId="559"/>
    <cellStyle name="常规 4 32" xfId="560"/>
    <cellStyle name="常规 4 4" xfId="561"/>
    <cellStyle name="常规 4 5" xfId="562"/>
    <cellStyle name="常规 4 6" xfId="563"/>
    <cellStyle name="常规 4 7" xfId="564"/>
    <cellStyle name="常规 4 8" xfId="565"/>
    <cellStyle name="常规 4 9" xfId="566"/>
    <cellStyle name="常规 4_副本Xl000000112" xfId="567"/>
    <cellStyle name="常规 5" xfId="568"/>
    <cellStyle name="常规 5 10" xfId="569"/>
    <cellStyle name="常规 5 11" xfId="570"/>
    <cellStyle name="常规 5 12" xfId="571"/>
    <cellStyle name="常规 5 13" xfId="572"/>
    <cellStyle name="常规 5 14" xfId="573"/>
    <cellStyle name="常规 5 15" xfId="574"/>
    <cellStyle name="常规 5 16" xfId="575"/>
    <cellStyle name="常规 5 17" xfId="576"/>
    <cellStyle name="常规 5 18" xfId="577"/>
    <cellStyle name="常规 5 19" xfId="578"/>
    <cellStyle name="常规 5 2" xfId="579"/>
    <cellStyle name="常规 5 20" xfId="580"/>
    <cellStyle name="常规 5 21" xfId="581"/>
    <cellStyle name="常规 5 22" xfId="582"/>
    <cellStyle name="常规 5 23" xfId="583"/>
    <cellStyle name="常规 5 24" xfId="584"/>
    <cellStyle name="常规 5 25" xfId="585"/>
    <cellStyle name="常规 5 26" xfId="586"/>
    <cellStyle name="常规 5 27" xfId="587"/>
    <cellStyle name="常规 5 28" xfId="588"/>
    <cellStyle name="常规 5 29" xfId="589"/>
    <cellStyle name="常规 5 3" xfId="590"/>
    <cellStyle name="常规 5 30" xfId="591"/>
    <cellStyle name="常规 5 31" xfId="592"/>
    <cellStyle name="常规 5 32" xfId="593"/>
    <cellStyle name="常规 5 4" xfId="594"/>
    <cellStyle name="常规 5 5" xfId="595"/>
    <cellStyle name="常规 5 6" xfId="596"/>
    <cellStyle name="常规 5 7" xfId="597"/>
    <cellStyle name="常规 5 8" xfId="598"/>
    <cellStyle name="常规 5 9" xfId="599"/>
    <cellStyle name="常规 5_副本Xl000000112" xfId="600"/>
    <cellStyle name="常规 6" xfId="601"/>
    <cellStyle name="常规 6 10" xfId="602"/>
    <cellStyle name="常规 6 11" xfId="603"/>
    <cellStyle name="常规 6 12" xfId="604"/>
    <cellStyle name="常规 6 13" xfId="605"/>
    <cellStyle name="常规 6 14" xfId="606"/>
    <cellStyle name="常规 6 15" xfId="607"/>
    <cellStyle name="常规 6 16" xfId="608"/>
    <cellStyle name="常规 6 17" xfId="609"/>
    <cellStyle name="常规 6 18" xfId="610"/>
    <cellStyle name="常规 6 19" xfId="611"/>
    <cellStyle name="常规 6 2" xfId="612"/>
    <cellStyle name="常规 6 20" xfId="613"/>
    <cellStyle name="常规 6 21" xfId="614"/>
    <cellStyle name="常规 6 22" xfId="615"/>
    <cellStyle name="常规 6 23" xfId="616"/>
    <cellStyle name="常规 6 24" xfId="617"/>
    <cellStyle name="常规 6 25" xfId="618"/>
    <cellStyle name="常规 6 26" xfId="619"/>
    <cellStyle name="常规 6 27" xfId="620"/>
    <cellStyle name="常规 6 28" xfId="621"/>
    <cellStyle name="常规 6 29" xfId="622"/>
    <cellStyle name="常规 6 3" xfId="623"/>
    <cellStyle name="常规 6 30" xfId="624"/>
    <cellStyle name="常规 6 31" xfId="625"/>
    <cellStyle name="常规 6 32" xfId="626"/>
    <cellStyle name="常规 6 4" xfId="627"/>
    <cellStyle name="常规 6 5" xfId="628"/>
    <cellStyle name="常规 6 6" xfId="629"/>
    <cellStyle name="常规 6 7" xfId="630"/>
    <cellStyle name="常规 6 8" xfId="631"/>
    <cellStyle name="常规 6 9" xfId="632"/>
    <cellStyle name="常规 6_副本Xl000000112" xfId="633"/>
    <cellStyle name="常规 7" xfId="634"/>
    <cellStyle name="常规 7 10" xfId="635"/>
    <cellStyle name="常规 7 11" xfId="636"/>
    <cellStyle name="常规 7 12" xfId="637"/>
    <cellStyle name="常规 7 13" xfId="638"/>
    <cellStyle name="常规 7 14" xfId="639"/>
    <cellStyle name="常规 7 15" xfId="640"/>
    <cellStyle name="常规 7 16" xfId="641"/>
    <cellStyle name="常规 7 17" xfId="642"/>
    <cellStyle name="常规 7 18" xfId="643"/>
    <cellStyle name="常规 7 19" xfId="644"/>
    <cellStyle name="常规 7 2" xfId="645"/>
    <cellStyle name="常规 7 20" xfId="646"/>
    <cellStyle name="常规 7 21" xfId="647"/>
    <cellStyle name="常规 7 22" xfId="648"/>
    <cellStyle name="常规 7 23" xfId="649"/>
    <cellStyle name="常规 7 24" xfId="650"/>
    <cellStyle name="常规 7 25" xfId="651"/>
    <cellStyle name="常规 7 26" xfId="652"/>
    <cellStyle name="常规 7 27" xfId="653"/>
    <cellStyle name="常规 7 28" xfId="654"/>
    <cellStyle name="常规 7 29" xfId="655"/>
    <cellStyle name="常规 7 3" xfId="656"/>
    <cellStyle name="常规 7 30" xfId="657"/>
    <cellStyle name="常规 7 31" xfId="658"/>
    <cellStyle name="常规 7 32" xfId="659"/>
    <cellStyle name="常规 7 4" xfId="660"/>
    <cellStyle name="常规 7 5" xfId="661"/>
    <cellStyle name="常规 7 6" xfId="662"/>
    <cellStyle name="常规 7 7" xfId="663"/>
    <cellStyle name="常规 7 8" xfId="664"/>
    <cellStyle name="常规 7 9" xfId="665"/>
    <cellStyle name="常规 7_副本Xl000000112" xfId="666"/>
    <cellStyle name="常规 8" xfId="667"/>
    <cellStyle name="常规 8 10" xfId="668"/>
    <cellStyle name="常规 8 11" xfId="669"/>
    <cellStyle name="常规 8 12" xfId="670"/>
    <cellStyle name="常规 8 13" xfId="671"/>
    <cellStyle name="常规 8 14" xfId="672"/>
    <cellStyle name="常规 8 15" xfId="673"/>
    <cellStyle name="常规 8 16" xfId="674"/>
    <cellStyle name="常规 8 17" xfId="675"/>
    <cellStyle name="常规 8 18" xfId="676"/>
    <cellStyle name="常规 8 19" xfId="677"/>
    <cellStyle name="常规 8 2" xfId="678"/>
    <cellStyle name="常规 8 20" xfId="679"/>
    <cellStyle name="常规 8 21" xfId="680"/>
    <cellStyle name="常规 8 22" xfId="681"/>
    <cellStyle name="常规 8 23" xfId="682"/>
    <cellStyle name="常规 8 24" xfId="683"/>
    <cellStyle name="常规 8 25" xfId="684"/>
    <cellStyle name="常规 8 26" xfId="685"/>
    <cellStyle name="常规 8 27" xfId="686"/>
    <cellStyle name="常规 8 28" xfId="687"/>
    <cellStyle name="常规 8 29" xfId="688"/>
    <cellStyle name="常规 8 3" xfId="689"/>
    <cellStyle name="常规 8 30" xfId="690"/>
    <cellStyle name="常规 8 31" xfId="691"/>
    <cellStyle name="常规 8 32" xfId="692"/>
    <cellStyle name="常规 8 4" xfId="693"/>
    <cellStyle name="常规 8 5" xfId="694"/>
    <cellStyle name="常规 8 6" xfId="695"/>
    <cellStyle name="常规 8 7" xfId="696"/>
    <cellStyle name="常规 8 8" xfId="697"/>
    <cellStyle name="常规 8 9" xfId="698"/>
    <cellStyle name="常规 8_副本Xl000000112" xfId="699"/>
    <cellStyle name="常规 9" xfId="700"/>
    <cellStyle name="常规 9 10" xfId="701"/>
    <cellStyle name="常规 9 11" xfId="702"/>
    <cellStyle name="常规 9 12" xfId="703"/>
    <cellStyle name="常规 9 13" xfId="704"/>
    <cellStyle name="常规 9 14" xfId="705"/>
    <cellStyle name="常规 9 15" xfId="706"/>
    <cellStyle name="常规 9 16" xfId="707"/>
    <cellStyle name="常规 9 17" xfId="708"/>
    <cellStyle name="常规 9 18" xfId="709"/>
    <cellStyle name="常规 9 19" xfId="710"/>
    <cellStyle name="常规 9 2" xfId="711"/>
    <cellStyle name="常规 9 20" xfId="712"/>
    <cellStyle name="常规 9 21" xfId="713"/>
    <cellStyle name="常规 9 22" xfId="714"/>
    <cellStyle name="常规 9 23" xfId="715"/>
    <cellStyle name="常规 9 24" xfId="716"/>
    <cellStyle name="常规 9 25" xfId="717"/>
    <cellStyle name="常规 9 26" xfId="718"/>
    <cellStyle name="常规 9 27" xfId="719"/>
    <cellStyle name="常规 9 28" xfId="720"/>
    <cellStyle name="常规 9 29" xfId="721"/>
    <cellStyle name="常规 9 3" xfId="722"/>
    <cellStyle name="常规 9 30" xfId="723"/>
    <cellStyle name="常规 9 31" xfId="724"/>
    <cellStyle name="常规 9 32" xfId="725"/>
    <cellStyle name="常规 9 4" xfId="726"/>
    <cellStyle name="常规 9 5" xfId="727"/>
    <cellStyle name="常规 9 6" xfId="728"/>
    <cellStyle name="常规 9 7" xfId="729"/>
    <cellStyle name="常规 9 8" xfId="730"/>
    <cellStyle name="常规 9 9" xfId="731"/>
    <cellStyle name="常规 9_副本Xl000000112" xfId="732"/>
    <cellStyle name="常规_BIZ-场景-猫版初始化表-V2" xfId="733"/>
    <cellStyle name="常规_BIZ-场景-猫版初始化表-V2 2" xfId="734"/>
    <cellStyle name="常规_Sheet1" xfId="735"/>
    <cellStyle name="常规_Sheet15" xfId="736"/>
    <cellStyle name="常规_Sheet16" xfId="737"/>
    <cellStyle name="常规_Sheet3" xfId="738"/>
    <cellStyle name="常规_Sheet5_2" xfId="739"/>
    <cellStyle name="常规_场景-H" xfId="740"/>
    <cellStyle name="常规_初始化表" xfId="741"/>
    <cellStyle name="常规_初始化表 3" xfId="742"/>
    <cellStyle name="常规_初始化表_2" xfId="743"/>
    <cellStyle name="常规_第1期" xfId="744"/>
    <cellStyle name="常规_第1期_2" xfId="745"/>
    <cellStyle name="常规_第1期_3" xfId="746"/>
    <cellStyle name="好_1" xfId="747"/>
    <cellStyle name="好_Sheet1" xfId="748"/>
    <cellStyle name="好_初期" xfId="749"/>
    <cellStyle name="好_初始化表" xfId="750"/>
    <cellStyle name="好_第1期" xfId="751"/>
  </cellStyles>
  <dxfs count="10">
    <dxf>
      <font>
        <color rgb="FF9C0006"/>
      </font>
      <fill>
        <patternFill patternType="solid">
          <bgColor rgb="FFFFC7CE"/>
        </patternFill>
      </fill>
    </dxf>
    <dxf>
      <font>
        <b val="1"/>
        <i val="0"/>
        <strike val="0"/>
        <color rgb="FFFF0000"/>
      </font>
      <fill>
        <patternFill patternType="solid">
          <bgColor theme="1"/>
        </patternFill>
      </fill>
    </dxf>
    <dxf>
      <font>
        <b val="1"/>
        <i val="0"/>
        <strike val="0"/>
        <color theme="0"/>
      </font>
      <fill>
        <patternFill patternType="solid">
          <bgColor theme="1"/>
        </patternFill>
      </fill>
    </dxf>
    <dxf>
      <font>
        <b val="1"/>
        <i val="1"/>
        <strike val="0"/>
        <color theme="0"/>
      </font>
      <fill>
        <patternFill patternType="solid">
          <bgColor theme="1"/>
        </patternFill>
      </fill>
      <border>
        <left style="thin">
          <color auto="1"/>
        </left>
        <right style="thin">
          <color auto="1"/>
        </right>
        <top style="thin">
          <color auto="1"/>
        </top>
        <bottom style="thin">
          <color auto="1"/>
        </bottom>
      </border>
    </dxf>
    <dxf>
      <font>
        <b val="1"/>
        <i val="1"/>
        <strike val="0"/>
        <color rgb="FFFF0000"/>
      </font>
      <fill>
        <patternFill patternType="solid">
          <bgColor theme="1"/>
        </patternFill>
      </fill>
      <border>
        <left style="thin">
          <color auto="1"/>
        </left>
        <right style="thin">
          <color auto="1"/>
        </right>
        <top style="thin">
          <color auto="1"/>
        </top>
        <bottom style="thin">
          <color auto="1"/>
        </bottom>
      </border>
    </dxf>
    <dxf>
      <font>
        <b val="1"/>
        <i val="0"/>
        <strike val="0"/>
        <color rgb="FFFF0000"/>
      </font>
      <fill>
        <patternFill patternType="solid">
          <bgColor theme="1"/>
        </patternFill>
      </fill>
      <border>
        <left style="thin">
          <color auto="1"/>
        </left>
        <right style="thin">
          <color auto="1"/>
        </right>
        <top style="thin">
          <color auto="1"/>
        </top>
        <bottom style="thin">
          <color auto="1"/>
        </bottom>
      </border>
    </dxf>
    <dxf>
      <font>
        <b val="1"/>
        <i val="1"/>
        <strike val="0"/>
        <color rgb="FFFF0000"/>
      </font>
      <fill>
        <patternFill patternType="solid">
          <bgColor theme="1"/>
        </patternFill>
      </fill>
    </dxf>
    <dxf>
      <font>
        <b val="1"/>
        <i val="1"/>
        <strike val="0"/>
        <color theme="0"/>
      </font>
      <fill>
        <patternFill patternType="solid">
          <bgColor theme="1"/>
        </patternFill>
      </fill>
    </dxf>
    <dxf>
      <font>
        <b val="1"/>
        <i val="0"/>
        <color indexed="10"/>
      </font>
    </dxf>
    <dxf>
      <font>
        <color theme="0"/>
      </font>
      <fill>
        <patternFill patternType="solid">
          <bgColor rgb="FFFFFF00"/>
        </patternFill>
      </fill>
    </dxf>
  </dxfs>
  <tableStyles count="0" defaultTableStyle="TableStyleMedium2" defaultPivotStyle="PivotStyleLight16"/>
  <colors>
    <mruColors>
      <color rgb="00DAEEF3"/>
      <color rgb="0031869B"/>
      <color rgb="00FFFFFF"/>
      <color rgb="00538DD5"/>
      <color rgb="00969696"/>
      <color rgb="003366FF"/>
      <color rgb="00C0C0C0"/>
      <color rgb="00FF0000"/>
      <color rgb="0000FF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openxmlformats.org/officeDocument/2006/relationships/styles" Target="styles.xml"/><Relationship Id="rId20" Type="http://schemas.microsoft.com/office/2006/relationships/vbaProject" Target="vbaProject.bin"/><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theme" Target="theme/theme1.xml"/><Relationship Id="rId17" Type="http://schemas.openxmlformats.org/officeDocument/2006/relationships/customXml" Target="../customXml/item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Spin" dx="22" fmlaLink="$I$25" max="2000" page="10" val="0"/>
</file>

<file path=xl/ctrlProps/ctrlProp2.xml><?xml version="1.0" encoding="utf-8"?>
<formControlPr xmlns="http://schemas.microsoft.com/office/spreadsheetml/2009/9/main" objectType="Spin" dx="22" fmlaLink="$J$25" max="2000" page="10" val="0"/>
</file>

<file path=xl/ctrlProps/ctrlProp3.xml><?xml version="1.0" encoding="utf-8"?>
<formControlPr xmlns="http://schemas.microsoft.com/office/spreadsheetml/2009/9/main" objectType="Spin" dx="22" fmlaLink="$I$26" max="2000" page="10" val="0"/>
</file>

<file path=xl/ctrlProps/ctrlProp4.xml><?xml version="1.0" encoding="utf-8"?>
<formControlPr xmlns="http://schemas.microsoft.com/office/spreadsheetml/2009/9/main" objectType="Spin" dx="22" fmlaLink="$J$26" max="2000" page="10" val="0"/>
</file>

<file path=xl/ctrlProps/ctrlProp5.xml><?xml version="1.0" encoding="utf-8"?>
<formControlPr xmlns="http://schemas.microsoft.com/office/spreadsheetml/2009/9/main" objectType="Spin" dx="22" fmlaLink="$I$27" max="2000" page="10" val="0"/>
</file>

<file path=xl/ctrlProps/ctrlProp6.xml><?xml version="1.0" encoding="utf-8"?>
<formControlPr xmlns="http://schemas.microsoft.com/office/spreadsheetml/2009/9/main" objectType="Spin" dx="22" fmlaLink="$J$27" max="2000" page="10" val="0"/>
</file>

<file path=xl/ctrlProps/ctrlProp7.xml><?xml version="1.0" encoding="utf-8"?>
<formControlPr xmlns="http://schemas.microsoft.com/office/spreadsheetml/2009/9/main" objectType="Spin" dx="22" fmlaLink="$I$28" max="2000" page="10" val="0"/>
</file>

<file path=xl/ctrlProps/ctrlProp8.xml><?xml version="1.0" encoding="utf-8"?>
<formControlPr xmlns="http://schemas.microsoft.com/office/spreadsheetml/2009/9/main" objectType="Spin" dx="22" fmlaLink="$J$28" max="2000" page="10" val="0"/>
</file>

<file path=xl/ctrlProps/ctrlProp9.xml><?xml version="1.0" encoding="utf-8"?>
<formControlPr xmlns="http://schemas.microsoft.com/office/spreadsheetml/2009/9/main" objectType="Spin" dx="22" fmlaLink="$K$25" max="2000" page="10" val="0"/>
</file>

<file path=xl/ctrlProps/ctrlProp10.xml><?xml version="1.0" encoding="utf-8"?>
<formControlPr xmlns="http://schemas.microsoft.com/office/spreadsheetml/2009/9/main" objectType="Spin" dx="22" fmlaLink="$L$25" max="2000" page="10" val="0"/>
</file>

<file path=xl/ctrlProps/ctrlProp11.xml><?xml version="1.0" encoding="utf-8"?>
<formControlPr xmlns="http://schemas.microsoft.com/office/spreadsheetml/2009/9/main" objectType="Spin" dx="22" fmlaLink="$K$26" max="2000" page="10" val="0"/>
</file>

<file path=xl/ctrlProps/ctrlProp12.xml><?xml version="1.0" encoding="utf-8"?>
<formControlPr xmlns="http://schemas.microsoft.com/office/spreadsheetml/2009/9/main" objectType="Spin" dx="22" fmlaLink="$L$26" max="2000" page="10" val="0"/>
</file>

<file path=xl/ctrlProps/ctrlProp13.xml><?xml version="1.0" encoding="utf-8"?>
<formControlPr xmlns="http://schemas.microsoft.com/office/spreadsheetml/2009/9/main" objectType="Spin" dx="22" fmlaLink="$K$27" max="2000" page="10" val="0"/>
</file>

<file path=xl/ctrlProps/ctrlProp14.xml><?xml version="1.0" encoding="utf-8"?>
<formControlPr xmlns="http://schemas.microsoft.com/office/spreadsheetml/2009/9/main" objectType="Spin" dx="22" fmlaLink="$L$27" max="2000" page="10" val="0"/>
</file>

<file path=xl/ctrlProps/ctrlProp15.xml><?xml version="1.0" encoding="utf-8"?>
<formControlPr xmlns="http://schemas.microsoft.com/office/spreadsheetml/2009/9/main" objectType="Spin" dx="22" fmlaLink="$K$28" max="2000" page="10" val="0"/>
</file>

<file path=xl/ctrlProps/ctrlProp16.xml><?xml version="1.0" encoding="utf-8"?>
<formControlPr xmlns="http://schemas.microsoft.com/office/spreadsheetml/2009/9/main" objectType="Spin" dx="22" fmlaLink="$L$28" max="2000" page="10" val="0"/>
</file>

<file path=xl/ctrlProps/ctrlProp17.xml><?xml version="1.0" encoding="utf-8"?>
<formControlPr xmlns="http://schemas.microsoft.com/office/spreadsheetml/2009/9/main" objectType="Spin" dx="22" fmlaLink="$I$63" max="2000" page="10" val="0"/>
</file>

<file path=xl/ctrlProps/ctrlProp18.xml><?xml version="1.0" encoding="utf-8"?>
<formControlPr xmlns="http://schemas.microsoft.com/office/spreadsheetml/2009/9/main" objectType="Spin" dx="22" fmlaLink="$J$63" max="2000" page="10" val="0"/>
</file>

<file path=xl/ctrlProps/ctrlProp19.xml><?xml version="1.0" encoding="utf-8"?>
<formControlPr xmlns="http://schemas.microsoft.com/office/spreadsheetml/2009/9/main" objectType="Spin" dx="22" fmlaLink="$K$63" max="2000" page="10" val="0"/>
</file>

<file path=xl/ctrlProps/ctrlProp20.xml><?xml version="1.0" encoding="utf-8"?>
<formControlPr xmlns="http://schemas.microsoft.com/office/spreadsheetml/2009/9/main" objectType="Spin" dx="22" fmlaLink="$L$63" max="2000" page="10" val="0"/>
</file>

<file path=xl/ctrlProps/ctrlProp21.xml><?xml version="1.0" encoding="utf-8"?>
<formControlPr xmlns="http://schemas.microsoft.com/office/spreadsheetml/2009/9/main" objectType="Spin" dx="22" fmlaLink="$I$64" max="2000" page="10" val="0"/>
</file>

<file path=xl/ctrlProps/ctrlProp22.xml><?xml version="1.0" encoding="utf-8"?>
<formControlPr xmlns="http://schemas.microsoft.com/office/spreadsheetml/2009/9/main" objectType="Spin" dx="22" fmlaLink="$J$64" max="2000" page="10" val="0"/>
</file>

<file path=xl/ctrlProps/ctrlProp23.xml><?xml version="1.0" encoding="utf-8"?>
<formControlPr xmlns="http://schemas.microsoft.com/office/spreadsheetml/2009/9/main" objectType="Spin" dx="22" fmlaLink="$K$64" max="2000" page="10" val="0"/>
</file>

<file path=xl/ctrlProps/ctrlProp24.xml><?xml version="1.0" encoding="utf-8"?>
<formControlPr xmlns="http://schemas.microsoft.com/office/spreadsheetml/2009/9/main" objectType="Spin" dx="22" fmlaLink="$L$64" max="2000" page="10" val="0"/>
</file>

<file path=xl/ctrlProps/ctrlProp25.xml><?xml version="1.0" encoding="utf-8"?>
<formControlPr xmlns="http://schemas.microsoft.com/office/spreadsheetml/2009/9/main" objectType="Spin" dx="22" fmlaLink="$I$65" max="2000" page="10" val="0"/>
</file>

<file path=xl/ctrlProps/ctrlProp26.xml><?xml version="1.0" encoding="utf-8"?>
<formControlPr xmlns="http://schemas.microsoft.com/office/spreadsheetml/2009/9/main" objectType="Spin" dx="22" fmlaLink="$J$65" max="2000" page="10" val="0"/>
</file>

<file path=xl/ctrlProps/ctrlProp27.xml><?xml version="1.0" encoding="utf-8"?>
<formControlPr xmlns="http://schemas.microsoft.com/office/spreadsheetml/2009/9/main" objectType="Spin" dx="22" fmlaLink="$K$65" max="2000" page="10" val="0"/>
</file>

<file path=xl/ctrlProps/ctrlProp28.xml><?xml version="1.0" encoding="utf-8"?>
<formControlPr xmlns="http://schemas.microsoft.com/office/spreadsheetml/2009/9/main" objectType="Spin" dx="22" fmlaLink="$L$65" max="2000" page="10" val="0"/>
</file>

<file path=xl/ctrlProps/ctrlProp29.xml><?xml version="1.0" encoding="utf-8"?>
<formControlPr xmlns="http://schemas.microsoft.com/office/spreadsheetml/2009/9/main" objectType="Spin" dx="22" fmlaLink="$I$66" max="2000" page="10" val="0"/>
</file>

<file path=xl/ctrlProps/ctrlProp30.xml><?xml version="1.0" encoding="utf-8"?>
<formControlPr xmlns="http://schemas.microsoft.com/office/spreadsheetml/2009/9/main" objectType="Spin" dx="22" fmlaLink="$J$66" max="2000" page="10" val="0"/>
</file>

<file path=xl/ctrlProps/ctrlProp31.xml><?xml version="1.0" encoding="utf-8"?>
<formControlPr xmlns="http://schemas.microsoft.com/office/spreadsheetml/2009/9/main" objectType="Spin" dx="22" fmlaLink="$K$66" max="2000" page="10" val="0"/>
</file>

<file path=xl/ctrlProps/ctrlProp32.xml><?xml version="1.0" encoding="utf-8"?>
<formControlPr xmlns="http://schemas.microsoft.com/office/spreadsheetml/2009/9/main" objectType="Spin" dx="22" fmlaLink="$L$66" max="2000" page="10" val="0"/>
</file>

<file path=xl/ctrlProps/ctrlProp33.xml><?xml version="1.0" encoding="utf-8"?>
<formControlPr xmlns="http://schemas.microsoft.com/office/spreadsheetml/2009/9/main" objectType="Spin" dx="22" fmlaLink="$I$25" max="2000" page="10" val="0"/>
</file>

<file path=xl/ctrlProps/ctrlProp34.xml><?xml version="1.0" encoding="utf-8"?>
<formControlPr xmlns="http://schemas.microsoft.com/office/spreadsheetml/2009/9/main" objectType="Spin" dx="22" fmlaLink="$J$25" max="2000" page="10" val="0"/>
</file>

<file path=xl/ctrlProps/ctrlProp35.xml><?xml version="1.0" encoding="utf-8"?>
<formControlPr xmlns="http://schemas.microsoft.com/office/spreadsheetml/2009/9/main" objectType="Spin" dx="22" fmlaLink="$I$26" max="2000" page="10" val="0"/>
</file>

<file path=xl/ctrlProps/ctrlProp36.xml><?xml version="1.0" encoding="utf-8"?>
<formControlPr xmlns="http://schemas.microsoft.com/office/spreadsheetml/2009/9/main" objectType="Spin" dx="22" fmlaLink="$J$26" max="2000" page="10" val="0"/>
</file>

<file path=xl/ctrlProps/ctrlProp37.xml><?xml version="1.0" encoding="utf-8"?>
<formControlPr xmlns="http://schemas.microsoft.com/office/spreadsheetml/2009/9/main" objectType="Spin" dx="22" fmlaLink="$I$27" max="2000" page="10" val="0"/>
</file>

<file path=xl/ctrlProps/ctrlProp38.xml><?xml version="1.0" encoding="utf-8"?>
<formControlPr xmlns="http://schemas.microsoft.com/office/spreadsheetml/2009/9/main" objectType="Spin" dx="22" fmlaLink="$J$27" max="2000" page="10" val="0"/>
</file>

<file path=xl/ctrlProps/ctrlProp39.xml><?xml version="1.0" encoding="utf-8"?>
<formControlPr xmlns="http://schemas.microsoft.com/office/spreadsheetml/2009/9/main" objectType="Spin" dx="22" fmlaLink="$I$28" max="2000" page="10" val="0"/>
</file>

<file path=xl/ctrlProps/ctrlProp40.xml><?xml version="1.0" encoding="utf-8"?>
<formControlPr xmlns="http://schemas.microsoft.com/office/spreadsheetml/2009/9/main" objectType="Spin" dx="22" fmlaLink="$J$28" max="2000" page="10" val="0"/>
</file>

<file path=xl/ctrlProps/ctrlProp41.xml><?xml version="1.0" encoding="utf-8"?>
<formControlPr xmlns="http://schemas.microsoft.com/office/spreadsheetml/2009/9/main" objectType="Spin" dx="22" fmlaLink="$K$25" max="2000" page="10" val="0"/>
</file>

<file path=xl/ctrlProps/ctrlProp42.xml><?xml version="1.0" encoding="utf-8"?>
<formControlPr xmlns="http://schemas.microsoft.com/office/spreadsheetml/2009/9/main" objectType="Spin" dx="22" fmlaLink="$L$25" max="2000" page="10" val="0"/>
</file>

<file path=xl/ctrlProps/ctrlProp43.xml><?xml version="1.0" encoding="utf-8"?>
<formControlPr xmlns="http://schemas.microsoft.com/office/spreadsheetml/2009/9/main" objectType="Spin" dx="22" fmlaLink="$K$26" max="2000" page="10" val="0"/>
</file>

<file path=xl/ctrlProps/ctrlProp44.xml><?xml version="1.0" encoding="utf-8"?>
<formControlPr xmlns="http://schemas.microsoft.com/office/spreadsheetml/2009/9/main" objectType="Spin" dx="22" fmlaLink="$L$26" max="2000" page="10" val="0"/>
</file>

<file path=xl/ctrlProps/ctrlProp45.xml><?xml version="1.0" encoding="utf-8"?>
<formControlPr xmlns="http://schemas.microsoft.com/office/spreadsheetml/2009/9/main" objectType="Spin" dx="22" fmlaLink="$K$27" max="2000" page="10" val="0"/>
</file>

<file path=xl/ctrlProps/ctrlProp46.xml><?xml version="1.0" encoding="utf-8"?>
<formControlPr xmlns="http://schemas.microsoft.com/office/spreadsheetml/2009/9/main" objectType="Spin" dx="22" fmlaLink="$L$27" max="2000" page="10" val="0"/>
</file>

<file path=xl/ctrlProps/ctrlProp47.xml><?xml version="1.0" encoding="utf-8"?>
<formControlPr xmlns="http://schemas.microsoft.com/office/spreadsheetml/2009/9/main" objectType="Spin" dx="22" fmlaLink="$K$28" max="2000" page="10" val="0"/>
</file>

<file path=xl/ctrlProps/ctrlProp48.xml><?xml version="1.0" encoding="utf-8"?>
<formControlPr xmlns="http://schemas.microsoft.com/office/spreadsheetml/2009/9/main" objectType="Spin" dx="22" fmlaLink="$L$28" max="2000" page="10" val="0"/>
</file>

<file path=xl/ctrlProps/ctrlProp49.xml><?xml version="1.0" encoding="utf-8"?>
<formControlPr xmlns="http://schemas.microsoft.com/office/spreadsheetml/2009/9/main" objectType="Spin" dx="22" fmlaLink="$I$63" max="2000" page="10" val="0"/>
</file>

<file path=xl/ctrlProps/ctrlProp50.xml><?xml version="1.0" encoding="utf-8"?>
<formControlPr xmlns="http://schemas.microsoft.com/office/spreadsheetml/2009/9/main" objectType="Spin" dx="22" fmlaLink="$J$63" max="2000" page="10" val="0"/>
</file>

<file path=xl/ctrlProps/ctrlProp51.xml><?xml version="1.0" encoding="utf-8"?>
<formControlPr xmlns="http://schemas.microsoft.com/office/spreadsheetml/2009/9/main" objectType="Spin" dx="22" fmlaLink="$K$63" max="2000" page="10" val="0"/>
</file>

<file path=xl/ctrlProps/ctrlProp52.xml><?xml version="1.0" encoding="utf-8"?>
<formControlPr xmlns="http://schemas.microsoft.com/office/spreadsheetml/2009/9/main" objectType="Spin" dx="22" fmlaLink="$L$63" max="2000" page="10" val="0"/>
</file>

<file path=xl/ctrlProps/ctrlProp53.xml><?xml version="1.0" encoding="utf-8"?>
<formControlPr xmlns="http://schemas.microsoft.com/office/spreadsheetml/2009/9/main" objectType="Spin" dx="22" fmlaLink="$I$64" max="2000" page="10" val="0"/>
</file>

<file path=xl/ctrlProps/ctrlProp54.xml><?xml version="1.0" encoding="utf-8"?>
<formControlPr xmlns="http://schemas.microsoft.com/office/spreadsheetml/2009/9/main" objectType="Spin" dx="22" fmlaLink="$J$64" max="2000" page="10" val="0"/>
</file>

<file path=xl/ctrlProps/ctrlProp55.xml><?xml version="1.0" encoding="utf-8"?>
<formControlPr xmlns="http://schemas.microsoft.com/office/spreadsheetml/2009/9/main" objectType="Spin" dx="22" fmlaLink="$K$64" max="2000" page="10" val="0"/>
</file>

<file path=xl/ctrlProps/ctrlProp56.xml><?xml version="1.0" encoding="utf-8"?>
<formControlPr xmlns="http://schemas.microsoft.com/office/spreadsheetml/2009/9/main" objectType="Spin" dx="22" fmlaLink="$L$64" max="2000" page="10" val="0"/>
</file>

<file path=xl/ctrlProps/ctrlProp57.xml><?xml version="1.0" encoding="utf-8"?>
<formControlPr xmlns="http://schemas.microsoft.com/office/spreadsheetml/2009/9/main" objectType="Spin" dx="22" fmlaLink="$I$65" max="2000" page="10" val="0"/>
</file>

<file path=xl/ctrlProps/ctrlProp58.xml><?xml version="1.0" encoding="utf-8"?>
<formControlPr xmlns="http://schemas.microsoft.com/office/spreadsheetml/2009/9/main" objectType="Spin" dx="22" fmlaLink="$J$65" max="2000" page="10" val="0"/>
</file>

<file path=xl/ctrlProps/ctrlProp59.xml><?xml version="1.0" encoding="utf-8"?>
<formControlPr xmlns="http://schemas.microsoft.com/office/spreadsheetml/2009/9/main" objectType="Spin" dx="22" fmlaLink="$K$65" max="2000" page="10" val="0"/>
</file>

<file path=xl/ctrlProps/ctrlProp60.xml><?xml version="1.0" encoding="utf-8"?>
<formControlPr xmlns="http://schemas.microsoft.com/office/spreadsheetml/2009/9/main" objectType="Spin" dx="22" fmlaLink="$L$65" max="2000" page="10" val="0"/>
</file>

<file path=xl/ctrlProps/ctrlProp61.xml><?xml version="1.0" encoding="utf-8"?>
<formControlPr xmlns="http://schemas.microsoft.com/office/spreadsheetml/2009/9/main" objectType="Spin" dx="22" fmlaLink="$I$66" max="2000" page="10" val="0"/>
</file>

<file path=xl/ctrlProps/ctrlProp62.xml><?xml version="1.0" encoding="utf-8"?>
<formControlPr xmlns="http://schemas.microsoft.com/office/spreadsheetml/2009/9/main" objectType="Spin" dx="22" fmlaLink="$J$66" max="2000" page="10" val="0"/>
</file>

<file path=xl/ctrlProps/ctrlProp63.xml><?xml version="1.0" encoding="utf-8"?>
<formControlPr xmlns="http://schemas.microsoft.com/office/spreadsheetml/2009/9/main" objectType="Spin" dx="22" fmlaLink="$K$66" max="2000" page="10" val="0"/>
</file>

<file path=xl/ctrlProps/ctrlProp64.xml><?xml version="1.0" encoding="utf-8"?>
<formControlPr xmlns="http://schemas.microsoft.com/office/spreadsheetml/2009/9/main" objectType="Spin" dx="22" fmlaLink="$L$66" max="2000" page="10" val="0"/>
</file>

<file path=xl/ctrlProps/ctrlProp65.xml><?xml version="1.0" encoding="utf-8"?>
<formControlPr xmlns="http://schemas.microsoft.com/office/spreadsheetml/2009/9/main" objectType="Spin" dx="22" fmlaLink="$I$25" max="2000" page="10" val="0"/>
</file>

<file path=xl/ctrlProps/ctrlProp66.xml><?xml version="1.0" encoding="utf-8"?>
<formControlPr xmlns="http://schemas.microsoft.com/office/spreadsheetml/2009/9/main" objectType="Spin" dx="22" fmlaLink="$J$25" max="2000" page="10" val="0"/>
</file>

<file path=xl/ctrlProps/ctrlProp67.xml><?xml version="1.0" encoding="utf-8"?>
<formControlPr xmlns="http://schemas.microsoft.com/office/spreadsheetml/2009/9/main" objectType="Spin" dx="22" fmlaLink="$I$26" max="2000" page="10" val="0"/>
</file>

<file path=xl/ctrlProps/ctrlProp68.xml><?xml version="1.0" encoding="utf-8"?>
<formControlPr xmlns="http://schemas.microsoft.com/office/spreadsheetml/2009/9/main" objectType="Spin" dx="22" fmlaLink="$J$26" max="2000" page="10" val="0"/>
</file>

<file path=xl/ctrlProps/ctrlProp69.xml><?xml version="1.0" encoding="utf-8"?>
<formControlPr xmlns="http://schemas.microsoft.com/office/spreadsheetml/2009/9/main" objectType="Spin" dx="22" fmlaLink="$I$27" max="2000" page="10" val="0"/>
</file>

<file path=xl/ctrlProps/ctrlProp70.xml><?xml version="1.0" encoding="utf-8"?>
<formControlPr xmlns="http://schemas.microsoft.com/office/spreadsheetml/2009/9/main" objectType="Spin" dx="22" fmlaLink="$J$27" max="2000" page="10" val="0"/>
</file>

<file path=xl/ctrlProps/ctrlProp71.xml><?xml version="1.0" encoding="utf-8"?>
<formControlPr xmlns="http://schemas.microsoft.com/office/spreadsheetml/2009/9/main" objectType="Spin" dx="22" fmlaLink="$I$28" max="2000" page="10" val="0"/>
</file>

<file path=xl/ctrlProps/ctrlProp72.xml><?xml version="1.0" encoding="utf-8"?>
<formControlPr xmlns="http://schemas.microsoft.com/office/spreadsheetml/2009/9/main" objectType="Spin" dx="22" fmlaLink="$J$28" max="2000" page="10" val="0"/>
</file>

<file path=xl/ctrlProps/ctrlProp73.xml><?xml version="1.0" encoding="utf-8"?>
<formControlPr xmlns="http://schemas.microsoft.com/office/spreadsheetml/2009/9/main" objectType="Spin" dx="22" fmlaLink="$K$25" max="2000" page="10" val="0"/>
</file>

<file path=xl/ctrlProps/ctrlProp74.xml><?xml version="1.0" encoding="utf-8"?>
<formControlPr xmlns="http://schemas.microsoft.com/office/spreadsheetml/2009/9/main" objectType="Spin" dx="22" fmlaLink="$L$25" max="2000" page="10" val="0"/>
</file>

<file path=xl/ctrlProps/ctrlProp75.xml><?xml version="1.0" encoding="utf-8"?>
<formControlPr xmlns="http://schemas.microsoft.com/office/spreadsheetml/2009/9/main" objectType="Spin" dx="22" fmlaLink="$K$26" max="2000" page="10" val="0"/>
</file>

<file path=xl/ctrlProps/ctrlProp76.xml><?xml version="1.0" encoding="utf-8"?>
<formControlPr xmlns="http://schemas.microsoft.com/office/spreadsheetml/2009/9/main" objectType="Spin" dx="22" fmlaLink="$L$26" max="2000" page="10" val="0"/>
</file>

<file path=xl/ctrlProps/ctrlProp77.xml><?xml version="1.0" encoding="utf-8"?>
<formControlPr xmlns="http://schemas.microsoft.com/office/spreadsheetml/2009/9/main" objectType="Spin" dx="22" fmlaLink="$K$27" max="2000" page="10" val="0"/>
</file>

<file path=xl/ctrlProps/ctrlProp78.xml><?xml version="1.0" encoding="utf-8"?>
<formControlPr xmlns="http://schemas.microsoft.com/office/spreadsheetml/2009/9/main" objectType="Spin" dx="22" fmlaLink="$L$27" max="2000" page="10" val="0"/>
</file>

<file path=xl/ctrlProps/ctrlProp79.xml><?xml version="1.0" encoding="utf-8"?>
<formControlPr xmlns="http://schemas.microsoft.com/office/spreadsheetml/2009/9/main" objectType="Spin" dx="22" fmlaLink="$K$28" max="2000" page="10" val="0"/>
</file>

<file path=xl/ctrlProps/ctrlProp80.xml><?xml version="1.0" encoding="utf-8"?>
<formControlPr xmlns="http://schemas.microsoft.com/office/spreadsheetml/2009/9/main" objectType="Spin" dx="22" fmlaLink="$L$28" max="2000" page="10" val="0"/>
</file>

<file path=xl/ctrlProps/ctrlProp81.xml><?xml version="1.0" encoding="utf-8"?>
<formControlPr xmlns="http://schemas.microsoft.com/office/spreadsheetml/2009/9/main" objectType="Spin" dx="22" fmlaLink="$I$63" max="2000" page="10" val="0"/>
</file>

<file path=xl/ctrlProps/ctrlProp82.xml><?xml version="1.0" encoding="utf-8"?>
<formControlPr xmlns="http://schemas.microsoft.com/office/spreadsheetml/2009/9/main" objectType="Spin" dx="22" fmlaLink="$J$63" max="2000" page="10" val="0"/>
</file>

<file path=xl/ctrlProps/ctrlProp83.xml><?xml version="1.0" encoding="utf-8"?>
<formControlPr xmlns="http://schemas.microsoft.com/office/spreadsheetml/2009/9/main" objectType="Spin" dx="22" fmlaLink="$K$63" max="2000" page="10" val="0"/>
</file>

<file path=xl/ctrlProps/ctrlProp84.xml><?xml version="1.0" encoding="utf-8"?>
<formControlPr xmlns="http://schemas.microsoft.com/office/spreadsheetml/2009/9/main" objectType="Spin" dx="22" fmlaLink="$L$63" max="2000" page="10" val="0"/>
</file>

<file path=xl/ctrlProps/ctrlProp85.xml><?xml version="1.0" encoding="utf-8"?>
<formControlPr xmlns="http://schemas.microsoft.com/office/spreadsheetml/2009/9/main" objectType="Spin" dx="22" fmlaLink="$I$64" max="2000" page="10" val="0"/>
</file>

<file path=xl/ctrlProps/ctrlProp86.xml><?xml version="1.0" encoding="utf-8"?>
<formControlPr xmlns="http://schemas.microsoft.com/office/spreadsheetml/2009/9/main" objectType="Spin" dx="22" fmlaLink="$J$64" max="2000" page="10" val="0"/>
</file>

<file path=xl/ctrlProps/ctrlProp87.xml><?xml version="1.0" encoding="utf-8"?>
<formControlPr xmlns="http://schemas.microsoft.com/office/spreadsheetml/2009/9/main" objectType="Spin" dx="22" fmlaLink="$K$64" max="2000" page="10" val="0"/>
</file>

<file path=xl/ctrlProps/ctrlProp88.xml><?xml version="1.0" encoding="utf-8"?>
<formControlPr xmlns="http://schemas.microsoft.com/office/spreadsheetml/2009/9/main" objectType="Spin" dx="22" fmlaLink="$L$64" max="2000" page="10" val="0"/>
</file>

<file path=xl/ctrlProps/ctrlProp89.xml><?xml version="1.0" encoding="utf-8"?>
<formControlPr xmlns="http://schemas.microsoft.com/office/spreadsheetml/2009/9/main" objectType="Spin" dx="22" fmlaLink="$I$65" max="2000" page="10" val="0"/>
</file>

<file path=xl/ctrlProps/ctrlProp90.xml><?xml version="1.0" encoding="utf-8"?>
<formControlPr xmlns="http://schemas.microsoft.com/office/spreadsheetml/2009/9/main" objectType="Spin" dx="22" fmlaLink="$J$65" max="2000" page="10" val="0"/>
</file>

<file path=xl/ctrlProps/ctrlProp91.xml><?xml version="1.0" encoding="utf-8"?>
<formControlPr xmlns="http://schemas.microsoft.com/office/spreadsheetml/2009/9/main" objectType="Spin" dx="22" fmlaLink="$K$65" max="2000" page="10" val="0"/>
</file>

<file path=xl/ctrlProps/ctrlProp92.xml><?xml version="1.0" encoding="utf-8"?>
<formControlPr xmlns="http://schemas.microsoft.com/office/spreadsheetml/2009/9/main" objectType="Spin" dx="22" fmlaLink="$L$65" max="2000" page="10" val="0"/>
</file>

<file path=xl/ctrlProps/ctrlProp93.xml><?xml version="1.0" encoding="utf-8"?>
<formControlPr xmlns="http://schemas.microsoft.com/office/spreadsheetml/2009/9/main" objectType="Spin" dx="22" fmlaLink="$I$66" max="2000" page="10" val="0"/>
</file>

<file path=xl/ctrlProps/ctrlProp94.xml><?xml version="1.0" encoding="utf-8"?>
<formControlPr xmlns="http://schemas.microsoft.com/office/spreadsheetml/2009/9/main" objectType="Spin" dx="22" fmlaLink="$J$66" max="2000" page="10" val="0"/>
</file>

<file path=xl/ctrlProps/ctrlProp95.xml><?xml version="1.0" encoding="utf-8"?>
<formControlPr xmlns="http://schemas.microsoft.com/office/spreadsheetml/2009/9/main" objectType="Spin" dx="22" fmlaLink="$K$66" max="2000" page="10" val="0"/>
</file>

<file path=xl/ctrlProps/ctrlProp96.xml><?xml version="1.0" encoding="utf-8"?>
<formControlPr xmlns="http://schemas.microsoft.com/office/spreadsheetml/2009/9/main" objectType="Spin" dx="22" fmlaLink="$L$66" max="2000" page="10" val="0"/>
</file>

<file path=xl/ctrlProps/ctrlProp97.xml><?xml version="1.0" encoding="utf-8"?>
<formControlPr xmlns="http://schemas.microsoft.com/office/spreadsheetml/2009/9/main" objectType="Spin" dx="22" fmlaLink="$I$25" max="2000" page="10" val="0"/>
</file>

<file path=xl/ctrlProps/ctrlProp98.xml><?xml version="1.0" encoding="utf-8"?>
<formControlPr xmlns="http://schemas.microsoft.com/office/spreadsheetml/2009/9/main" objectType="Spin" dx="22" fmlaLink="$J$25" max="2000" page="10" val="0"/>
</file>

<file path=xl/ctrlProps/ctrlProp99.xml><?xml version="1.0" encoding="utf-8"?>
<formControlPr xmlns="http://schemas.microsoft.com/office/spreadsheetml/2009/9/main" objectType="Spin" dx="22" fmlaLink="$I$26" max="2000" page="10" val="0"/>
</file>

<file path=xl/ctrlProps/ctrlProp100.xml><?xml version="1.0" encoding="utf-8"?>
<formControlPr xmlns="http://schemas.microsoft.com/office/spreadsheetml/2009/9/main" objectType="Spin" dx="22" fmlaLink="$J$26" max="2000" page="10" val="0"/>
</file>

<file path=xl/ctrlProps/ctrlProp101.xml><?xml version="1.0" encoding="utf-8"?>
<formControlPr xmlns="http://schemas.microsoft.com/office/spreadsheetml/2009/9/main" objectType="Spin" dx="22" fmlaLink="$I$27" max="2000" page="10" val="0"/>
</file>

<file path=xl/ctrlProps/ctrlProp102.xml><?xml version="1.0" encoding="utf-8"?>
<formControlPr xmlns="http://schemas.microsoft.com/office/spreadsheetml/2009/9/main" objectType="Spin" dx="22" fmlaLink="$J$27" max="2000" page="10" val="0"/>
</file>

<file path=xl/ctrlProps/ctrlProp103.xml><?xml version="1.0" encoding="utf-8"?>
<formControlPr xmlns="http://schemas.microsoft.com/office/spreadsheetml/2009/9/main" objectType="Spin" dx="22" fmlaLink="$I$28" max="2000" page="10" val="0"/>
</file>

<file path=xl/ctrlProps/ctrlProp104.xml><?xml version="1.0" encoding="utf-8"?>
<formControlPr xmlns="http://schemas.microsoft.com/office/spreadsheetml/2009/9/main" objectType="Spin" dx="22" fmlaLink="$J$28" max="2000" page="10" val="0"/>
</file>

<file path=xl/ctrlProps/ctrlProp105.xml><?xml version="1.0" encoding="utf-8"?>
<formControlPr xmlns="http://schemas.microsoft.com/office/spreadsheetml/2009/9/main" objectType="Spin" dx="22" fmlaLink="$K$25" max="2000" page="10" val="0"/>
</file>

<file path=xl/ctrlProps/ctrlProp106.xml><?xml version="1.0" encoding="utf-8"?>
<formControlPr xmlns="http://schemas.microsoft.com/office/spreadsheetml/2009/9/main" objectType="Spin" dx="22" fmlaLink="$L$25" max="2000" page="10" val="0"/>
</file>

<file path=xl/ctrlProps/ctrlProp107.xml><?xml version="1.0" encoding="utf-8"?>
<formControlPr xmlns="http://schemas.microsoft.com/office/spreadsheetml/2009/9/main" objectType="Spin" dx="22" fmlaLink="$K$26" max="2000" page="10" val="0"/>
</file>

<file path=xl/ctrlProps/ctrlProp108.xml><?xml version="1.0" encoding="utf-8"?>
<formControlPr xmlns="http://schemas.microsoft.com/office/spreadsheetml/2009/9/main" objectType="Spin" dx="22" fmlaLink="$L$26" max="2000" page="10" val="0"/>
</file>

<file path=xl/ctrlProps/ctrlProp109.xml><?xml version="1.0" encoding="utf-8"?>
<formControlPr xmlns="http://schemas.microsoft.com/office/spreadsheetml/2009/9/main" objectType="Spin" dx="22" fmlaLink="$K$27" max="2000" page="10" val="0"/>
</file>

<file path=xl/ctrlProps/ctrlProp110.xml><?xml version="1.0" encoding="utf-8"?>
<formControlPr xmlns="http://schemas.microsoft.com/office/spreadsheetml/2009/9/main" objectType="Spin" dx="22" fmlaLink="$L$27" max="2000" page="10" val="0"/>
</file>

<file path=xl/ctrlProps/ctrlProp111.xml><?xml version="1.0" encoding="utf-8"?>
<formControlPr xmlns="http://schemas.microsoft.com/office/spreadsheetml/2009/9/main" objectType="Spin" dx="22" fmlaLink="$K$28" max="2000" page="10" val="0"/>
</file>

<file path=xl/ctrlProps/ctrlProp112.xml><?xml version="1.0" encoding="utf-8"?>
<formControlPr xmlns="http://schemas.microsoft.com/office/spreadsheetml/2009/9/main" objectType="Spin" dx="22" fmlaLink="$L$28" max="2000" page="10" val="0"/>
</file>

<file path=xl/ctrlProps/ctrlProp113.xml><?xml version="1.0" encoding="utf-8"?>
<formControlPr xmlns="http://schemas.microsoft.com/office/spreadsheetml/2009/9/main" objectType="Spin" dx="22" fmlaLink="$I$63" max="2000" page="10" val="0"/>
</file>

<file path=xl/ctrlProps/ctrlProp114.xml><?xml version="1.0" encoding="utf-8"?>
<formControlPr xmlns="http://schemas.microsoft.com/office/spreadsheetml/2009/9/main" objectType="Spin" dx="22" fmlaLink="$J$63" max="2000" page="10" val="0"/>
</file>

<file path=xl/ctrlProps/ctrlProp115.xml><?xml version="1.0" encoding="utf-8"?>
<formControlPr xmlns="http://schemas.microsoft.com/office/spreadsheetml/2009/9/main" objectType="Spin" dx="22" fmlaLink="$K$63" max="2000" page="10" val="0"/>
</file>

<file path=xl/ctrlProps/ctrlProp116.xml><?xml version="1.0" encoding="utf-8"?>
<formControlPr xmlns="http://schemas.microsoft.com/office/spreadsheetml/2009/9/main" objectType="Spin" dx="22" fmlaLink="$L$63" max="2000" page="10" val="0"/>
</file>

<file path=xl/ctrlProps/ctrlProp117.xml><?xml version="1.0" encoding="utf-8"?>
<formControlPr xmlns="http://schemas.microsoft.com/office/spreadsheetml/2009/9/main" objectType="Spin" dx="22" fmlaLink="$I$64" max="2000" page="10" val="0"/>
</file>

<file path=xl/ctrlProps/ctrlProp118.xml><?xml version="1.0" encoding="utf-8"?>
<formControlPr xmlns="http://schemas.microsoft.com/office/spreadsheetml/2009/9/main" objectType="Spin" dx="22" fmlaLink="$J$64" max="2000" page="10" val="0"/>
</file>

<file path=xl/ctrlProps/ctrlProp119.xml><?xml version="1.0" encoding="utf-8"?>
<formControlPr xmlns="http://schemas.microsoft.com/office/spreadsheetml/2009/9/main" objectType="Spin" dx="22" fmlaLink="$K$64" max="2000" page="10" val="0"/>
</file>

<file path=xl/ctrlProps/ctrlProp120.xml><?xml version="1.0" encoding="utf-8"?>
<formControlPr xmlns="http://schemas.microsoft.com/office/spreadsheetml/2009/9/main" objectType="Spin" dx="22" fmlaLink="$L$64" max="2000" page="10" val="0"/>
</file>

<file path=xl/ctrlProps/ctrlProp121.xml><?xml version="1.0" encoding="utf-8"?>
<formControlPr xmlns="http://schemas.microsoft.com/office/spreadsheetml/2009/9/main" objectType="Spin" dx="22" fmlaLink="$I$65" max="2000" page="10" val="0"/>
</file>

<file path=xl/ctrlProps/ctrlProp122.xml><?xml version="1.0" encoding="utf-8"?>
<formControlPr xmlns="http://schemas.microsoft.com/office/spreadsheetml/2009/9/main" objectType="Spin" dx="22" fmlaLink="$J$65" max="2000" page="10" val="0"/>
</file>

<file path=xl/ctrlProps/ctrlProp123.xml><?xml version="1.0" encoding="utf-8"?>
<formControlPr xmlns="http://schemas.microsoft.com/office/spreadsheetml/2009/9/main" objectType="Spin" dx="22" fmlaLink="$K$65" max="2000" page="10" val="0"/>
</file>

<file path=xl/ctrlProps/ctrlProp124.xml><?xml version="1.0" encoding="utf-8"?>
<formControlPr xmlns="http://schemas.microsoft.com/office/spreadsheetml/2009/9/main" objectType="Spin" dx="22" fmlaLink="$L$65" max="2000" page="10" val="0"/>
</file>

<file path=xl/ctrlProps/ctrlProp125.xml><?xml version="1.0" encoding="utf-8"?>
<formControlPr xmlns="http://schemas.microsoft.com/office/spreadsheetml/2009/9/main" objectType="Spin" dx="22" fmlaLink="$I$66" max="2000" page="10" val="0"/>
</file>

<file path=xl/ctrlProps/ctrlProp126.xml><?xml version="1.0" encoding="utf-8"?>
<formControlPr xmlns="http://schemas.microsoft.com/office/spreadsheetml/2009/9/main" objectType="Spin" dx="22" fmlaLink="$J$66" max="2000" page="10" val="0"/>
</file>

<file path=xl/ctrlProps/ctrlProp127.xml><?xml version="1.0" encoding="utf-8"?>
<formControlPr xmlns="http://schemas.microsoft.com/office/spreadsheetml/2009/9/main" objectType="Spin" dx="22" fmlaLink="$K$66" max="2000" page="10" val="0"/>
</file>

<file path=xl/ctrlProps/ctrlProp128.xml><?xml version="1.0" encoding="utf-8"?>
<formControlPr xmlns="http://schemas.microsoft.com/office/spreadsheetml/2009/9/main" objectType="Spin" dx="22" fmlaLink="$L$66" max="2000" page="10" val="0"/>
</file>

<file path=xl/ctrlProps/ctrlProp129.xml><?xml version="1.0" encoding="utf-8"?>
<formControlPr xmlns="http://schemas.microsoft.com/office/spreadsheetml/2009/9/main" objectType="Spin" dx="22" fmlaLink="$I$25" max="2000" page="10" val="0"/>
</file>

<file path=xl/ctrlProps/ctrlProp130.xml><?xml version="1.0" encoding="utf-8"?>
<formControlPr xmlns="http://schemas.microsoft.com/office/spreadsheetml/2009/9/main" objectType="Spin" dx="22" fmlaLink="$J$25" max="2000" page="10" val="0"/>
</file>

<file path=xl/ctrlProps/ctrlProp131.xml><?xml version="1.0" encoding="utf-8"?>
<formControlPr xmlns="http://schemas.microsoft.com/office/spreadsheetml/2009/9/main" objectType="Spin" dx="22" fmlaLink="$I$26" max="2000" page="10" val="0"/>
</file>

<file path=xl/ctrlProps/ctrlProp132.xml><?xml version="1.0" encoding="utf-8"?>
<formControlPr xmlns="http://schemas.microsoft.com/office/spreadsheetml/2009/9/main" objectType="Spin" dx="22" fmlaLink="$J$26" max="2000" page="10" val="0"/>
</file>

<file path=xl/ctrlProps/ctrlProp133.xml><?xml version="1.0" encoding="utf-8"?>
<formControlPr xmlns="http://schemas.microsoft.com/office/spreadsheetml/2009/9/main" objectType="Spin" dx="22" fmlaLink="$I$27" max="2000" page="10" val="0"/>
</file>

<file path=xl/ctrlProps/ctrlProp134.xml><?xml version="1.0" encoding="utf-8"?>
<formControlPr xmlns="http://schemas.microsoft.com/office/spreadsheetml/2009/9/main" objectType="Spin" dx="22" fmlaLink="$J$27" max="2000" page="10" val="0"/>
</file>

<file path=xl/ctrlProps/ctrlProp135.xml><?xml version="1.0" encoding="utf-8"?>
<formControlPr xmlns="http://schemas.microsoft.com/office/spreadsheetml/2009/9/main" objectType="Spin" dx="22" fmlaLink="$I$28" max="2000" page="10" val="0"/>
</file>

<file path=xl/ctrlProps/ctrlProp136.xml><?xml version="1.0" encoding="utf-8"?>
<formControlPr xmlns="http://schemas.microsoft.com/office/spreadsheetml/2009/9/main" objectType="Spin" dx="22" fmlaLink="$J$28" max="2000" page="10" val="0"/>
</file>

<file path=xl/ctrlProps/ctrlProp137.xml><?xml version="1.0" encoding="utf-8"?>
<formControlPr xmlns="http://schemas.microsoft.com/office/spreadsheetml/2009/9/main" objectType="Spin" dx="22" fmlaLink="$K$25" max="2000" page="10" val="0"/>
</file>

<file path=xl/ctrlProps/ctrlProp138.xml><?xml version="1.0" encoding="utf-8"?>
<formControlPr xmlns="http://schemas.microsoft.com/office/spreadsheetml/2009/9/main" objectType="Spin" dx="22" fmlaLink="$L$25" max="2000" page="10" val="0"/>
</file>

<file path=xl/ctrlProps/ctrlProp139.xml><?xml version="1.0" encoding="utf-8"?>
<formControlPr xmlns="http://schemas.microsoft.com/office/spreadsheetml/2009/9/main" objectType="Spin" dx="22" fmlaLink="$K$26" max="2000" page="10" val="0"/>
</file>

<file path=xl/ctrlProps/ctrlProp140.xml><?xml version="1.0" encoding="utf-8"?>
<formControlPr xmlns="http://schemas.microsoft.com/office/spreadsheetml/2009/9/main" objectType="Spin" dx="22" fmlaLink="$L$26" max="2000" page="10" val="0"/>
</file>

<file path=xl/ctrlProps/ctrlProp141.xml><?xml version="1.0" encoding="utf-8"?>
<formControlPr xmlns="http://schemas.microsoft.com/office/spreadsheetml/2009/9/main" objectType="Spin" dx="22" fmlaLink="$K$27" max="2000" page="10" val="0"/>
</file>

<file path=xl/ctrlProps/ctrlProp142.xml><?xml version="1.0" encoding="utf-8"?>
<formControlPr xmlns="http://schemas.microsoft.com/office/spreadsheetml/2009/9/main" objectType="Spin" dx="22" fmlaLink="$L$27" max="2000" page="10" val="0"/>
</file>

<file path=xl/ctrlProps/ctrlProp143.xml><?xml version="1.0" encoding="utf-8"?>
<formControlPr xmlns="http://schemas.microsoft.com/office/spreadsheetml/2009/9/main" objectType="Spin" dx="22" fmlaLink="$K$28" max="2000" page="10" val="0"/>
</file>

<file path=xl/ctrlProps/ctrlProp144.xml><?xml version="1.0" encoding="utf-8"?>
<formControlPr xmlns="http://schemas.microsoft.com/office/spreadsheetml/2009/9/main" objectType="Spin" dx="22" fmlaLink="$L$28" max="2000" page="10" val="0"/>
</file>

<file path=xl/ctrlProps/ctrlProp145.xml><?xml version="1.0" encoding="utf-8"?>
<formControlPr xmlns="http://schemas.microsoft.com/office/spreadsheetml/2009/9/main" objectType="Spin" dx="22" fmlaLink="$I$63" max="2000" page="10" val="0"/>
</file>

<file path=xl/ctrlProps/ctrlProp146.xml><?xml version="1.0" encoding="utf-8"?>
<formControlPr xmlns="http://schemas.microsoft.com/office/spreadsheetml/2009/9/main" objectType="Spin" dx="22" fmlaLink="$J$63" max="2000" page="10" val="0"/>
</file>

<file path=xl/ctrlProps/ctrlProp147.xml><?xml version="1.0" encoding="utf-8"?>
<formControlPr xmlns="http://schemas.microsoft.com/office/spreadsheetml/2009/9/main" objectType="Spin" dx="22" fmlaLink="$K$63" max="2000" page="10" val="0"/>
</file>

<file path=xl/ctrlProps/ctrlProp148.xml><?xml version="1.0" encoding="utf-8"?>
<formControlPr xmlns="http://schemas.microsoft.com/office/spreadsheetml/2009/9/main" objectType="Spin" dx="22" fmlaLink="$L$63" max="2000" page="10" val="0"/>
</file>

<file path=xl/ctrlProps/ctrlProp149.xml><?xml version="1.0" encoding="utf-8"?>
<formControlPr xmlns="http://schemas.microsoft.com/office/spreadsheetml/2009/9/main" objectType="Spin" dx="22" fmlaLink="$I$64" max="2000" page="10" val="0"/>
</file>

<file path=xl/ctrlProps/ctrlProp150.xml><?xml version="1.0" encoding="utf-8"?>
<formControlPr xmlns="http://schemas.microsoft.com/office/spreadsheetml/2009/9/main" objectType="Spin" dx="22" fmlaLink="$J$64" max="2000" page="10" val="0"/>
</file>

<file path=xl/ctrlProps/ctrlProp151.xml><?xml version="1.0" encoding="utf-8"?>
<formControlPr xmlns="http://schemas.microsoft.com/office/spreadsheetml/2009/9/main" objectType="Spin" dx="22" fmlaLink="$K$64" max="2000" page="10" val="0"/>
</file>

<file path=xl/ctrlProps/ctrlProp152.xml><?xml version="1.0" encoding="utf-8"?>
<formControlPr xmlns="http://schemas.microsoft.com/office/spreadsheetml/2009/9/main" objectType="Spin" dx="22" fmlaLink="$L$64" max="2000" page="10" val="0"/>
</file>

<file path=xl/ctrlProps/ctrlProp153.xml><?xml version="1.0" encoding="utf-8"?>
<formControlPr xmlns="http://schemas.microsoft.com/office/spreadsheetml/2009/9/main" objectType="Spin" dx="22" fmlaLink="$I$65" max="2000" page="10" val="0"/>
</file>

<file path=xl/ctrlProps/ctrlProp154.xml><?xml version="1.0" encoding="utf-8"?>
<formControlPr xmlns="http://schemas.microsoft.com/office/spreadsheetml/2009/9/main" objectType="Spin" dx="22" fmlaLink="$J$65" max="2000" page="10" val="0"/>
</file>

<file path=xl/ctrlProps/ctrlProp155.xml><?xml version="1.0" encoding="utf-8"?>
<formControlPr xmlns="http://schemas.microsoft.com/office/spreadsheetml/2009/9/main" objectType="Spin" dx="22" fmlaLink="$K$65" max="2000" page="10" val="0"/>
</file>

<file path=xl/ctrlProps/ctrlProp156.xml><?xml version="1.0" encoding="utf-8"?>
<formControlPr xmlns="http://schemas.microsoft.com/office/spreadsheetml/2009/9/main" objectType="Spin" dx="22" fmlaLink="$L$65" max="2000" page="10" val="0"/>
</file>

<file path=xl/ctrlProps/ctrlProp157.xml><?xml version="1.0" encoding="utf-8"?>
<formControlPr xmlns="http://schemas.microsoft.com/office/spreadsheetml/2009/9/main" objectType="Spin" dx="22" fmlaLink="$I$66" max="2000" page="10" val="0"/>
</file>

<file path=xl/ctrlProps/ctrlProp158.xml><?xml version="1.0" encoding="utf-8"?>
<formControlPr xmlns="http://schemas.microsoft.com/office/spreadsheetml/2009/9/main" objectType="Spin" dx="22" fmlaLink="$J$66" max="2000" page="10" val="0"/>
</file>

<file path=xl/ctrlProps/ctrlProp159.xml><?xml version="1.0" encoding="utf-8"?>
<formControlPr xmlns="http://schemas.microsoft.com/office/spreadsheetml/2009/9/main" objectType="Spin" dx="22" fmlaLink="$K$66" max="2000" page="10" val="0"/>
</file>

<file path=xl/ctrlProps/ctrlProp160.xml><?xml version="1.0" encoding="utf-8"?>
<formControlPr xmlns="http://schemas.microsoft.com/office/spreadsheetml/2009/9/main" objectType="Spin" dx="22" fmlaLink="$L$66" max="2000" page="10" val="0"/>
</file>

<file path=xl/ctrlProps/ctrlProp161.xml><?xml version="1.0" encoding="utf-8"?>
<formControlPr xmlns="http://schemas.microsoft.com/office/spreadsheetml/2009/9/main" objectType="Spin" dx="22" fmlaLink="$I$25" max="2000" page="10" val="0"/>
</file>

<file path=xl/ctrlProps/ctrlProp162.xml><?xml version="1.0" encoding="utf-8"?>
<formControlPr xmlns="http://schemas.microsoft.com/office/spreadsheetml/2009/9/main" objectType="Spin" dx="22" fmlaLink="$J$25" max="2000" page="10" val="0"/>
</file>

<file path=xl/ctrlProps/ctrlProp163.xml><?xml version="1.0" encoding="utf-8"?>
<formControlPr xmlns="http://schemas.microsoft.com/office/spreadsheetml/2009/9/main" objectType="Spin" dx="22" fmlaLink="$I$26" max="2000" page="10" val="0"/>
</file>

<file path=xl/ctrlProps/ctrlProp164.xml><?xml version="1.0" encoding="utf-8"?>
<formControlPr xmlns="http://schemas.microsoft.com/office/spreadsheetml/2009/9/main" objectType="Spin" dx="22" fmlaLink="$J$26" max="2000" page="10" val="0"/>
</file>

<file path=xl/ctrlProps/ctrlProp165.xml><?xml version="1.0" encoding="utf-8"?>
<formControlPr xmlns="http://schemas.microsoft.com/office/spreadsheetml/2009/9/main" objectType="Spin" dx="22" fmlaLink="$I$27" max="2000" page="10" val="0"/>
</file>

<file path=xl/ctrlProps/ctrlProp166.xml><?xml version="1.0" encoding="utf-8"?>
<formControlPr xmlns="http://schemas.microsoft.com/office/spreadsheetml/2009/9/main" objectType="Spin" dx="22" fmlaLink="$J$27" max="2000" page="10" val="0"/>
</file>

<file path=xl/ctrlProps/ctrlProp167.xml><?xml version="1.0" encoding="utf-8"?>
<formControlPr xmlns="http://schemas.microsoft.com/office/spreadsheetml/2009/9/main" objectType="Spin" dx="22" fmlaLink="$I$28" max="2000" page="10" val="0"/>
</file>

<file path=xl/ctrlProps/ctrlProp168.xml><?xml version="1.0" encoding="utf-8"?>
<formControlPr xmlns="http://schemas.microsoft.com/office/spreadsheetml/2009/9/main" objectType="Spin" dx="22" fmlaLink="$J$28" max="2000" page="10" val="0"/>
</file>

<file path=xl/ctrlProps/ctrlProp169.xml><?xml version="1.0" encoding="utf-8"?>
<formControlPr xmlns="http://schemas.microsoft.com/office/spreadsheetml/2009/9/main" objectType="Spin" dx="22" fmlaLink="$K$25" max="2000" page="10" val="0"/>
</file>

<file path=xl/ctrlProps/ctrlProp170.xml><?xml version="1.0" encoding="utf-8"?>
<formControlPr xmlns="http://schemas.microsoft.com/office/spreadsheetml/2009/9/main" objectType="Spin" dx="22" fmlaLink="$L$25" max="2000" page="10" val="0"/>
</file>

<file path=xl/ctrlProps/ctrlProp171.xml><?xml version="1.0" encoding="utf-8"?>
<formControlPr xmlns="http://schemas.microsoft.com/office/spreadsheetml/2009/9/main" objectType="Spin" dx="22" fmlaLink="$K$26" max="2000" page="10" val="0"/>
</file>

<file path=xl/ctrlProps/ctrlProp172.xml><?xml version="1.0" encoding="utf-8"?>
<formControlPr xmlns="http://schemas.microsoft.com/office/spreadsheetml/2009/9/main" objectType="Spin" dx="22" fmlaLink="$L$26" max="2000" page="10" val="0"/>
</file>

<file path=xl/ctrlProps/ctrlProp173.xml><?xml version="1.0" encoding="utf-8"?>
<formControlPr xmlns="http://schemas.microsoft.com/office/spreadsheetml/2009/9/main" objectType="Spin" dx="22" fmlaLink="$K$27" max="2000" page="10" val="0"/>
</file>

<file path=xl/ctrlProps/ctrlProp174.xml><?xml version="1.0" encoding="utf-8"?>
<formControlPr xmlns="http://schemas.microsoft.com/office/spreadsheetml/2009/9/main" objectType="Spin" dx="22" fmlaLink="$L$27" max="2000" page="10" val="0"/>
</file>

<file path=xl/ctrlProps/ctrlProp175.xml><?xml version="1.0" encoding="utf-8"?>
<formControlPr xmlns="http://schemas.microsoft.com/office/spreadsheetml/2009/9/main" objectType="Spin" dx="22" fmlaLink="$K$28" max="2000" page="10" val="0"/>
</file>

<file path=xl/ctrlProps/ctrlProp176.xml><?xml version="1.0" encoding="utf-8"?>
<formControlPr xmlns="http://schemas.microsoft.com/office/spreadsheetml/2009/9/main" objectType="Spin" dx="22" fmlaLink="$L$28" max="2000" page="10" val="0"/>
</file>

<file path=xl/ctrlProps/ctrlProp177.xml><?xml version="1.0" encoding="utf-8"?>
<formControlPr xmlns="http://schemas.microsoft.com/office/spreadsheetml/2009/9/main" objectType="Spin" dx="22" fmlaLink="$I$63" max="2000" page="10" val="0"/>
</file>

<file path=xl/ctrlProps/ctrlProp178.xml><?xml version="1.0" encoding="utf-8"?>
<formControlPr xmlns="http://schemas.microsoft.com/office/spreadsheetml/2009/9/main" objectType="Spin" dx="22" fmlaLink="$J$63" max="2000" page="10" val="0"/>
</file>

<file path=xl/ctrlProps/ctrlProp179.xml><?xml version="1.0" encoding="utf-8"?>
<formControlPr xmlns="http://schemas.microsoft.com/office/spreadsheetml/2009/9/main" objectType="Spin" dx="22" fmlaLink="$K$63" max="2000" page="10" val="0"/>
</file>

<file path=xl/ctrlProps/ctrlProp180.xml><?xml version="1.0" encoding="utf-8"?>
<formControlPr xmlns="http://schemas.microsoft.com/office/spreadsheetml/2009/9/main" objectType="Spin" dx="22" fmlaLink="$L$63" max="2000" page="10" val="0"/>
</file>

<file path=xl/ctrlProps/ctrlProp181.xml><?xml version="1.0" encoding="utf-8"?>
<formControlPr xmlns="http://schemas.microsoft.com/office/spreadsheetml/2009/9/main" objectType="Spin" dx="22" fmlaLink="$I$64" max="2000" page="10" val="0"/>
</file>

<file path=xl/ctrlProps/ctrlProp182.xml><?xml version="1.0" encoding="utf-8"?>
<formControlPr xmlns="http://schemas.microsoft.com/office/spreadsheetml/2009/9/main" objectType="Spin" dx="22" fmlaLink="$J$64" max="2000" page="10" val="0"/>
</file>

<file path=xl/ctrlProps/ctrlProp183.xml><?xml version="1.0" encoding="utf-8"?>
<formControlPr xmlns="http://schemas.microsoft.com/office/spreadsheetml/2009/9/main" objectType="Spin" dx="22" fmlaLink="$K$64" max="2000" page="10" val="0"/>
</file>

<file path=xl/ctrlProps/ctrlProp184.xml><?xml version="1.0" encoding="utf-8"?>
<formControlPr xmlns="http://schemas.microsoft.com/office/spreadsheetml/2009/9/main" objectType="Spin" dx="22" fmlaLink="$L$64" max="2000" page="10" val="0"/>
</file>

<file path=xl/ctrlProps/ctrlProp185.xml><?xml version="1.0" encoding="utf-8"?>
<formControlPr xmlns="http://schemas.microsoft.com/office/spreadsheetml/2009/9/main" objectType="Spin" dx="22" fmlaLink="$I$65" max="2000" page="10" val="0"/>
</file>

<file path=xl/ctrlProps/ctrlProp186.xml><?xml version="1.0" encoding="utf-8"?>
<formControlPr xmlns="http://schemas.microsoft.com/office/spreadsheetml/2009/9/main" objectType="Spin" dx="22" fmlaLink="$J$65" max="2000" page="10" val="0"/>
</file>

<file path=xl/ctrlProps/ctrlProp187.xml><?xml version="1.0" encoding="utf-8"?>
<formControlPr xmlns="http://schemas.microsoft.com/office/spreadsheetml/2009/9/main" objectType="Spin" dx="22" fmlaLink="$K$65" max="2000" page="10" val="0"/>
</file>

<file path=xl/ctrlProps/ctrlProp188.xml><?xml version="1.0" encoding="utf-8"?>
<formControlPr xmlns="http://schemas.microsoft.com/office/spreadsheetml/2009/9/main" objectType="Spin" dx="22" fmlaLink="$L$65" max="2000" page="10" val="0"/>
</file>

<file path=xl/ctrlProps/ctrlProp189.xml><?xml version="1.0" encoding="utf-8"?>
<formControlPr xmlns="http://schemas.microsoft.com/office/spreadsheetml/2009/9/main" objectType="Spin" dx="22" fmlaLink="$I$66" max="2000" page="10" val="0"/>
</file>

<file path=xl/ctrlProps/ctrlProp190.xml><?xml version="1.0" encoding="utf-8"?>
<formControlPr xmlns="http://schemas.microsoft.com/office/spreadsheetml/2009/9/main" objectType="Spin" dx="22" fmlaLink="$J$66" max="2000" page="10" val="0"/>
</file>

<file path=xl/ctrlProps/ctrlProp191.xml><?xml version="1.0" encoding="utf-8"?>
<formControlPr xmlns="http://schemas.microsoft.com/office/spreadsheetml/2009/9/main" objectType="Spin" dx="22" fmlaLink="$K$66" max="2000" page="10" val="0"/>
</file>

<file path=xl/ctrlProps/ctrlProp192.xml><?xml version="1.0" encoding="utf-8"?>
<formControlPr xmlns="http://schemas.microsoft.com/office/spreadsheetml/2009/9/main" objectType="Spin" dx="22" fmlaLink="$L$66" max="2000" page="10" val="0"/>
</file>

<file path=xl/ctrlProps/ctrlProp193.xml><?xml version="1.0" encoding="utf-8"?>
<formControlPr xmlns="http://schemas.microsoft.com/office/spreadsheetml/2009/9/main" objectType="Spin" dx="22" fmlaLink="$J$25" max="2000" page="10" val="0"/>
</file>

<file path=xl/ctrlProps/ctrlProp194.xml><?xml version="1.0" encoding="utf-8"?>
<formControlPr xmlns="http://schemas.microsoft.com/office/spreadsheetml/2009/9/main" objectType="Spin" dx="22" fmlaLink="$J$26" max="2000" page="10" val="0"/>
</file>

<file path=xl/ctrlProps/ctrlProp195.xml><?xml version="1.0" encoding="utf-8"?>
<formControlPr xmlns="http://schemas.microsoft.com/office/spreadsheetml/2009/9/main" objectType="Spin" dx="22" fmlaLink="$J$27" max="2000" page="10" val="0"/>
</file>

<file path=xl/ctrlProps/ctrlProp196.xml><?xml version="1.0" encoding="utf-8"?>
<formControlPr xmlns="http://schemas.microsoft.com/office/spreadsheetml/2009/9/main" objectType="Spin" dx="22" fmlaLink="$J$28" max="2000" page="10" val="0"/>
</file>

<file path=xl/ctrlProps/ctrlProp197.xml><?xml version="1.0" encoding="utf-8"?>
<formControlPr xmlns="http://schemas.microsoft.com/office/spreadsheetml/2009/9/main" objectType="Spin" dx="22" fmlaLink="$L$26" max="2000" page="10" val="0"/>
</file>

<file path=xl/ctrlProps/ctrlProp198.xml><?xml version="1.0" encoding="utf-8"?>
<formControlPr xmlns="http://schemas.microsoft.com/office/spreadsheetml/2009/9/main" objectType="Spin" dx="22" fmlaLink="$L$28" max="2000" page="10" val="0"/>
</file>

<file path=xl/ctrlProps/ctrlProp199.xml><?xml version="1.0" encoding="utf-8"?>
<formControlPr xmlns="http://schemas.microsoft.com/office/spreadsheetml/2009/9/main" objectType="Spin" dx="22" fmlaLink="$K$25" max="2000" page="10" val="0"/>
</file>

<file path=xl/ctrlProps/ctrlProp200.xml><?xml version="1.0" encoding="utf-8"?>
<formControlPr xmlns="http://schemas.microsoft.com/office/spreadsheetml/2009/9/main" objectType="Spin" dx="22" fmlaLink="$L$25" max="2000" page="10" val="0"/>
</file>

<file path=xl/ctrlProps/ctrlProp201.xml><?xml version="1.0" encoding="utf-8"?>
<formControlPr xmlns="http://schemas.microsoft.com/office/spreadsheetml/2009/9/main" objectType="Spin" dx="22" fmlaLink="$K$26" max="2000" page="10" val="0"/>
</file>

<file path=xl/ctrlProps/ctrlProp202.xml><?xml version="1.0" encoding="utf-8"?>
<formControlPr xmlns="http://schemas.microsoft.com/office/spreadsheetml/2009/9/main" objectType="Spin" dx="22" fmlaLink="$K$27" max="2000" page="10" val="0"/>
</file>

<file path=xl/ctrlProps/ctrlProp203.xml><?xml version="1.0" encoding="utf-8"?>
<formControlPr xmlns="http://schemas.microsoft.com/office/spreadsheetml/2009/9/main" objectType="Spin" dx="22" fmlaLink="$L$27" max="2000" page="10" val="0"/>
</file>

<file path=xl/ctrlProps/ctrlProp204.xml><?xml version="1.0" encoding="utf-8"?>
<formControlPr xmlns="http://schemas.microsoft.com/office/spreadsheetml/2009/9/main" objectType="Spin" dx="22" fmlaLink="$K$28" max="2000" page="10" val="0"/>
</file>

<file path=xl/ctrlProps/ctrlProp205.xml><?xml version="1.0" encoding="utf-8"?>
<formControlPr xmlns="http://schemas.microsoft.com/office/spreadsheetml/2009/9/main" objectType="Spin" dx="22" fmlaLink="$I$25" max="2000" page="10" val="0"/>
</file>

<file path=xl/ctrlProps/ctrlProp206.xml><?xml version="1.0" encoding="utf-8"?>
<formControlPr xmlns="http://schemas.microsoft.com/office/spreadsheetml/2009/9/main" objectType="Spin" dx="22" fmlaLink="$I$26" max="2000" page="10" val="0"/>
</file>

<file path=xl/ctrlProps/ctrlProp207.xml><?xml version="1.0" encoding="utf-8"?>
<formControlPr xmlns="http://schemas.microsoft.com/office/spreadsheetml/2009/9/main" objectType="Spin" dx="22" fmlaLink="$I$27" max="2000" page="10" val="0"/>
</file>

<file path=xl/ctrlProps/ctrlProp208.xml><?xml version="1.0" encoding="utf-8"?>
<formControlPr xmlns="http://schemas.microsoft.com/office/spreadsheetml/2009/9/main" objectType="Spin" dx="22" fmlaLink="$I$28" max="2000" page="10" val="0"/>
</file>

<file path=xl/ctrlProps/ctrlProp209.xml><?xml version="1.0" encoding="utf-8"?>
<formControlPr xmlns="http://schemas.microsoft.com/office/spreadsheetml/2009/9/main" objectType="Spin" dx="22" fmlaLink="$I$63" max="2000" page="10" val="0"/>
</file>

<file path=xl/ctrlProps/ctrlProp210.xml><?xml version="1.0" encoding="utf-8"?>
<formControlPr xmlns="http://schemas.microsoft.com/office/spreadsheetml/2009/9/main" objectType="Spin" dx="22" fmlaLink="$J$63" max="2000" page="10" val="0"/>
</file>

<file path=xl/ctrlProps/ctrlProp211.xml><?xml version="1.0" encoding="utf-8"?>
<formControlPr xmlns="http://schemas.microsoft.com/office/spreadsheetml/2009/9/main" objectType="Spin" dx="22" fmlaLink="$K$63" max="2000" page="10" val="0"/>
</file>

<file path=xl/ctrlProps/ctrlProp212.xml><?xml version="1.0" encoding="utf-8"?>
<formControlPr xmlns="http://schemas.microsoft.com/office/spreadsheetml/2009/9/main" objectType="Spin" dx="22" fmlaLink="$L$63" max="2000" page="10" val="0"/>
</file>

<file path=xl/ctrlProps/ctrlProp213.xml><?xml version="1.0" encoding="utf-8"?>
<formControlPr xmlns="http://schemas.microsoft.com/office/spreadsheetml/2009/9/main" objectType="Spin" dx="22" fmlaLink="$I$64" max="2000" page="10" val="0"/>
</file>

<file path=xl/ctrlProps/ctrlProp214.xml><?xml version="1.0" encoding="utf-8"?>
<formControlPr xmlns="http://schemas.microsoft.com/office/spreadsheetml/2009/9/main" objectType="Spin" dx="22" fmlaLink="$J$64" max="2000" page="10" val="0"/>
</file>

<file path=xl/ctrlProps/ctrlProp215.xml><?xml version="1.0" encoding="utf-8"?>
<formControlPr xmlns="http://schemas.microsoft.com/office/spreadsheetml/2009/9/main" objectType="Spin" dx="22" fmlaLink="$K$64" max="2000" page="10" val="0"/>
</file>

<file path=xl/ctrlProps/ctrlProp216.xml><?xml version="1.0" encoding="utf-8"?>
<formControlPr xmlns="http://schemas.microsoft.com/office/spreadsheetml/2009/9/main" objectType="Spin" dx="22" fmlaLink="$L$64" max="2000" page="10" val="0"/>
</file>

<file path=xl/ctrlProps/ctrlProp217.xml><?xml version="1.0" encoding="utf-8"?>
<formControlPr xmlns="http://schemas.microsoft.com/office/spreadsheetml/2009/9/main" objectType="Spin" dx="22" fmlaLink="$I$65" max="2000" page="10" val="0"/>
</file>

<file path=xl/ctrlProps/ctrlProp218.xml><?xml version="1.0" encoding="utf-8"?>
<formControlPr xmlns="http://schemas.microsoft.com/office/spreadsheetml/2009/9/main" objectType="Spin" dx="22" fmlaLink="$J$65" max="2000" page="10" val="0"/>
</file>

<file path=xl/ctrlProps/ctrlProp219.xml><?xml version="1.0" encoding="utf-8"?>
<formControlPr xmlns="http://schemas.microsoft.com/office/spreadsheetml/2009/9/main" objectType="Spin" dx="22" fmlaLink="$K$65" max="2000" page="10" val="0"/>
</file>

<file path=xl/ctrlProps/ctrlProp220.xml><?xml version="1.0" encoding="utf-8"?>
<formControlPr xmlns="http://schemas.microsoft.com/office/spreadsheetml/2009/9/main" objectType="Spin" dx="22" fmlaLink="$L$65" max="2000" page="10" val="0"/>
</file>

<file path=xl/ctrlProps/ctrlProp221.xml><?xml version="1.0" encoding="utf-8"?>
<formControlPr xmlns="http://schemas.microsoft.com/office/spreadsheetml/2009/9/main" objectType="Spin" dx="22" fmlaLink="$I$66" max="2000" page="10" val="0"/>
</file>

<file path=xl/ctrlProps/ctrlProp222.xml><?xml version="1.0" encoding="utf-8"?>
<formControlPr xmlns="http://schemas.microsoft.com/office/spreadsheetml/2009/9/main" objectType="Spin" dx="22" fmlaLink="$J$66" max="2000" page="10" val="0"/>
</file>

<file path=xl/ctrlProps/ctrlProp223.xml><?xml version="1.0" encoding="utf-8"?>
<formControlPr xmlns="http://schemas.microsoft.com/office/spreadsheetml/2009/9/main" objectType="Spin" dx="22" fmlaLink="$K$66" max="2000" page="10" val="0"/>
</file>

<file path=xl/ctrlProps/ctrlProp224.xml><?xml version="1.0" encoding="utf-8"?>
<formControlPr xmlns="http://schemas.microsoft.com/office/spreadsheetml/2009/9/main" objectType="Spin" dx="22" fmlaLink="$L$66" max="2000" page="10" val="0"/>
</file>

<file path=xl/ctrlProps/ctrlProp225.xml><?xml version="1.0" encoding="utf-8"?>
<formControlPr xmlns="http://schemas.microsoft.com/office/spreadsheetml/2009/9/main" objectType="Spin" dx="22" fmlaLink="$I$25" max="2000" page="10" val="0"/>
</file>

<file path=xl/ctrlProps/ctrlProp226.xml><?xml version="1.0" encoding="utf-8"?>
<formControlPr xmlns="http://schemas.microsoft.com/office/spreadsheetml/2009/9/main" objectType="Spin" dx="22" fmlaLink="$J$25" max="2000" page="10" val="0"/>
</file>

<file path=xl/ctrlProps/ctrlProp227.xml><?xml version="1.0" encoding="utf-8"?>
<formControlPr xmlns="http://schemas.microsoft.com/office/spreadsheetml/2009/9/main" objectType="Spin" dx="22" fmlaLink="$I$26" max="2000" page="10" val="0"/>
</file>

<file path=xl/ctrlProps/ctrlProp228.xml><?xml version="1.0" encoding="utf-8"?>
<formControlPr xmlns="http://schemas.microsoft.com/office/spreadsheetml/2009/9/main" objectType="Spin" dx="22" fmlaLink="$J$26" max="2000" page="10" val="0"/>
</file>

<file path=xl/ctrlProps/ctrlProp229.xml><?xml version="1.0" encoding="utf-8"?>
<formControlPr xmlns="http://schemas.microsoft.com/office/spreadsheetml/2009/9/main" objectType="Spin" dx="22" fmlaLink="$I$27" max="2000" page="10" val="0"/>
</file>

<file path=xl/ctrlProps/ctrlProp230.xml><?xml version="1.0" encoding="utf-8"?>
<formControlPr xmlns="http://schemas.microsoft.com/office/spreadsheetml/2009/9/main" objectType="Spin" dx="22" fmlaLink="$J$27" max="2000" page="10" val="0"/>
</file>

<file path=xl/ctrlProps/ctrlProp231.xml><?xml version="1.0" encoding="utf-8"?>
<formControlPr xmlns="http://schemas.microsoft.com/office/spreadsheetml/2009/9/main" objectType="Spin" dx="22" fmlaLink="$I$28" max="2000" page="10" val="0"/>
</file>

<file path=xl/ctrlProps/ctrlProp232.xml><?xml version="1.0" encoding="utf-8"?>
<formControlPr xmlns="http://schemas.microsoft.com/office/spreadsheetml/2009/9/main" objectType="Spin" dx="22" fmlaLink="$J$28" max="2000" page="10" val="0"/>
</file>

<file path=xl/ctrlProps/ctrlProp233.xml><?xml version="1.0" encoding="utf-8"?>
<formControlPr xmlns="http://schemas.microsoft.com/office/spreadsheetml/2009/9/main" objectType="Spin" dx="22" fmlaLink="$K$25" max="2000" page="10" val="0"/>
</file>

<file path=xl/ctrlProps/ctrlProp234.xml><?xml version="1.0" encoding="utf-8"?>
<formControlPr xmlns="http://schemas.microsoft.com/office/spreadsheetml/2009/9/main" objectType="Spin" dx="22" fmlaLink="$L$25" max="2000" page="10" val="0"/>
</file>

<file path=xl/ctrlProps/ctrlProp235.xml><?xml version="1.0" encoding="utf-8"?>
<formControlPr xmlns="http://schemas.microsoft.com/office/spreadsheetml/2009/9/main" objectType="Spin" dx="22" fmlaLink="$K$26" max="2000" page="10" val="0"/>
</file>

<file path=xl/ctrlProps/ctrlProp236.xml><?xml version="1.0" encoding="utf-8"?>
<formControlPr xmlns="http://schemas.microsoft.com/office/spreadsheetml/2009/9/main" objectType="Spin" dx="22" fmlaLink="$L$26" max="2000" page="10" val="0"/>
</file>

<file path=xl/ctrlProps/ctrlProp237.xml><?xml version="1.0" encoding="utf-8"?>
<formControlPr xmlns="http://schemas.microsoft.com/office/spreadsheetml/2009/9/main" objectType="Spin" dx="22" fmlaLink="$K$27" max="2000" page="10" val="0"/>
</file>

<file path=xl/ctrlProps/ctrlProp238.xml><?xml version="1.0" encoding="utf-8"?>
<formControlPr xmlns="http://schemas.microsoft.com/office/spreadsheetml/2009/9/main" objectType="Spin" dx="22" fmlaLink="$L$27" max="2000" page="10" val="0"/>
</file>

<file path=xl/ctrlProps/ctrlProp239.xml><?xml version="1.0" encoding="utf-8"?>
<formControlPr xmlns="http://schemas.microsoft.com/office/spreadsheetml/2009/9/main" objectType="Spin" dx="22" fmlaLink="$K$28" max="2000" page="10" val="0"/>
</file>

<file path=xl/ctrlProps/ctrlProp240.xml><?xml version="1.0" encoding="utf-8"?>
<formControlPr xmlns="http://schemas.microsoft.com/office/spreadsheetml/2009/9/main" objectType="Spin" dx="22" fmlaLink="$L$28" max="2000" page="10" val="0"/>
</file>

<file path=xl/ctrlProps/ctrlProp241.xml><?xml version="1.0" encoding="utf-8"?>
<formControlPr xmlns="http://schemas.microsoft.com/office/spreadsheetml/2009/9/main" objectType="Spin" dx="22" fmlaLink="$I$63" max="2000" page="10" val="0"/>
</file>

<file path=xl/ctrlProps/ctrlProp242.xml><?xml version="1.0" encoding="utf-8"?>
<formControlPr xmlns="http://schemas.microsoft.com/office/spreadsheetml/2009/9/main" objectType="Spin" dx="22" fmlaLink="$J$63" max="2000" page="10" val="0"/>
</file>

<file path=xl/ctrlProps/ctrlProp243.xml><?xml version="1.0" encoding="utf-8"?>
<formControlPr xmlns="http://schemas.microsoft.com/office/spreadsheetml/2009/9/main" objectType="Spin" dx="22" fmlaLink="$K$63" max="2000" page="10" val="0"/>
</file>

<file path=xl/ctrlProps/ctrlProp244.xml><?xml version="1.0" encoding="utf-8"?>
<formControlPr xmlns="http://schemas.microsoft.com/office/spreadsheetml/2009/9/main" objectType="Spin" dx="22" fmlaLink="$L$63" max="2000" page="10" val="0"/>
</file>

<file path=xl/ctrlProps/ctrlProp245.xml><?xml version="1.0" encoding="utf-8"?>
<formControlPr xmlns="http://schemas.microsoft.com/office/spreadsheetml/2009/9/main" objectType="Spin" dx="22" fmlaLink="$I$64" max="2000" page="10" val="0"/>
</file>

<file path=xl/ctrlProps/ctrlProp246.xml><?xml version="1.0" encoding="utf-8"?>
<formControlPr xmlns="http://schemas.microsoft.com/office/spreadsheetml/2009/9/main" objectType="Spin" dx="22" fmlaLink="$J$64" max="2000" page="10" val="0"/>
</file>

<file path=xl/ctrlProps/ctrlProp247.xml><?xml version="1.0" encoding="utf-8"?>
<formControlPr xmlns="http://schemas.microsoft.com/office/spreadsheetml/2009/9/main" objectType="Spin" dx="22" fmlaLink="$K$64" max="2000" page="10" val="0"/>
</file>

<file path=xl/ctrlProps/ctrlProp248.xml><?xml version="1.0" encoding="utf-8"?>
<formControlPr xmlns="http://schemas.microsoft.com/office/spreadsheetml/2009/9/main" objectType="Spin" dx="22" fmlaLink="$L$64" max="2000" page="10" val="0"/>
</file>

<file path=xl/ctrlProps/ctrlProp249.xml><?xml version="1.0" encoding="utf-8"?>
<formControlPr xmlns="http://schemas.microsoft.com/office/spreadsheetml/2009/9/main" objectType="Spin" dx="22" fmlaLink="$I$65" max="2000" page="10" val="0"/>
</file>

<file path=xl/ctrlProps/ctrlProp250.xml><?xml version="1.0" encoding="utf-8"?>
<formControlPr xmlns="http://schemas.microsoft.com/office/spreadsheetml/2009/9/main" objectType="Spin" dx="22" fmlaLink="$J$65" max="2000" page="10" val="0"/>
</file>

<file path=xl/ctrlProps/ctrlProp251.xml><?xml version="1.0" encoding="utf-8"?>
<formControlPr xmlns="http://schemas.microsoft.com/office/spreadsheetml/2009/9/main" objectType="Spin" dx="22" fmlaLink="$K$65" max="2000" page="10" val="0"/>
</file>

<file path=xl/ctrlProps/ctrlProp252.xml><?xml version="1.0" encoding="utf-8"?>
<formControlPr xmlns="http://schemas.microsoft.com/office/spreadsheetml/2009/9/main" objectType="Spin" dx="22" fmlaLink="$L$65" max="2000" page="10" val="0"/>
</file>

<file path=xl/ctrlProps/ctrlProp253.xml><?xml version="1.0" encoding="utf-8"?>
<formControlPr xmlns="http://schemas.microsoft.com/office/spreadsheetml/2009/9/main" objectType="Spin" dx="22" fmlaLink="$I$66" max="2000" page="10" val="0"/>
</file>

<file path=xl/ctrlProps/ctrlProp254.xml><?xml version="1.0" encoding="utf-8"?>
<formControlPr xmlns="http://schemas.microsoft.com/office/spreadsheetml/2009/9/main" objectType="Spin" dx="22" fmlaLink="$J$66" max="2000" page="10" val="0"/>
</file>

<file path=xl/ctrlProps/ctrlProp255.xml><?xml version="1.0" encoding="utf-8"?>
<formControlPr xmlns="http://schemas.microsoft.com/office/spreadsheetml/2009/9/main" objectType="Spin" dx="22" fmlaLink="$K$66" max="2000" page="10" val="0"/>
</file>

<file path=xl/ctrlProps/ctrlProp256.xml><?xml version="1.0" encoding="utf-8"?>
<formControlPr xmlns="http://schemas.microsoft.com/office/spreadsheetml/2009/9/main" objectType="Spin" dx="22" fmlaLink="$L$66" max="2000" page="10" val="0"/>
</file>

<file path=xl/drawings/_rels/drawing1.xml.rels><?xml version="1.0" encoding="UTF-8" standalone="yes"?>
<Relationships xmlns="http://schemas.openxmlformats.org/package/2006/relationships"><Relationship Id="rId3" Type="http://schemas.openxmlformats.org/officeDocument/2006/relationships/hyperlink" Target="/" TargetMode="External"/><Relationship Id="rId2" Type="http://schemas.openxmlformats.org/officeDocument/2006/relationships/image" Target="../media/image1.png"/><Relationship Id="rId1" Type="http://schemas.openxmlformats.org/officeDocument/2006/relationships/hyperlink" Target="http://ibizsim.cn/"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0</xdr:row>
      <xdr:rowOff>0</xdr:rowOff>
    </xdr:from>
    <xdr:to>
      <xdr:col>2</xdr:col>
      <xdr:colOff>104775</xdr:colOff>
      <xdr:row>3</xdr:row>
      <xdr:rowOff>57150</xdr:rowOff>
    </xdr:to>
    <xdr:pic>
      <xdr:nvPicPr>
        <xdr:cNvPr id="16385" name="图片 1">
          <a:hlinkClick xmlns:r="http://schemas.openxmlformats.org/officeDocument/2006/relationships" r:id="rId1"/>
        </xdr:cNvPr>
        <xdr:cNvPicPr>
          <a:picLocks noChangeAspect="1"/>
        </xdr:cNvPicPr>
      </xdr:nvPicPr>
      <xdr:blipFill>
        <a:blip r:embed="rId2"/>
        <a:stretch>
          <a:fillRect/>
        </a:stretch>
      </xdr:blipFill>
      <xdr:spPr>
        <a:xfrm>
          <a:off x="0" y="0"/>
          <a:ext cx="1396365" cy="571500"/>
        </a:xfrm>
        <a:prstGeom prst="rect">
          <a:avLst/>
        </a:prstGeom>
        <a:noFill/>
        <a:ln w="9525">
          <a:noFill/>
        </a:ln>
      </xdr:spPr>
    </xdr:pic>
    <xdr:clientData/>
  </xdr:twoCellAnchor>
  <xdr:twoCellAnchor editAs="oneCell">
    <xdr:from>
      <xdr:col>0</xdr:col>
      <xdr:colOff>0</xdr:colOff>
      <xdr:row>0</xdr:row>
      <xdr:rowOff>0</xdr:rowOff>
    </xdr:from>
    <xdr:to>
      <xdr:col>0</xdr:col>
      <xdr:colOff>304800</xdr:colOff>
      <xdr:row>1</xdr:row>
      <xdr:rowOff>133350</xdr:rowOff>
    </xdr:to>
    <xdr:sp>
      <xdr:nvSpPr>
        <xdr:cNvPr id="16386" name="AutoShape 3">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87" name="AutoShape 5">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88" name="AutoShape 7">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89" name="AutoShape 9">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90" name="AutoShape 11">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91" name="AutoShape 13">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92" name="AutoShape 15">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93" name="AutoShape 17">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94" name="AutoShape 19">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95" name="AutoShape 21">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96" name="AutoShape 23">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97" name="AutoShape 25">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98" name="AutoShape 27">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399" name="AutoShape 29">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400" name="AutoShape 31">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133350</xdr:rowOff>
    </xdr:to>
    <xdr:sp>
      <xdr:nvSpPr>
        <xdr:cNvPr id="16401" name="AutoShape 33">
          <a:hlinkClick xmlns:r="http://schemas.openxmlformats.org/officeDocument/2006/relationships" r:id="rId3"/>
        </xdr:cNvPr>
        <xdr:cNvSpPr>
          <a:spLocks noChangeAspect="1"/>
        </xdr:cNvSpPr>
      </xdr:nvSpPr>
      <xdr:spPr>
        <a:xfrm>
          <a:off x="0" y="0"/>
          <a:ext cx="304800" cy="304800"/>
        </a:xfrm>
        <a:prstGeom prst="rect">
          <a:avLst/>
        </a:prstGeom>
        <a:noFill/>
        <a:ln w="9525">
          <a:noFill/>
        </a:ln>
      </xdr:spPr>
    </xdr:sp>
    <xdr:clientData/>
  </xdr:twoCellAnchor>
  <xdr:twoCellAnchor editAs="oneCell">
    <xdr:from>
      <xdr:col>0</xdr:col>
      <xdr:colOff>0</xdr:colOff>
      <xdr:row>0</xdr:row>
      <xdr:rowOff>0</xdr:rowOff>
    </xdr:from>
    <xdr:to>
      <xdr:col>0</xdr:col>
      <xdr:colOff>304800</xdr:colOff>
      <xdr:row>1</xdr:row>
      <xdr:rowOff>127000</xdr:rowOff>
    </xdr:to>
    <xdr:sp>
      <xdr:nvSpPr>
        <xdr:cNvPr id="16419" name="AutoShape 35">
          <a:hlinkClick xmlns:r="http://schemas.openxmlformats.org/officeDocument/2006/relationships" r:id="rId3"/>
        </xdr:cNvPr>
        <xdr:cNvSpPr>
          <a:spLocks noChangeAspect="1" noChangeArrowheads="1"/>
        </xdr:cNvSpPr>
      </xdr:nvSpPr>
      <xdr:spPr>
        <a:xfrm>
          <a:off x="0" y="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127000</xdr:rowOff>
    </xdr:to>
    <xdr:sp>
      <xdr:nvSpPr>
        <xdr:cNvPr id="16421" name="AutoShape 37"/>
        <xdr:cNvSpPr>
          <a:spLocks noChangeAspect="1" noChangeArrowheads="1"/>
        </xdr:cNvSpPr>
      </xdr:nvSpPr>
      <xdr:spPr>
        <a:xfrm>
          <a:off x="0" y="79057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127000</xdr:rowOff>
    </xdr:to>
    <xdr:sp>
      <xdr:nvSpPr>
        <xdr:cNvPr id="16422" name="AutoShape 38"/>
        <xdr:cNvSpPr>
          <a:spLocks noChangeAspect="1" noChangeArrowheads="1"/>
        </xdr:cNvSpPr>
      </xdr:nvSpPr>
      <xdr:spPr>
        <a:xfrm>
          <a:off x="0" y="100869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127000</xdr:rowOff>
    </xdr:to>
    <xdr:sp>
      <xdr:nvSpPr>
        <xdr:cNvPr id="16423" name="AutoShape 39"/>
        <xdr:cNvSpPr>
          <a:spLocks noChangeAspect="1" noChangeArrowheads="1"/>
        </xdr:cNvSpPr>
      </xdr:nvSpPr>
      <xdr:spPr>
        <a:xfrm>
          <a:off x="0" y="293179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107950</xdr:rowOff>
    </xdr:to>
    <xdr:sp>
      <xdr:nvSpPr>
        <xdr:cNvPr id="16424" name="AutoShape 40"/>
        <xdr:cNvSpPr>
          <a:spLocks noChangeAspect="1" noChangeArrowheads="1"/>
        </xdr:cNvSpPr>
      </xdr:nvSpPr>
      <xdr:spPr>
        <a:xfrm>
          <a:off x="0" y="34166175"/>
          <a:ext cx="304800" cy="279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146050</xdr:rowOff>
    </xdr:to>
    <xdr:sp>
      <xdr:nvSpPr>
        <xdr:cNvPr id="16425" name="AutoShape 41"/>
        <xdr:cNvSpPr>
          <a:spLocks noChangeAspect="1" noChangeArrowheads="1"/>
        </xdr:cNvSpPr>
      </xdr:nvSpPr>
      <xdr:spPr>
        <a:xfrm>
          <a:off x="0" y="469582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146050</xdr:rowOff>
    </xdr:to>
    <xdr:sp>
      <xdr:nvSpPr>
        <xdr:cNvPr id="16426" name="AutoShape 42"/>
        <xdr:cNvSpPr>
          <a:spLocks noChangeAspect="1" noChangeArrowheads="1"/>
        </xdr:cNvSpPr>
      </xdr:nvSpPr>
      <xdr:spPr>
        <a:xfrm>
          <a:off x="0" y="5163502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146050</xdr:rowOff>
    </xdr:to>
    <xdr:sp>
      <xdr:nvSpPr>
        <xdr:cNvPr id="16427" name="AutoShape 43"/>
        <xdr:cNvSpPr>
          <a:spLocks noChangeAspect="1" noChangeArrowheads="1"/>
        </xdr:cNvSpPr>
      </xdr:nvSpPr>
      <xdr:spPr>
        <a:xfrm>
          <a:off x="0" y="577881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158750</xdr:rowOff>
    </xdr:to>
    <xdr:sp>
      <xdr:nvSpPr>
        <xdr:cNvPr id="16428" name="AutoShape 44"/>
        <xdr:cNvSpPr>
          <a:spLocks noChangeAspect="1" noChangeArrowheads="1"/>
        </xdr:cNvSpPr>
      </xdr:nvSpPr>
      <xdr:spPr>
        <a:xfrm>
          <a:off x="0" y="61826775"/>
          <a:ext cx="304800" cy="330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146050</xdr:rowOff>
    </xdr:to>
    <xdr:sp>
      <xdr:nvSpPr>
        <xdr:cNvPr id="16429" name="AutoShape 45"/>
        <xdr:cNvSpPr>
          <a:spLocks noChangeAspect="1" noChangeArrowheads="1"/>
        </xdr:cNvSpPr>
      </xdr:nvSpPr>
      <xdr:spPr>
        <a:xfrm>
          <a:off x="0" y="662368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146050</xdr:rowOff>
    </xdr:to>
    <xdr:sp>
      <xdr:nvSpPr>
        <xdr:cNvPr id="16430" name="AutoShape 46"/>
        <xdr:cNvSpPr>
          <a:spLocks noChangeAspect="1" noChangeArrowheads="1"/>
        </xdr:cNvSpPr>
      </xdr:nvSpPr>
      <xdr:spPr>
        <a:xfrm>
          <a:off x="0" y="708183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127000</xdr:rowOff>
    </xdr:to>
    <xdr:sp>
      <xdr:nvSpPr>
        <xdr:cNvPr id="16431" name="AutoShape 47"/>
        <xdr:cNvSpPr>
          <a:spLocks noChangeAspect="1" noChangeArrowheads="1"/>
        </xdr:cNvSpPr>
      </xdr:nvSpPr>
      <xdr:spPr>
        <a:xfrm>
          <a:off x="0" y="736854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127000</xdr:rowOff>
    </xdr:to>
    <xdr:sp>
      <xdr:nvSpPr>
        <xdr:cNvPr id="16432" name="AutoShape 48">
          <a:hlinkClick xmlns:r="http://schemas.openxmlformats.org/officeDocument/2006/relationships" r:id="rId3"/>
        </xdr:cNvPr>
        <xdr:cNvSpPr>
          <a:spLocks noChangeAspect="1" noChangeArrowheads="1"/>
        </xdr:cNvSpPr>
      </xdr:nvSpPr>
      <xdr:spPr>
        <a:xfrm>
          <a:off x="0" y="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127000</xdr:rowOff>
    </xdr:to>
    <xdr:sp>
      <xdr:nvSpPr>
        <xdr:cNvPr id="16434" name="AutoShape 50"/>
        <xdr:cNvSpPr>
          <a:spLocks noChangeAspect="1" noChangeArrowheads="1"/>
        </xdr:cNvSpPr>
      </xdr:nvSpPr>
      <xdr:spPr>
        <a:xfrm>
          <a:off x="0" y="79057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127000</xdr:rowOff>
    </xdr:to>
    <xdr:sp>
      <xdr:nvSpPr>
        <xdr:cNvPr id="16435" name="AutoShape 51"/>
        <xdr:cNvSpPr>
          <a:spLocks noChangeAspect="1" noChangeArrowheads="1"/>
        </xdr:cNvSpPr>
      </xdr:nvSpPr>
      <xdr:spPr>
        <a:xfrm>
          <a:off x="0" y="100869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127000</xdr:rowOff>
    </xdr:to>
    <xdr:sp>
      <xdr:nvSpPr>
        <xdr:cNvPr id="16436" name="AutoShape 52"/>
        <xdr:cNvSpPr>
          <a:spLocks noChangeAspect="1" noChangeArrowheads="1"/>
        </xdr:cNvSpPr>
      </xdr:nvSpPr>
      <xdr:spPr>
        <a:xfrm>
          <a:off x="0" y="293179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107950</xdr:rowOff>
    </xdr:to>
    <xdr:sp>
      <xdr:nvSpPr>
        <xdr:cNvPr id="16437" name="AutoShape 53"/>
        <xdr:cNvSpPr>
          <a:spLocks noChangeAspect="1" noChangeArrowheads="1"/>
        </xdr:cNvSpPr>
      </xdr:nvSpPr>
      <xdr:spPr>
        <a:xfrm>
          <a:off x="0" y="34166175"/>
          <a:ext cx="304800" cy="279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146050</xdr:rowOff>
    </xdr:to>
    <xdr:sp>
      <xdr:nvSpPr>
        <xdr:cNvPr id="16438" name="AutoShape 54"/>
        <xdr:cNvSpPr>
          <a:spLocks noChangeAspect="1" noChangeArrowheads="1"/>
        </xdr:cNvSpPr>
      </xdr:nvSpPr>
      <xdr:spPr>
        <a:xfrm>
          <a:off x="0" y="469582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146050</xdr:rowOff>
    </xdr:to>
    <xdr:sp>
      <xdr:nvSpPr>
        <xdr:cNvPr id="16439" name="AutoShape 55"/>
        <xdr:cNvSpPr>
          <a:spLocks noChangeAspect="1" noChangeArrowheads="1"/>
        </xdr:cNvSpPr>
      </xdr:nvSpPr>
      <xdr:spPr>
        <a:xfrm>
          <a:off x="0" y="5163502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146050</xdr:rowOff>
    </xdr:to>
    <xdr:sp>
      <xdr:nvSpPr>
        <xdr:cNvPr id="16440" name="AutoShape 56"/>
        <xdr:cNvSpPr>
          <a:spLocks noChangeAspect="1" noChangeArrowheads="1"/>
        </xdr:cNvSpPr>
      </xdr:nvSpPr>
      <xdr:spPr>
        <a:xfrm>
          <a:off x="0" y="577881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158750</xdr:rowOff>
    </xdr:to>
    <xdr:sp>
      <xdr:nvSpPr>
        <xdr:cNvPr id="16441" name="AutoShape 57"/>
        <xdr:cNvSpPr>
          <a:spLocks noChangeAspect="1" noChangeArrowheads="1"/>
        </xdr:cNvSpPr>
      </xdr:nvSpPr>
      <xdr:spPr>
        <a:xfrm>
          <a:off x="0" y="61826775"/>
          <a:ext cx="304800" cy="330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146050</xdr:rowOff>
    </xdr:to>
    <xdr:sp>
      <xdr:nvSpPr>
        <xdr:cNvPr id="16442" name="AutoShape 58"/>
        <xdr:cNvSpPr>
          <a:spLocks noChangeAspect="1" noChangeArrowheads="1"/>
        </xdr:cNvSpPr>
      </xdr:nvSpPr>
      <xdr:spPr>
        <a:xfrm>
          <a:off x="0" y="662368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146050</xdr:rowOff>
    </xdr:to>
    <xdr:sp>
      <xdr:nvSpPr>
        <xdr:cNvPr id="16443" name="AutoShape 59"/>
        <xdr:cNvSpPr>
          <a:spLocks noChangeAspect="1" noChangeArrowheads="1"/>
        </xdr:cNvSpPr>
      </xdr:nvSpPr>
      <xdr:spPr>
        <a:xfrm>
          <a:off x="0" y="708183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127000</xdr:rowOff>
    </xdr:to>
    <xdr:sp>
      <xdr:nvSpPr>
        <xdr:cNvPr id="16444" name="AutoShape 60"/>
        <xdr:cNvSpPr>
          <a:spLocks noChangeAspect="1" noChangeArrowheads="1"/>
        </xdr:cNvSpPr>
      </xdr:nvSpPr>
      <xdr:spPr>
        <a:xfrm>
          <a:off x="0" y="736854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121920</xdr:rowOff>
    </xdr:to>
    <xdr:sp>
      <xdr:nvSpPr>
        <xdr:cNvPr id="2" name="AutoShape 50" descr="/images/157x72bizsim.png">
          <a:hlinkClick xmlns:r="http://schemas.openxmlformats.org/officeDocument/2006/relationships" r:id="rId3"/>
        </xdr:cNvPr>
        <xdr:cNvSpPr>
          <a:spLocks noChangeAspect="1" noChangeArrowheads="1"/>
        </xdr:cNvSpPr>
      </xdr:nvSpPr>
      <xdr:spPr>
        <a:xfrm>
          <a:off x="0" y="0"/>
          <a:ext cx="304800" cy="29337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140970</xdr:rowOff>
    </xdr:to>
    <xdr:sp>
      <xdr:nvSpPr>
        <xdr:cNvPr id="3" name="AutoShape 52" descr="/images/arrow_up.png"/>
        <xdr:cNvSpPr>
          <a:spLocks noChangeAspect="1" noChangeArrowheads="1"/>
        </xdr:cNvSpPr>
      </xdr:nvSpPr>
      <xdr:spPr>
        <a:xfrm>
          <a:off x="0" y="756285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140970</xdr:rowOff>
    </xdr:to>
    <xdr:sp>
      <xdr:nvSpPr>
        <xdr:cNvPr id="4" name="AutoShape 53" descr="/images/arrow_up.png"/>
        <xdr:cNvSpPr>
          <a:spLocks noChangeAspect="1" noChangeArrowheads="1"/>
        </xdr:cNvSpPr>
      </xdr:nvSpPr>
      <xdr:spPr>
        <a:xfrm>
          <a:off x="0" y="9744075"/>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164</xdr:row>
      <xdr:rowOff>0</xdr:rowOff>
    </xdr:from>
    <xdr:to>
      <xdr:col>0</xdr:col>
      <xdr:colOff>304800</xdr:colOff>
      <xdr:row>165</xdr:row>
      <xdr:rowOff>102870</xdr:rowOff>
    </xdr:to>
    <xdr:sp>
      <xdr:nvSpPr>
        <xdr:cNvPr id="5" name="AutoShape 54" descr="/images/arrow_up.png"/>
        <xdr:cNvSpPr>
          <a:spLocks noChangeAspect="1" noChangeArrowheads="1"/>
        </xdr:cNvSpPr>
      </xdr:nvSpPr>
      <xdr:spPr>
        <a:xfrm>
          <a:off x="0" y="28975050"/>
          <a:ext cx="304800" cy="2743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191</xdr:row>
      <xdr:rowOff>0</xdr:rowOff>
    </xdr:from>
    <xdr:to>
      <xdr:col>0</xdr:col>
      <xdr:colOff>304800</xdr:colOff>
      <xdr:row>192</xdr:row>
      <xdr:rowOff>90170</xdr:rowOff>
    </xdr:to>
    <xdr:sp>
      <xdr:nvSpPr>
        <xdr:cNvPr id="6" name="AutoShape 55" descr="/images/arrow_up.png"/>
        <xdr:cNvSpPr>
          <a:spLocks noChangeAspect="1" noChangeArrowheads="1"/>
        </xdr:cNvSpPr>
      </xdr:nvSpPr>
      <xdr:spPr>
        <a:xfrm>
          <a:off x="0" y="33823275"/>
          <a:ext cx="304800" cy="2616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260</xdr:row>
      <xdr:rowOff>0</xdr:rowOff>
    </xdr:from>
    <xdr:to>
      <xdr:col>0</xdr:col>
      <xdr:colOff>304800</xdr:colOff>
      <xdr:row>261</xdr:row>
      <xdr:rowOff>140970</xdr:rowOff>
    </xdr:to>
    <xdr:sp>
      <xdr:nvSpPr>
        <xdr:cNvPr id="7" name="AutoShape 56" descr="/images/arrow_up.png"/>
        <xdr:cNvSpPr>
          <a:spLocks noChangeAspect="1" noChangeArrowheads="1"/>
        </xdr:cNvSpPr>
      </xdr:nvSpPr>
      <xdr:spPr>
        <a:xfrm>
          <a:off x="0" y="4661535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286</xdr:row>
      <xdr:rowOff>0</xdr:rowOff>
    </xdr:from>
    <xdr:to>
      <xdr:col>0</xdr:col>
      <xdr:colOff>304800</xdr:colOff>
      <xdr:row>287</xdr:row>
      <xdr:rowOff>140970</xdr:rowOff>
    </xdr:to>
    <xdr:sp>
      <xdr:nvSpPr>
        <xdr:cNvPr id="8" name="AutoShape 57" descr="/images/arrow_up.png"/>
        <xdr:cNvSpPr>
          <a:spLocks noChangeAspect="1" noChangeArrowheads="1"/>
        </xdr:cNvSpPr>
      </xdr:nvSpPr>
      <xdr:spPr>
        <a:xfrm>
          <a:off x="0" y="51292125"/>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320</xdr:row>
      <xdr:rowOff>0</xdr:rowOff>
    </xdr:from>
    <xdr:to>
      <xdr:col>0</xdr:col>
      <xdr:colOff>304800</xdr:colOff>
      <xdr:row>321</xdr:row>
      <xdr:rowOff>153670</xdr:rowOff>
    </xdr:to>
    <xdr:sp>
      <xdr:nvSpPr>
        <xdr:cNvPr id="9" name="AutoShape 58" descr="/images/arrow_up.png"/>
        <xdr:cNvSpPr>
          <a:spLocks noChangeAspect="1" noChangeArrowheads="1"/>
        </xdr:cNvSpPr>
      </xdr:nvSpPr>
      <xdr:spPr>
        <a:xfrm>
          <a:off x="0" y="57445275"/>
          <a:ext cx="304800" cy="3251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342</xdr:row>
      <xdr:rowOff>0</xdr:rowOff>
    </xdr:from>
    <xdr:to>
      <xdr:col>0</xdr:col>
      <xdr:colOff>304800</xdr:colOff>
      <xdr:row>343</xdr:row>
      <xdr:rowOff>140970</xdr:rowOff>
    </xdr:to>
    <xdr:sp>
      <xdr:nvSpPr>
        <xdr:cNvPr id="10" name="AutoShape 59" descr="/images/arrow_up.png"/>
        <xdr:cNvSpPr>
          <a:spLocks noChangeAspect="1" noChangeArrowheads="1"/>
        </xdr:cNvSpPr>
      </xdr:nvSpPr>
      <xdr:spPr>
        <a:xfrm>
          <a:off x="0" y="61483875"/>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366</xdr:row>
      <xdr:rowOff>0</xdr:rowOff>
    </xdr:from>
    <xdr:to>
      <xdr:col>0</xdr:col>
      <xdr:colOff>304800</xdr:colOff>
      <xdr:row>367</xdr:row>
      <xdr:rowOff>140970</xdr:rowOff>
    </xdr:to>
    <xdr:sp>
      <xdr:nvSpPr>
        <xdr:cNvPr id="11" name="AutoShape 60" descr="/images/arrow_up.png"/>
        <xdr:cNvSpPr>
          <a:spLocks noChangeAspect="1" noChangeArrowheads="1"/>
        </xdr:cNvSpPr>
      </xdr:nvSpPr>
      <xdr:spPr>
        <a:xfrm>
          <a:off x="0" y="6589395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392</xdr:row>
      <xdr:rowOff>0</xdr:rowOff>
    </xdr:from>
    <xdr:to>
      <xdr:col>0</xdr:col>
      <xdr:colOff>304800</xdr:colOff>
      <xdr:row>393</xdr:row>
      <xdr:rowOff>140970</xdr:rowOff>
    </xdr:to>
    <xdr:sp>
      <xdr:nvSpPr>
        <xdr:cNvPr id="16445" name="AutoShape 61" descr="/images/arrow_up.png"/>
        <xdr:cNvSpPr>
          <a:spLocks noChangeAspect="1" noChangeArrowheads="1"/>
        </xdr:cNvSpPr>
      </xdr:nvSpPr>
      <xdr:spPr>
        <a:xfrm>
          <a:off x="0" y="70475475"/>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408</xdr:row>
      <xdr:rowOff>0</xdr:rowOff>
    </xdr:from>
    <xdr:to>
      <xdr:col>0</xdr:col>
      <xdr:colOff>304800</xdr:colOff>
      <xdr:row>409</xdr:row>
      <xdr:rowOff>121920</xdr:rowOff>
    </xdr:to>
    <xdr:sp>
      <xdr:nvSpPr>
        <xdr:cNvPr id="16446" name="AutoShape 62" descr="/images/arrow_up.png"/>
        <xdr:cNvSpPr>
          <a:spLocks noChangeAspect="1" noChangeArrowheads="1"/>
        </xdr:cNvSpPr>
      </xdr:nvSpPr>
      <xdr:spPr>
        <a:xfrm>
          <a:off x="0" y="73342500"/>
          <a:ext cx="304800" cy="29337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121920</xdr:rowOff>
    </xdr:to>
    <xdr:sp>
      <xdr:nvSpPr>
        <xdr:cNvPr id="12" name="AutoShape 51" descr="/images/157x72bizsim.png">
          <a:hlinkClick xmlns:r="http://schemas.openxmlformats.org/officeDocument/2006/relationships" r:id="rId3"/>
        </xdr:cNvPr>
        <xdr:cNvSpPr>
          <a:spLocks noChangeAspect="1" noChangeArrowheads="1"/>
        </xdr:cNvSpPr>
      </xdr:nvSpPr>
      <xdr:spPr>
        <a:xfrm>
          <a:off x="0" y="0"/>
          <a:ext cx="304800" cy="29337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102870</xdr:rowOff>
    </xdr:to>
    <xdr:sp>
      <xdr:nvSpPr>
        <xdr:cNvPr id="13" name="AutoShape 53" descr="/images/arrow_up.png"/>
        <xdr:cNvSpPr>
          <a:spLocks noChangeAspect="1" noChangeArrowheads="1"/>
        </xdr:cNvSpPr>
      </xdr:nvSpPr>
      <xdr:spPr>
        <a:xfrm>
          <a:off x="0" y="7734300"/>
          <a:ext cx="304800" cy="2743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102870</xdr:rowOff>
    </xdr:to>
    <xdr:sp>
      <xdr:nvSpPr>
        <xdr:cNvPr id="14" name="AutoShape 54" descr="/images/arrow_up.png"/>
        <xdr:cNvSpPr>
          <a:spLocks noChangeAspect="1" noChangeArrowheads="1"/>
        </xdr:cNvSpPr>
      </xdr:nvSpPr>
      <xdr:spPr>
        <a:xfrm>
          <a:off x="0" y="9915525"/>
          <a:ext cx="304800" cy="2743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165</xdr:row>
      <xdr:rowOff>0</xdr:rowOff>
    </xdr:from>
    <xdr:to>
      <xdr:col>0</xdr:col>
      <xdr:colOff>304800</xdr:colOff>
      <xdr:row>166</xdr:row>
      <xdr:rowOff>140970</xdr:rowOff>
    </xdr:to>
    <xdr:sp>
      <xdr:nvSpPr>
        <xdr:cNvPr id="15" name="AutoShape 55" descr="/images/arrow_up.png"/>
        <xdr:cNvSpPr>
          <a:spLocks noChangeAspect="1" noChangeArrowheads="1"/>
        </xdr:cNvSpPr>
      </xdr:nvSpPr>
      <xdr:spPr>
        <a:xfrm>
          <a:off x="0" y="29146500"/>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192</xdr:row>
      <xdr:rowOff>0</xdr:rowOff>
    </xdr:from>
    <xdr:to>
      <xdr:col>0</xdr:col>
      <xdr:colOff>304800</xdr:colOff>
      <xdr:row>193</xdr:row>
      <xdr:rowOff>140970</xdr:rowOff>
    </xdr:to>
    <xdr:sp>
      <xdr:nvSpPr>
        <xdr:cNvPr id="16" name="AutoShape 56" descr="/images/arrow_up.png"/>
        <xdr:cNvSpPr>
          <a:spLocks noChangeAspect="1" noChangeArrowheads="1"/>
        </xdr:cNvSpPr>
      </xdr:nvSpPr>
      <xdr:spPr>
        <a:xfrm>
          <a:off x="0" y="33994725"/>
          <a:ext cx="304800" cy="3124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261</xdr:row>
      <xdr:rowOff>0</xdr:rowOff>
    </xdr:from>
    <xdr:to>
      <xdr:col>0</xdr:col>
      <xdr:colOff>304800</xdr:colOff>
      <xdr:row>262</xdr:row>
      <xdr:rowOff>102870</xdr:rowOff>
    </xdr:to>
    <xdr:sp>
      <xdr:nvSpPr>
        <xdr:cNvPr id="17" name="AutoShape 57" descr="/images/arrow_up.png"/>
        <xdr:cNvSpPr>
          <a:spLocks noChangeAspect="1" noChangeArrowheads="1"/>
        </xdr:cNvSpPr>
      </xdr:nvSpPr>
      <xdr:spPr>
        <a:xfrm>
          <a:off x="0" y="46786800"/>
          <a:ext cx="304800" cy="2743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287</xdr:row>
      <xdr:rowOff>0</xdr:rowOff>
    </xdr:from>
    <xdr:to>
      <xdr:col>0</xdr:col>
      <xdr:colOff>304800</xdr:colOff>
      <xdr:row>288</xdr:row>
      <xdr:rowOff>90170</xdr:rowOff>
    </xdr:to>
    <xdr:sp>
      <xdr:nvSpPr>
        <xdr:cNvPr id="18" name="AutoShape 58" descr="/images/arrow_up.png"/>
        <xdr:cNvSpPr>
          <a:spLocks noChangeAspect="1" noChangeArrowheads="1"/>
        </xdr:cNvSpPr>
      </xdr:nvSpPr>
      <xdr:spPr>
        <a:xfrm>
          <a:off x="0" y="51463575"/>
          <a:ext cx="304800" cy="2616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321</xdr:row>
      <xdr:rowOff>0</xdr:rowOff>
    </xdr:from>
    <xdr:to>
      <xdr:col>0</xdr:col>
      <xdr:colOff>304800</xdr:colOff>
      <xdr:row>322</xdr:row>
      <xdr:rowOff>102870</xdr:rowOff>
    </xdr:to>
    <xdr:sp>
      <xdr:nvSpPr>
        <xdr:cNvPr id="19" name="AutoShape 59" descr="/images/arrow_up.png"/>
        <xdr:cNvSpPr>
          <a:spLocks noChangeAspect="1" noChangeArrowheads="1"/>
        </xdr:cNvSpPr>
      </xdr:nvSpPr>
      <xdr:spPr>
        <a:xfrm>
          <a:off x="0" y="57616725"/>
          <a:ext cx="304800" cy="2743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343</xdr:row>
      <xdr:rowOff>0</xdr:rowOff>
    </xdr:from>
    <xdr:to>
      <xdr:col>0</xdr:col>
      <xdr:colOff>304800</xdr:colOff>
      <xdr:row>344</xdr:row>
      <xdr:rowOff>90170</xdr:rowOff>
    </xdr:to>
    <xdr:sp>
      <xdr:nvSpPr>
        <xdr:cNvPr id="20" name="AutoShape 60" descr="/images/arrow_up.png"/>
        <xdr:cNvSpPr>
          <a:spLocks noChangeAspect="1" noChangeArrowheads="1"/>
        </xdr:cNvSpPr>
      </xdr:nvSpPr>
      <xdr:spPr>
        <a:xfrm>
          <a:off x="0" y="61655325"/>
          <a:ext cx="304800" cy="2616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367</xdr:row>
      <xdr:rowOff>0</xdr:rowOff>
    </xdr:from>
    <xdr:to>
      <xdr:col>0</xdr:col>
      <xdr:colOff>304800</xdr:colOff>
      <xdr:row>368</xdr:row>
      <xdr:rowOff>102870</xdr:rowOff>
    </xdr:to>
    <xdr:sp>
      <xdr:nvSpPr>
        <xdr:cNvPr id="21" name="AutoShape 61" descr="/images/arrow_up.png"/>
        <xdr:cNvSpPr>
          <a:spLocks noChangeAspect="1" noChangeArrowheads="1"/>
        </xdr:cNvSpPr>
      </xdr:nvSpPr>
      <xdr:spPr>
        <a:xfrm>
          <a:off x="0" y="66065400"/>
          <a:ext cx="304800" cy="2743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393</xdr:row>
      <xdr:rowOff>0</xdr:rowOff>
    </xdr:from>
    <xdr:to>
      <xdr:col>0</xdr:col>
      <xdr:colOff>304800</xdr:colOff>
      <xdr:row>394</xdr:row>
      <xdr:rowOff>102870</xdr:rowOff>
    </xdr:to>
    <xdr:sp>
      <xdr:nvSpPr>
        <xdr:cNvPr id="22" name="AutoShape 62" descr="/images/arrow_up.png"/>
        <xdr:cNvSpPr>
          <a:spLocks noChangeAspect="1" noChangeArrowheads="1"/>
        </xdr:cNvSpPr>
      </xdr:nvSpPr>
      <xdr:spPr>
        <a:xfrm>
          <a:off x="0" y="70646925"/>
          <a:ext cx="304800" cy="27432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409</xdr:row>
      <xdr:rowOff>0</xdr:rowOff>
    </xdr:from>
    <xdr:to>
      <xdr:col>0</xdr:col>
      <xdr:colOff>304800</xdr:colOff>
      <xdr:row>410</xdr:row>
      <xdr:rowOff>121920</xdr:rowOff>
    </xdr:to>
    <xdr:sp>
      <xdr:nvSpPr>
        <xdr:cNvPr id="16447" name="AutoShape 63" descr="/images/arrow_up.png"/>
        <xdr:cNvSpPr>
          <a:spLocks noChangeAspect="1" noChangeArrowheads="1"/>
        </xdr:cNvSpPr>
      </xdr:nvSpPr>
      <xdr:spPr>
        <a:xfrm>
          <a:off x="0" y="73513950"/>
          <a:ext cx="304800" cy="29337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127000</xdr:rowOff>
    </xdr:to>
    <xdr:sp>
      <xdr:nvSpPr>
        <xdr:cNvPr id="23" name="AutoShape 52" descr="/images/157x72bizsim.png">
          <a:hlinkClick xmlns:r="http://schemas.openxmlformats.org/officeDocument/2006/relationships" r:id="rId3"/>
        </xdr:cNvPr>
        <xdr:cNvSpPr>
          <a:spLocks noChangeAspect="1" noChangeArrowheads="1"/>
        </xdr:cNvSpPr>
      </xdr:nvSpPr>
      <xdr:spPr>
        <a:xfrm>
          <a:off x="0" y="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127000</xdr:rowOff>
    </xdr:to>
    <xdr:sp>
      <xdr:nvSpPr>
        <xdr:cNvPr id="24" name="AutoShape 54" descr="/images/arrow_up.png"/>
        <xdr:cNvSpPr>
          <a:spLocks noChangeAspect="1" noChangeArrowheads="1"/>
        </xdr:cNvSpPr>
      </xdr:nvSpPr>
      <xdr:spPr>
        <a:xfrm>
          <a:off x="0" y="79057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127000</xdr:rowOff>
    </xdr:to>
    <xdr:sp>
      <xdr:nvSpPr>
        <xdr:cNvPr id="25" name="AutoShape 55" descr="/images/arrow_up.png"/>
        <xdr:cNvSpPr>
          <a:spLocks noChangeAspect="1" noChangeArrowheads="1"/>
        </xdr:cNvSpPr>
      </xdr:nvSpPr>
      <xdr:spPr>
        <a:xfrm>
          <a:off x="0" y="100869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127000</xdr:rowOff>
    </xdr:to>
    <xdr:sp>
      <xdr:nvSpPr>
        <xdr:cNvPr id="26" name="AutoShape 56" descr="/images/arrow_up.png"/>
        <xdr:cNvSpPr>
          <a:spLocks noChangeAspect="1" noChangeArrowheads="1"/>
        </xdr:cNvSpPr>
      </xdr:nvSpPr>
      <xdr:spPr>
        <a:xfrm>
          <a:off x="0" y="293179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107950</xdr:rowOff>
    </xdr:to>
    <xdr:sp>
      <xdr:nvSpPr>
        <xdr:cNvPr id="27" name="AutoShape 57" descr="/images/arrow_up.png"/>
        <xdr:cNvSpPr>
          <a:spLocks noChangeAspect="1" noChangeArrowheads="1"/>
        </xdr:cNvSpPr>
      </xdr:nvSpPr>
      <xdr:spPr>
        <a:xfrm>
          <a:off x="0" y="34166175"/>
          <a:ext cx="304800" cy="279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146050</xdr:rowOff>
    </xdr:to>
    <xdr:sp>
      <xdr:nvSpPr>
        <xdr:cNvPr id="28" name="AutoShape 58" descr="/images/arrow_up.png"/>
        <xdr:cNvSpPr>
          <a:spLocks noChangeAspect="1" noChangeArrowheads="1"/>
        </xdr:cNvSpPr>
      </xdr:nvSpPr>
      <xdr:spPr>
        <a:xfrm>
          <a:off x="0" y="469582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146050</xdr:rowOff>
    </xdr:to>
    <xdr:sp>
      <xdr:nvSpPr>
        <xdr:cNvPr id="29" name="AutoShape 59" descr="/images/arrow_up.png"/>
        <xdr:cNvSpPr>
          <a:spLocks noChangeAspect="1" noChangeArrowheads="1"/>
        </xdr:cNvSpPr>
      </xdr:nvSpPr>
      <xdr:spPr>
        <a:xfrm>
          <a:off x="0" y="5163502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146050</xdr:rowOff>
    </xdr:to>
    <xdr:sp>
      <xdr:nvSpPr>
        <xdr:cNvPr id="30" name="AutoShape 60" descr="/images/arrow_up.png"/>
        <xdr:cNvSpPr>
          <a:spLocks noChangeAspect="1" noChangeArrowheads="1"/>
        </xdr:cNvSpPr>
      </xdr:nvSpPr>
      <xdr:spPr>
        <a:xfrm>
          <a:off x="0" y="577881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158750</xdr:rowOff>
    </xdr:to>
    <xdr:sp>
      <xdr:nvSpPr>
        <xdr:cNvPr id="31" name="AutoShape 61" descr="/images/arrow_up.png"/>
        <xdr:cNvSpPr>
          <a:spLocks noChangeAspect="1" noChangeArrowheads="1"/>
        </xdr:cNvSpPr>
      </xdr:nvSpPr>
      <xdr:spPr>
        <a:xfrm>
          <a:off x="0" y="61826775"/>
          <a:ext cx="304800" cy="330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146050</xdr:rowOff>
    </xdr:to>
    <xdr:sp>
      <xdr:nvSpPr>
        <xdr:cNvPr id="32" name="AutoShape 62" descr="/images/arrow_up.png"/>
        <xdr:cNvSpPr>
          <a:spLocks noChangeAspect="1" noChangeArrowheads="1"/>
        </xdr:cNvSpPr>
      </xdr:nvSpPr>
      <xdr:spPr>
        <a:xfrm>
          <a:off x="0" y="66236850"/>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146050</xdr:rowOff>
    </xdr:to>
    <xdr:sp>
      <xdr:nvSpPr>
        <xdr:cNvPr id="33" name="AutoShape 63" descr="/images/arrow_up.png"/>
        <xdr:cNvSpPr>
          <a:spLocks noChangeAspect="1" noChangeArrowheads="1"/>
        </xdr:cNvSpPr>
      </xdr:nvSpPr>
      <xdr:spPr>
        <a:xfrm>
          <a:off x="0" y="708183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127000</xdr:rowOff>
    </xdr:to>
    <xdr:sp>
      <xdr:nvSpPr>
        <xdr:cNvPr id="16448" name="AutoShape 64" descr="/images/arrow_up.png"/>
        <xdr:cNvSpPr>
          <a:spLocks noChangeAspect="1" noChangeArrowheads="1"/>
        </xdr:cNvSpPr>
      </xdr:nvSpPr>
      <xdr:spPr>
        <a:xfrm>
          <a:off x="0" y="736854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127000</xdr:rowOff>
    </xdr:to>
    <xdr:sp>
      <xdr:nvSpPr>
        <xdr:cNvPr id="34" name="AutoShape 54" descr="/images/157x72bizsim.png">
          <a:hlinkClick xmlns:r="http://schemas.openxmlformats.org/officeDocument/2006/relationships" r:id="rId3"/>
        </xdr:cNvPr>
        <xdr:cNvSpPr>
          <a:spLocks noChangeAspect="1" noChangeArrowheads="1"/>
        </xdr:cNvSpPr>
      </xdr:nvSpPr>
      <xdr:spPr>
        <a:xfrm>
          <a:off x="0" y="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127000</xdr:rowOff>
    </xdr:to>
    <xdr:sp>
      <xdr:nvSpPr>
        <xdr:cNvPr id="35" name="AutoShape 56" descr="/images/arrow_up.png"/>
        <xdr:cNvSpPr>
          <a:spLocks noChangeAspect="1" noChangeArrowheads="1"/>
        </xdr:cNvSpPr>
      </xdr:nvSpPr>
      <xdr:spPr>
        <a:xfrm>
          <a:off x="0" y="79057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127000</xdr:rowOff>
    </xdr:to>
    <xdr:sp>
      <xdr:nvSpPr>
        <xdr:cNvPr id="36" name="AutoShape 57" descr="/images/arrow_up.png"/>
        <xdr:cNvSpPr>
          <a:spLocks noChangeAspect="1" noChangeArrowheads="1"/>
        </xdr:cNvSpPr>
      </xdr:nvSpPr>
      <xdr:spPr>
        <a:xfrm>
          <a:off x="0" y="100869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158</xdr:row>
      <xdr:rowOff>0</xdr:rowOff>
    </xdr:from>
    <xdr:to>
      <xdr:col>0</xdr:col>
      <xdr:colOff>304800</xdr:colOff>
      <xdr:row>159</xdr:row>
      <xdr:rowOff>133350</xdr:rowOff>
    </xdr:to>
    <xdr:sp>
      <xdr:nvSpPr>
        <xdr:cNvPr id="37" name="AutoShape 58" descr="/images/arrow_up.png"/>
        <xdr:cNvSpPr>
          <a:spLocks noChangeAspect="1" noChangeArrowheads="1"/>
        </xdr:cNvSpPr>
      </xdr:nvSpPr>
      <xdr:spPr>
        <a:xfrm>
          <a:off x="0" y="27946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185</xdr:row>
      <xdr:rowOff>0</xdr:rowOff>
    </xdr:from>
    <xdr:to>
      <xdr:col>0</xdr:col>
      <xdr:colOff>304800</xdr:colOff>
      <xdr:row>186</xdr:row>
      <xdr:rowOff>127000</xdr:rowOff>
    </xdr:to>
    <xdr:sp>
      <xdr:nvSpPr>
        <xdr:cNvPr id="38" name="AutoShape 59" descr="/images/arrow_up.png"/>
        <xdr:cNvSpPr>
          <a:spLocks noChangeAspect="1" noChangeArrowheads="1"/>
        </xdr:cNvSpPr>
      </xdr:nvSpPr>
      <xdr:spPr>
        <a:xfrm>
          <a:off x="0" y="327945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254</xdr:row>
      <xdr:rowOff>0</xdr:rowOff>
    </xdr:from>
    <xdr:to>
      <xdr:col>0</xdr:col>
      <xdr:colOff>304800</xdr:colOff>
      <xdr:row>255</xdr:row>
      <xdr:rowOff>146050</xdr:rowOff>
    </xdr:to>
    <xdr:sp>
      <xdr:nvSpPr>
        <xdr:cNvPr id="39" name="AutoShape 60" descr="/images/arrow_up.png"/>
        <xdr:cNvSpPr>
          <a:spLocks noChangeAspect="1" noChangeArrowheads="1"/>
        </xdr:cNvSpPr>
      </xdr:nvSpPr>
      <xdr:spPr>
        <a:xfrm>
          <a:off x="0" y="455580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280</xdr:row>
      <xdr:rowOff>0</xdr:rowOff>
    </xdr:from>
    <xdr:to>
      <xdr:col>0</xdr:col>
      <xdr:colOff>304800</xdr:colOff>
      <xdr:row>281</xdr:row>
      <xdr:rowOff>158750</xdr:rowOff>
    </xdr:to>
    <xdr:sp>
      <xdr:nvSpPr>
        <xdr:cNvPr id="40" name="AutoShape 61" descr="/images/arrow_up.png"/>
        <xdr:cNvSpPr>
          <a:spLocks noChangeAspect="1" noChangeArrowheads="1"/>
        </xdr:cNvSpPr>
      </xdr:nvSpPr>
      <xdr:spPr>
        <a:xfrm>
          <a:off x="0" y="50263425"/>
          <a:ext cx="304800" cy="330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314</xdr:row>
      <xdr:rowOff>0</xdr:rowOff>
    </xdr:from>
    <xdr:to>
      <xdr:col>0</xdr:col>
      <xdr:colOff>304800</xdr:colOff>
      <xdr:row>315</xdr:row>
      <xdr:rowOff>146050</xdr:rowOff>
    </xdr:to>
    <xdr:sp>
      <xdr:nvSpPr>
        <xdr:cNvPr id="41" name="AutoShape 62" descr="/images/arrow_up.png"/>
        <xdr:cNvSpPr>
          <a:spLocks noChangeAspect="1" noChangeArrowheads="1"/>
        </xdr:cNvSpPr>
      </xdr:nvSpPr>
      <xdr:spPr>
        <a:xfrm>
          <a:off x="0" y="564165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336</xdr:row>
      <xdr:rowOff>0</xdr:rowOff>
    </xdr:from>
    <xdr:to>
      <xdr:col>0</xdr:col>
      <xdr:colOff>304800</xdr:colOff>
      <xdr:row>337</xdr:row>
      <xdr:rowOff>158750</xdr:rowOff>
    </xdr:to>
    <xdr:sp>
      <xdr:nvSpPr>
        <xdr:cNvPr id="42" name="AutoShape 63" descr="/images/arrow_up.png"/>
        <xdr:cNvSpPr>
          <a:spLocks noChangeAspect="1" noChangeArrowheads="1"/>
        </xdr:cNvSpPr>
      </xdr:nvSpPr>
      <xdr:spPr>
        <a:xfrm>
          <a:off x="0" y="60407550"/>
          <a:ext cx="304800" cy="3302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360</xdr:row>
      <xdr:rowOff>0</xdr:rowOff>
    </xdr:from>
    <xdr:to>
      <xdr:col>0</xdr:col>
      <xdr:colOff>304800</xdr:colOff>
      <xdr:row>361</xdr:row>
      <xdr:rowOff>146050</xdr:rowOff>
    </xdr:to>
    <xdr:sp>
      <xdr:nvSpPr>
        <xdr:cNvPr id="43" name="AutoShape 64" descr="/images/arrow_up.png"/>
        <xdr:cNvSpPr>
          <a:spLocks noChangeAspect="1" noChangeArrowheads="1"/>
        </xdr:cNvSpPr>
      </xdr:nvSpPr>
      <xdr:spPr>
        <a:xfrm>
          <a:off x="0" y="6481762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386</xdr:row>
      <xdr:rowOff>0</xdr:rowOff>
    </xdr:from>
    <xdr:to>
      <xdr:col>0</xdr:col>
      <xdr:colOff>304800</xdr:colOff>
      <xdr:row>387</xdr:row>
      <xdr:rowOff>146050</xdr:rowOff>
    </xdr:to>
    <xdr:sp>
      <xdr:nvSpPr>
        <xdr:cNvPr id="16449" name="AutoShape 65" descr="/images/arrow_up.png"/>
        <xdr:cNvSpPr>
          <a:spLocks noChangeAspect="1" noChangeArrowheads="1"/>
        </xdr:cNvSpPr>
      </xdr:nvSpPr>
      <xdr:spPr>
        <a:xfrm>
          <a:off x="0" y="69446775"/>
          <a:ext cx="304800" cy="3175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402</xdr:row>
      <xdr:rowOff>0</xdr:rowOff>
    </xdr:from>
    <xdr:to>
      <xdr:col>0</xdr:col>
      <xdr:colOff>304800</xdr:colOff>
      <xdr:row>403</xdr:row>
      <xdr:rowOff>127000</xdr:rowOff>
    </xdr:to>
    <xdr:sp>
      <xdr:nvSpPr>
        <xdr:cNvPr id="16450" name="AutoShape 66" descr="/images/arrow_up.png"/>
        <xdr:cNvSpPr>
          <a:spLocks noChangeAspect="1" noChangeArrowheads="1"/>
        </xdr:cNvSpPr>
      </xdr:nvSpPr>
      <xdr:spPr>
        <a:xfrm>
          <a:off x="0" y="723138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127000</xdr:rowOff>
    </xdr:to>
    <xdr:sp>
      <xdr:nvSpPr>
        <xdr:cNvPr id="44" name="AutoShape 56" descr="/images/157x72bizsim.png">
          <a:hlinkClick xmlns:r="http://schemas.openxmlformats.org/officeDocument/2006/relationships" r:id="rId3"/>
        </xdr:cNvPr>
        <xdr:cNvSpPr>
          <a:spLocks noChangeAspect="1" noChangeArrowheads="1"/>
        </xdr:cNvSpPr>
      </xdr:nvSpPr>
      <xdr:spPr>
        <a:xfrm>
          <a:off x="0" y="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127000</xdr:rowOff>
    </xdr:to>
    <xdr:sp>
      <xdr:nvSpPr>
        <xdr:cNvPr id="45" name="AutoShape 58" descr="/images/arrow_up.png"/>
        <xdr:cNvSpPr>
          <a:spLocks noChangeAspect="1" noChangeArrowheads="1"/>
        </xdr:cNvSpPr>
      </xdr:nvSpPr>
      <xdr:spPr>
        <a:xfrm>
          <a:off x="0" y="79057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127000</xdr:rowOff>
    </xdr:to>
    <xdr:sp>
      <xdr:nvSpPr>
        <xdr:cNvPr id="46" name="AutoShape 59" descr="/images/arrow_up.png"/>
        <xdr:cNvSpPr>
          <a:spLocks noChangeAspect="1" noChangeArrowheads="1"/>
        </xdr:cNvSpPr>
      </xdr:nvSpPr>
      <xdr:spPr>
        <a:xfrm>
          <a:off x="0" y="100869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146</xdr:row>
      <xdr:rowOff>0</xdr:rowOff>
    </xdr:from>
    <xdr:to>
      <xdr:col>0</xdr:col>
      <xdr:colOff>304800</xdr:colOff>
      <xdr:row>147</xdr:row>
      <xdr:rowOff>107950</xdr:rowOff>
    </xdr:to>
    <xdr:sp>
      <xdr:nvSpPr>
        <xdr:cNvPr id="47" name="AutoShape 60" descr="/images/arrow_up.png"/>
        <xdr:cNvSpPr>
          <a:spLocks noChangeAspect="1" noChangeArrowheads="1"/>
        </xdr:cNvSpPr>
      </xdr:nvSpPr>
      <xdr:spPr>
        <a:xfrm>
          <a:off x="0" y="25888950"/>
          <a:ext cx="304800" cy="279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173</xdr:row>
      <xdr:rowOff>0</xdr:rowOff>
    </xdr:from>
    <xdr:to>
      <xdr:col>0</xdr:col>
      <xdr:colOff>304800</xdr:colOff>
      <xdr:row>174</xdr:row>
      <xdr:rowOff>107950</xdr:rowOff>
    </xdr:to>
    <xdr:sp>
      <xdr:nvSpPr>
        <xdr:cNvPr id="48" name="AutoShape 61" descr="/images/arrow_up.png"/>
        <xdr:cNvSpPr>
          <a:spLocks noChangeAspect="1" noChangeArrowheads="1"/>
        </xdr:cNvSpPr>
      </xdr:nvSpPr>
      <xdr:spPr>
        <a:xfrm>
          <a:off x="0" y="30689550"/>
          <a:ext cx="304800" cy="279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242</xdr:row>
      <xdr:rowOff>0</xdr:rowOff>
    </xdr:from>
    <xdr:to>
      <xdr:col>0</xdr:col>
      <xdr:colOff>304800</xdr:colOff>
      <xdr:row>243</xdr:row>
      <xdr:rowOff>107950</xdr:rowOff>
    </xdr:to>
    <xdr:sp>
      <xdr:nvSpPr>
        <xdr:cNvPr id="49" name="AutoShape 62" descr="/images/arrow_up.png"/>
        <xdr:cNvSpPr>
          <a:spLocks noChangeAspect="1" noChangeArrowheads="1"/>
        </xdr:cNvSpPr>
      </xdr:nvSpPr>
      <xdr:spPr>
        <a:xfrm>
          <a:off x="0" y="43424475"/>
          <a:ext cx="304800" cy="279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268</xdr:row>
      <xdr:rowOff>0</xdr:rowOff>
    </xdr:from>
    <xdr:to>
      <xdr:col>0</xdr:col>
      <xdr:colOff>304800</xdr:colOff>
      <xdr:row>269</xdr:row>
      <xdr:rowOff>127000</xdr:rowOff>
    </xdr:to>
    <xdr:sp>
      <xdr:nvSpPr>
        <xdr:cNvPr id="50" name="AutoShape 63" descr="/images/arrow_up.png"/>
        <xdr:cNvSpPr>
          <a:spLocks noChangeAspect="1" noChangeArrowheads="1"/>
        </xdr:cNvSpPr>
      </xdr:nvSpPr>
      <xdr:spPr>
        <a:xfrm>
          <a:off x="0" y="481584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302</xdr:row>
      <xdr:rowOff>0</xdr:rowOff>
    </xdr:from>
    <xdr:to>
      <xdr:col>0</xdr:col>
      <xdr:colOff>304800</xdr:colOff>
      <xdr:row>303</xdr:row>
      <xdr:rowOff>127000</xdr:rowOff>
    </xdr:to>
    <xdr:sp>
      <xdr:nvSpPr>
        <xdr:cNvPr id="51" name="AutoShape 64" descr="/images/arrow_up.png"/>
        <xdr:cNvSpPr>
          <a:spLocks noChangeAspect="1" noChangeArrowheads="1"/>
        </xdr:cNvSpPr>
      </xdr:nvSpPr>
      <xdr:spPr>
        <a:xfrm>
          <a:off x="0" y="543306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324</xdr:row>
      <xdr:rowOff>0</xdr:rowOff>
    </xdr:from>
    <xdr:to>
      <xdr:col>0</xdr:col>
      <xdr:colOff>304800</xdr:colOff>
      <xdr:row>325</xdr:row>
      <xdr:rowOff>127000</xdr:rowOff>
    </xdr:to>
    <xdr:sp>
      <xdr:nvSpPr>
        <xdr:cNvPr id="52" name="AutoShape 65" descr="/images/arrow_up.png"/>
        <xdr:cNvSpPr>
          <a:spLocks noChangeAspect="1" noChangeArrowheads="1"/>
        </xdr:cNvSpPr>
      </xdr:nvSpPr>
      <xdr:spPr>
        <a:xfrm>
          <a:off x="0" y="582549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348</xdr:row>
      <xdr:rowOff>0</xdr:rowOff>
    </xdr:from>
    <xdr:to>
      <xdr:col>0</xdr:col>
      <xdr:colOff>304800</xdr:colOff>
      <xdr:row>349</xdr:row>
      <xdr:rowOff>127000</xdr:rowOff>
    </xdr:to>
    <xdr:sp>
      <xdr:nvSpPr>
        <xdr:cNvPr id="53" name="AutoShape 66" descr="/images/arrow_up.png"/>
        <xdr:cNvSpPr>
          <a:spLocks noChangeAspect="1" noChangeArrowheads="1"/>
        </xdr:cNvSpPr>
      </xdr:nvSpPr>
      <xdr:spPr>
        <a:xfrm>
          <a:off x="0" y="626840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374</xdr:row>
      <xdr:rowOff>0</xdr:rowOff>
    </xdr:from>
    <xdr:to>
      <xdr:col>0</xdr:col>
      <xdr:colOff>304800</xdr:colOff>
      <xdr:row>375</xdr:row>
      <xdr:rowOff>127000</xdr:rowOff>
    </xdr:to>
    <xdr:sp>
      <xdr:nvSpPr>
        <xdr:cNvPr id="16451" name="AutoShape 67" descr="/images/arrow_up.png"/>
        <xdr:cNvSpPr>
          <a:spLocks noChangeAspect="1" noChangeArrowheads="1"/>
        </xdr:cNvSpPr>
      </xdr:nvSpPr>
      <xdr:spPr>
        <a:xfrm>
          <a:off x="0" y="673893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390</xdr:row>
      <xdr:rowOff>0</xdr:rowOff>
    </xdr:from>
    <xdr:to>
      <xdr:col>0</xdr:col>
      <xdr:colOff>304800</xdr:colOff>
      <xdr:row>391</xdr:row>
      <xdr:rowOff>127000</xdr:rowOff>
    </xdr:to>
    <xdr:sp>
      <xdr:nvSpPr>
        <xdr:cNvPr id="16452" name="AutoShape 68" descr="/images/arrow_up.png"/>
        <xdr:cNvSpPr>
          <a:spLocks noChangeAspect="1" noChangeArrowheads="1"/>
        </xdr:cNvSpPr>
      </xdr:nvSpPr>
      <xdr:spPr>
        <a:xfrm>
          <a:off x="0" y="701325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133350</xdr:rowOff>
    </xdr:to>
    <xdr:sp>
      <xdr:nvSpPr>
        <xdr:cNvPr id="54" name="AutoShape 58" descr="/images/157x72bizsim.png">
          <a:hlinkClick xmlns:r="http://schemas.openxmlformats.org/officeDocument/2006/relationships" r:id="rId3"/>
        </xdr:cNvPr>
        <xdr:cNvSpPr>
          <a:spLocks noChangeAspect="1" noChangeArrowheads="1"/>
        </xdr:cNvSpPr>
      </xdr:nvSpPr>
      <xdr:spPr>
        <a:xfrm>
          <a:off x="0" y="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133350</xdr:rowOff>
    </xdr:to>
    <xdr:sp>
      <xdr:nvSpPr>
        <xdr:cNvPr id="55" name="AutoShape 60" descr="/images/arrow_up.png"/>
        <xdr:cNvSpPr>
          <a:spLocks noChangeAspect="1" noChangeArrowheads="1"/>
        </xdr:cNvSpPr>
      </xdr:nvSpPr>
      <xdr:spPr>
        <a:xfrm>
          <a:off x="0" y="85439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133350</xdr:rowOff>
    </xdr:to>
    <xdr:sp>
      <xdr:nvSpPr>
        <xdr:cNvPr id="56" name="AutoShape 61" descr="/images/arrow_up.png"/>
        <xdr:cNvSpPr>
          <a:spLocks noChangeAspect="1" noChangeArrowheads="1"/>
        </xdr:cNvSpPr>
      </xdr:nvSpPr>
      <xdr:spPr>
        <a:xfrm>
          <a:off x="0" y="10725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153</xdr:row>
      <xdr:rowOff>0</xdr:rowOff>
    </xdr:from>
    <xdr:to>
      <xdr:col>0</xdr:col>
      <xdr:colOff>304800</xdr:colOff>
      <xdr:row>154</xdr:row>
      <xdr:rowOff>139700</xdr:rowOff>
    </xdr:to>
    <xdr:sp>
      <xdr:nvSpPr>
        <xdr:cNvPr id="57" name="AutoShape 62" descr="/images/arrow_up.png"/>
        <xdr:cNvSpPr>
          <a:spLocks noChangeAspect="1" noChangeArrowheads="1"/>
        </xdr:cNvSpPr>
      </xdr:nvSpPr>
      <xdr:spPr>
        <a:xfrm>
          <a:off x="0" y="27089100"/>
          <a:ext cx="304800" cy="3111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180</xdr:row>
      <xdr:rowOff>0</xdr:rowOff>
    </xdr:from>
    <xdr:to>
      <xdr:col>0</xdr:col>
      <xdr:colOff>304800</xdr:colOff>
      <xdr:row>181</xdr:row>
      <xdr:rowOff>88900</xdr:rowOff>
    </xdr:to>
    <xdr:sp>
      <xdr:nvSpPr>
        <xdr:cNvPr id="58" name="AutoShape 63" descr="/images/arrow_up.png"/>
        <xdr:cNvSpPr>
          <a:spLocks noChangeAspect="1" noChangeArrowheads="1"/>
        </xdr:cNvSpPr>
      </xdr:nvSpPr>
      <xdr:spPr>
        <a:xfrm>
          <a:off x="0" y="31889700"/>
          <a:ext cx="304800" cy="307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249</xdr:row>
      <xdr:rowOff>0</xdr:rowOff>
    </xdr:from>
    <xdr:to>
      <xdr:col>0</xdr:col>
      <xdr:colOff>304800</xdr:colOff>
      <xdr:row>250</xdr:row>
      <xdr:rowOff>133350</xdr:rowOff>
    </xdr:to>
    <xdr:sp>
      <xdr:nvSpPr>
        <xdr:cNvPr id="59" name="AutoShape 64" descr="/images/arrow_up.png"/>
        <xdr:cNvSpPr>
          <a:spLocks noChangeAspect="1" noChangeArrowheads="1"/>
        </xdr:cNvSpPr>
      </xdr:nvSpPr>
      <xdr:spPr>
        <a:xfrm>
          <a:off x="0" y="447008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275</xdr:row>
      <xdr:rowOff>0</xdr:rowOff>
    </xdr:from>
    <xdr:to>
      <xdr:col>0</xdr:col>
      <xdr:colOff>304800</xdr:colOff>
      <xdr:row>276</xdr:row>
      <xdr:rowOff>133350</xdr:rowOff>
    </xdr:to>
    <xdr:sp>
      <xdr:nvSpPr>
        <xdr:cNvPr id="60" name="AutoShape 65" descr="/images/arrow_up.png"/>
        <xdr:cNvSpPr>
          <a:spLocks noChangeAspect="1" noChangeArrowheads="1"/>
        </xdr:cNvSpPr>
      </xdr:nvSpPr>
      <xdr:spPr>
        <a:xfrm>
          <a:off x="0" y="494061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309</xdr:row>
      <xdr:rowOff>0</xdr:rowOff>
    </xdr:from>
    <xdr:to>
      <xdr:col>0</xdr:col>
      <xdr:colOff>304800</xdr:colOff>
      <xdr:row>310</xdr:row>
      <xdr:rowOff>133350</xdr:rowOff>
    </xdr:to>
    <xdr:sp>
      <xdr:nvSpPr>
        <xdr:cNvPr id="61" name="AutoShape 66" descr="/images/arrow_up.png"/>
        <xdr:cNvSpPr>
          <a:spLocks noChangeAspect="1" noChangeArrowheads="1"/>
        </xdr:cNvSpPr>
      </xdr:nvSpPr>
      <xdr:spPr>
        <a:xfrm>
          <a:off x="0" y="55530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331</xdr:row>
      <xdr:rowOff>0</xdr:rowOff>
    </xdr:from>
    <xdr:to>
      <xdr:col>0</xdr:col>
      <xdr:colOff>304800</xdr:colOff>
      <xdr:row>332</xdr:row>
      <xdr:rowOff>133350</xdr:rowOff>
    </xdr:to>
    <xdr:sp>
      <xdr:nvSpPr>
        <xdr:cNvPr id="62" name="AutoShape 67" descr="/images/arrow_up.png"/>
        <xdr:cNvSpPr>
          <a:spLocks noChangeAspect="1" noChangeArrowheads="1"/>
        </xdr:cNvSpPr>
      </xdr:nvSpPr>
      <xdr:spPr>
        <a:xfrm>
          <a:off x="0" y="595026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355</xdr:row>
      <xdr:rowOff>0</xdr:rowOff>
    </xdr:from>
    <xdr:to>
      <xdr:col>0</xdr:col>
      <xdr:colOff>304800</xdr:colOff>
      <xdr:row>356</xdr:row>
      <xdr:rowOff>88900</xdr:rowOff>
    </xdr:to>
    <xdr:sp>
      <xdr:nvSpPr>
        <xdr:cNvPr id="63" name="AutoShape 68" descr="/images/arrow_up.png"/>
        <xdr:cNvSpPr>
          <a:spLocks noChangeAspect="1" noChangeArrowheads="1"/>
        </xdr:cNvSpPr>
      </xdr:nvSpPr>
      <xdr:spPr>
        <a:xfrm>
          <a:off x="0" y="63884175"/>
          <a:ext cx="304800" cy="3079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381</xdr:row>
      <xdr:rowOff>0</xdr:rowOff>
    </xdr:from>
    <xdr:to>
      <xdr:col>0</xdr:col>
      <xdr:colOff>304800</xdr:colOff>
      <xdr:row>382</xdr:row>
      <xdr:rowOff>133350</xdr:rowOff>
    </xdr:to>
    <xdr:sp>
      <xdr:nvSpPr>
        <xdr:cNvPr id="16453" name="AutoShape 69" descr="/images/arrow_up.png"/>
        <xdr:cNvSpPr>
          <a:spLocks noChangeAspect="1" noChangeArrowheads="1"/>
        </xdr:cNvSpPr>
      </xdr:nvSpPr>
      <xdr:spPr>
        <a:xfrm>
          <a:off x="0" y="68589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397</xdr:row>
      <xdr:rowOff>0</xdr:rowOff>
    </xdr:from>
    <xdr:to>
      <xdr:col>0</xdr:col>
      <xdr:colOff>304800</xdr:colOff>
      <xdr:row>398</xdr:row>
      <xdr:rowOff>133350</xdr:rowOff>
    </xdr:to>
    <xdr:sp>
      <xdr:nvSpPr>
        <xdr:cNvPr id="16454" name="AutoShape 70" descr="/images/arrow_up.png"/>
        <xdr:cNvSpPr>
          <a:spLocks noChangeAspect="1" noChangeArrowheads="1"/>
        </xdr:cNvSpPr>
      </xdr:nvSpPr>
      <xdr:spPr>
        <a:xfrm>
          <a:off x="0" y="71456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127000</xdr:rowOff>
    </xdr:to>
    <xdr:sp>
      <xdr:nvSpPr>
        <xdr:cNvPr id="16384" name="AutoShape 60" descr="/images/157x72bizsim.png">
          <a:hlinkClick xmlns:r="http://schemas.openxmlformats.org/officeDocument/2006/relationships" r:id="rId3"/>
        </xdr:cNvPr>
        <xdr:cNvSpPr>
          <a:spLocks noChangeAspect="1" noChangeArrowheads="1"/>
        </xdr:cNvSpPr>
      </xdr:nvSpPr>
      <xdr:spPr>
        <a:xfrm>
          <a:off x="0" y="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127000</xdr:rowOff>
    </xdr:to>
    <xdr:sp>
      <xdr:nvSpPr>
        <xdr:cNvPr id="16402" name="AutoShape 62" descr="/images/arrow_up.png"/>
        <xdr:cNvSpPr>
          <a:spLocks noChangeAspect="1" noChangeArrowheads="1"/>
        </xdr:cNvSpPr>
      </xdr:nvSpPr>
      <xdr:spPr>
        <a:xfrm>
          <a:off x="0" y="79057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127000</xdr:rowOff>
    </xdr:to>
    <xdr:sp>
      <xdr:nvSpPr>
        <xdr:cNvPr id="16403" name="AutoShape 63" descr="/images/arrow_up.png"/>
        <xdr:cNvSpPr>
          <a:spLocks noChangeAspect="1" noChangeArrowheads="1"/>
        </xdr:cNvSpPr>
      </xdr:nvSpPr>
      <xdr:spPr>
        <a:xfrm>
          <a:off x="0" y="100869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133350</xdr:rowOff>
    </xdr:to>
    <xdr:sp>
      <xdr:nvSpPr>
        <xdr:cNvPr id="16404" name="AutoShape 64" descr="/images/arrow_up.png"/>
        <xdr:cNvSpPr>
          <a:spLocks noChangeAspect="1" noChangeArrowheads="1"/>
        </xdr:cNvSpPr>
      </xdr:nvSpPr>
      <xdr:spPr>
        <a:xfrm>
          <a:off x="0" y="16840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121</xdr:row>
      <xdr:rowOff>0</xdr:rowOff>
    </xdr:from>
    <xdr:to>
      <xdr:col>0</xdr:col>
      <xdr:colOff>304800</xdr:colOff>
      <xdr:row>122</xdr:row>
      <xdr:rowOff>133350</xdr:rowOff>
    </xdr:to>
    <xdr:sp>
      <xdr:nvSpPr>
        <xdr:cNvPr id="16405" name="AutoShape 65" descr="/images/arrow_up.png"/>
        <xdr:cNvSpPr>
          <a:spLocks noChangeAspect="1" noChangeArrowheads="1"/>
        </xdr:cNvSpPr>
      </xdr:nvSpPr>
      <xdr:spPr>
        <a:xfrm>
          <a:off x="0" y="21545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190</xdr:row>
      <xdr:rowOff>0</xdr:rowOff>
    </xdr:from>
    <xdr:to>
      <xdr:col>0</xdr:col>
      <xdr:colOff>304800</xdr:colOff>
      <xdr:row>191</xdr:row>
      <xdr:rowOff>127000</xdr:rowOff>
    </xdr:to>
    <xdr:sp>
      <xdr:nvSpPr>
        <xdr:cNvPr id="16406" name="AutoShape 66" descr="/images/arrow_up.png"/>
        <xdr:cNvSpPr>
          <a:spLocks noChangeAspect="1" noChangeArrowheads="1"/>
        </xdr:cNvSpPr>
      </xdr:nvSpPr>
      <xdr:spPr>
        <a:xfrm>
          <a:off x="0" y="336518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216</xdr:row>
      <xdr:rowOff>0</xdr:rowOff>
    </xdr:from>
    <xdr:to>
      <xdr:col>0</xdr:col>
      <xdr:colOff>304800</xdr:colOff>
      <xdr:row>217</xdr:row>
      <xdr:rowOff>127000</xdr:rowOff>
    </xdr:to>
    <xdr:sp>
      <xdr:nvSpPr>
        <xdr:cNvPr id="16407" name="AutoShape 67" descr="/images/arrow_up.png"/>
        <xdr:cNvSpPr>
          <a:spLocks noChangeAspect="1" noChangeArrowheads="1"/>
        </xdr:cNvSpPr>
      </xdr:nvSpPr>
      <xdr:spPr>
        <a:xfrm>
          <a:off x="0" y="388334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250</xdr:row>
      <xdr:rowOff>0</xdr:rowOff>
    </xdr:from>
    <xdr:to>
      <xdr:col>0</xdr:col>
      <xdr:colOff>304800</xdr:colOff>
      <xdr:row>251</xdr:row>
      <xdr:rowOff>127000</xdr:rowOff>
    </xdr:to>
    <xdr:sp>
      <xdr:nvSpPr>
        <xdr:cNvPr id="16408" name="AutoShape 68" descr="/images/arrow_up.png"/>
        <xdr:cNvSpPr>
          <a:spLocks noChangeAspect="1" noChangeArrowheads="1"/>
        </xdr:cNvSpPr>
      </xdr:nvSpPr>
      <xdr:spPr>
        <a:xfrm>
          <a:off x="0" y="448722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272</xdr:row>
      <xdr:rowOff>0</xdr:rowOff>
    </xdr:from>
    <xdr:to>
      <xdr:col>0</xdr:col>
      <xdr:colOff>304800</xdr:colOff>
      <xdr:row>273</xdr:row>
      <xdr:rowOff>127000</xdr:rowOff>
    </xdr:to>
    <xdr:sp>
      <xdr:nvSpPr>
        <xdr:cNvPr id="16409" name="AutoShape 69" descr="/images/arrow_up.png"/>
        <xdr:cNvSpPr>
          <a:spLocks noChangeAspect="1" noChangeArrowheads="1"/>
        </xdr:cNvSpPr>
      </xdr:nvSpPr>
      <xdr:spPr>
        <a:xfrm>
          <a:off x="0" y="488918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296</xdr:row>
      <xdr:rowOff>0</xdr:rowOff>
    </xdr:from>
    <xdr:to>
      <xdr:col>0</xdr:col>
      <xdr:colOff>304800</xdr:colOff>
      <xdr:row>297</xdr:row>
      <xdr:rowOff>127000</xdr:rowOff>
    </xdr:to>
    <xdr:sp>
      <xdr:nvSpPr>
        <xdr:cNvPr id="16410" name="AutoShape 70" descr="/images/arrow_up.png"/>
        <xdr:cNvSpPr>
          <a:spLocks noChangeAspect="1" noChangeArrowheads="1"/>
        </xdr:cNvSpPr>
      </xdr:nvSpPr>
      <xdr:spPr>
        <a:xfrm>
          <a:off x="0" y="532257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127000</xdr:rowOff>
    </xdr:to>
    <xdr:sp>
      <xdr:nvSpPr>
        <xdr:cNvPr id="16455" name="AutoShape 71" descr="/images/arrow_up.png"/>
        <xdr:cNvSpPr>
          <a:spLocks noChangeAspect="1" noChangeArrowheads="1"/>
        </xdr:cNvSpPr>
      </xdr:nvSpPr>
      <xdr:spPr>
        <a:xfrm>
          <a:off x="0" y="577881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338</xdr:row>
      <xdr:rowOff>0</xdr:rowOff>
    </xdr:from>
    <xdr:to>
      <xdr:col>0</xdr:col>
      <xdr:colOff>304800</xdr:colOff>
      <xdr:row>339</xdr:row>
      <xdr:rowOff>127000</xdr:rowOff>
    </xdr:to>
    <xdr:sp>
      <xdr:nvSpPr>
        <xdr:cNvPr id="16456" name="AutoShape 72" descr="/images/arrow_up.png"/>
        <xdr:cNvSpPr>
          <a:spLocks noChangeAspect="1" noChangeArrowheads="1"/>
        </xdr:cNvSpPr>
      </xdr:nvSpPr>
      <xdr:spPr>
        <a:xfrm>
          <a:off x="0" y="607504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127000</xdr:rowOff>
    </xdr:to>
    <xdr:sp>
      <xdr:nvSpPr>
        <xdr:cNvPr id="16457" name="AutoShape 73" descr="/images/157x72bizsim.png">
          <a:hlinkClick xmlns:r="http://schemas.openxmlformats.org/officeDocument/2006/relationships" r:id="rId3"/>
        </xdr:cNvPr>
        <xdr:cNvSpPr>
          <a:spLocks noChangeAspect="1" noChangeArrowheads="1"/>
        </xdr:cNvSpPr>
      </xdr:nvSpPr>
      <xdr:spPr>
        <a:xfrm>
          <a:off x="0" y="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127000</xdr:rowOff>
    </xdr:to>
    <xdr:sp>
      <xdr:nvSpPr>
        <xdr:cNvPr id="16459" name="AutoShape 75" descr="/images/arrow_up.png"/>
        <xdr:cNvSpPr>
          <a:spLocks noChangeAspect="1" noChangeArrowheads="1"/>
        </xdr:cNvSpPr>
      </xdr:nvSpPr>
      <xdr:spPr>
        <a:xfrm>
          <a:off x="0" y="79057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127000</xdr:rowOff>
    </xdr:to>
    <xdr:sp>
      <xdr:nvSpPr>
        <xdr:cNvPr id="16460" name="AutoShape 76" descr="/images/arrow_up.png"/>
        <xdr:cNvSpPr>
          <a:spLocks noChangeAspect="1" noChangeArrowheads="1"/>
        </xdr:cNvSpPr>
      </xdr:nvSpPr>
      <xdr:spPr>
        <a:xfrm>
          <a:off x="0" y="100869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146</xdr:row>
      <xdr:rowOff>0</xdr:rowOff>
    </xdr:from>
    <xdr:to>
      <xdr:col>0</xdr:col>
      <xdr:colOff>304800</xdr:colOff>
      <xdr:row>147</xdr:row>
      <xdr:rowOff>133350</xdr:rowOff>
    </xdr:to>
    <xdr:sp>
      <xdr:nvSpPr>
        <xdr:cNvPr id="16461" name="AutoShape 77" descr="/images/arrow_up.png"/>
        <xdr:cNvSpPr>
          <a:spLocks noChangeAspect="1" noChangeArrowheads="1"/>
        </xdr:cNvSpPr>
      </xdr:nvSpPr>
      <xdr:spPr>
        <a:xfrm>
          <a:off x="0" y="258889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173</xdr:row>
      <xdr:rowOff>0</xdr:rowOff>
    </xdr:from>
    <xdr:to>
      <xdr:col>0</xdr:col>
      <xdr:colOff>304800</xdr:colOff>
      <xdr:row>174</xdr:row>
      <xdr:rowOff>127000</xdr:rowOff>
    </xdr:to>
    <xdr:sp>
      <xdr:nvSpPr>
        <xdr:cNvPr id="16462" name="AutoShape 78" descr="/images/arrow_up.png"/>
        <xdr:cNvSpPr>
          <a:spLocks noChangeAspect="1" noChangeArrowheads="1"/>
        </xdr:cNvSpPr>
      </xdr:nvSpPr>
      <xdr:spPr>
        <a:xfrm>
          <a:off x="0" y="306895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242</xdr:row>
      <xdr:rowOff>0</xdr:rowOff>
    </xdr:from>
    <xdr:to>
      <xdr:col>0</xdr:col>
      <xdr:colOff>304800</xdr:colOff>
      <xdr:row>243</xdr:row>
      <xdr:rowOff>127000</xdr:rowOff>
    </xdr:to>
    <xdr:sp>
      <xdr:nvSpPr>
        <xdr:cNvPr id="16463" name="AutoShape 79" descr="/images/arrow_up.png"/>
        <xdr:cNvSpPr>
          <a:spLocks noChangeAspect="1" noChangeArrowheads="1"/>
        </xdr:cNvSpPr>
      </xdr:nvSpPr>
      <xdr:spPr>
        <a:xfrm>
          <a:off x="0" y="434244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268</xdr:row>
      <xdr:rowOff>0</xdr:rowOff>
    </xdr:from>
    <xdr:to>
      <xdr:col>0</xdr:col>
      <xdr:colOff>304800</xdr:colOff>
      <xdr:row>269</xdr:row>
      <xdr:rowOff>127000</xdr:rowOff>
    </xdr:to>
    <xdr:sp>
      <xdr:nvSpPr>
        <xdr:cNvPr id="16464" name="AutoShape 80" descr="/images/arrow_up.png"/>
        <xdr:cNvSpPr>
          <a:spLocks noChangeAspect="1" noChangeArrowheads="1"/>
        </xdr:cNvSpPr>
      </xdr:nvSpPr>
      <xdr:spPr>
        <a:xfrm>
          <a:off x="0" y="481584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302</xdr:row>
      <xdr:rowOff>0</xdr:rowOff>
    </xdr:from>
    <xdr:to>
      <xdr:col>0</xdr:col>
      <xdr:colOff>304800</xdr:colOff>
      <xdr:row>303</xdr:row>
      <xdr:rowOff>127000</xdr:rowOff>
    </xdr:to>
    <xdr:sp>
      <xdr:nvSpPr>
        <xdr:cNvPr id="16465" name="AutoShape 81" descr="/images/arrow_up.png"/>
        <xdr:cNvSpPr>
          <a:spLocks noChangeAspect="1" noChangeArrowheads="1"/>
        </xdr:cNvSpPr>
      </xdr:nvSpPr>
      <xdr:spPr>
        <a:xfrm>
          <a:off x="0" y="543306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324</xdr:row>
      <xdr:rowOff>0</xdr:rowOff>
    </xdr:from>
    <xdr:to>
      <xdr:col>0</xdr:col>
      <xdr:colOff>304800</xdr:colOff>
      <xdr:row>325</xdr:row>
      <xdr:rowOff>127000</xdr:rowOff>
    </xdr:to>
    <xdr:sp>
      <xdr:nvSpPr>
        <xdr:cNvPr id="16466" name="AutoShape 82" descr="/images/arrow_up.png"/>
        <xdr:cNvSpPr>
          <a:spLocks noChangeAspect="1" noChangeArrowheads="1"/>
        </xdr:cNvSpPr>
      </xdr:nvSpPr>
      <xdr:spPr>
        <a:xfrm>
          <a:off x="0" y="582549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348</xdr:row>
      <xdr:rowOff>0</xdr:rowOff>
    </xdr:from>
    <xdr:to>
      <xdr:col>0</xdr:col>
      <xdr:colOff>304800</xdr:colOff>
      <xdr:row>349</xdr:row>
      <xdr:rowOff>127000</xdr:rowOff>
    </xdr:to>
    <xdr:sp>
      <xdr:nvSpPr>
        <xdr:cNvPr id="16467" name="AutoShape 83" descr="/images/arrow_up.png"/>
        <xdr:cNvSpPr>
          <a:spLocks noChangeAspect="1" noChangeArrowheads="1"/>
        </xdr:cNvSpPr>
      </xdr:nvSpPr>
      <xdr:spPr>
        <a:xfrm>
          <a:off x="0" y="626840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374</xdr:row>
      <xdr:rowOff>0</xdr:rowOff>
    </xdr:from>
    <xdr:to>
      <xdr:col>0</xdr:col>
      <xdr:colOff>304800</xdr:colOff>
      <xdr:row>375</xdr:row>
      <xdr:rowOff>127000</xdr:rowOff>
    </xdr:to>
    <xdr:sp>
      <xdr:nvSpPr>
        <xdr:cNvPr id="16468" name="AutoShape 84" descr="/images/arrow_up.png"/>
        <xdr:cNvSpPr>
          <a:spLocks noChangeAspect="1" noChangeArrowheads="1"/>
        </xdr:cNvSpPr>
      </xdr:nvSpPr>
      <xdr:spPr>
        <a:xfrm>
          <a:off x="0" y="673893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390</xdr:row>
      <xdr:rowOff>0</xdr:rowOff>
    </xdr:from>
    <xdr:to>
      <xdr:col>0</xdr:col>
      <xdr:colOff>304800</xdr:colOff>
      <xdr:row>391</xdr:row>
      <xdr:rowOff>127000</xdr:rowOff>
    </xdr:to>
    <xdr:sp>
      <xdr:nvSpPr>
        <xdr:cNvPr id="16469" name="AutoShape 85" descr="/images/arrow_up.png"/>
        <xdr:cNvSpPr>
          <a:spLocks noChangeAspect="1" noChangeArrowheads="1"/>
        </xdr:cNvSpPr>
      </xdr:nvSpPr>
      <xdr:spPr>
        <a:xfrm>
          <a:off x="0" y="701325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127000</xdr:rowOff>
    </xdr:to>
    <xdr:sp>
      <xdr:nvSpPr>
        <xdr:cNvPr id="16411" name="AutoShape 75" descr="/images/157x72bizsim.png">
          <a:hlinkClick xmlns:r="http://schemas.openxmlformats.org/officeDocument/2006/relationships" r:id="rId3"/>
        </xdr:cNvPr>
        <xdr:cNvSpPr>
          <a:spLocks noChangeAspect="1" noChangeArrowheads="1"/>
        </xdr:cNvSpPr>
      </xdr:nvSpPr>
      <xdr:spPr>
        <a:xfrm>
          <a:off x="0" y="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127000</xdr:rowOff>
    </xdr:to>
    <xdr:sp>
      <xdr:nvSpPr>
        <xdr:cNvPr id="16412" name="AutoShape 77" descr="/images/arrow_up.png"/>
        <xdr:cNvSpPr>
          <a:spLocks noChangeAspect="1" noChangeArrowheads="1"/>
        </xdr:cNvSpPr>
      </xdr:nvSpPr>
      <xdr:spPr>
        <a:xfrm>
          <a:off x="0" y="79057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127000</xdr:rowOff>
    </xdr:to>
    <xdr:sp>
      <xdr:nvSpPr>
        <xdr:cNvPr id="16413" name="AutoShape 78" descr="/images/arrow_up.png"/>
        <xdr:cNvSpPr>
          <a:spLocks noChangeAspect="1" noChangeArrowheads="1"/>
        </xdr:cNvSpPr>
      </xdr:nvSpPr>
      <xdr:spPr>
        <a:xfrm>
          <a:off x="0" y="100869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133350</xdr:rowOff>
    </xdr:to>
    <xdr:sp>
      <xdr:nvSpPr>
        <xdr:cNvPr id="16414" name="AutoShape 79" descr="/images/arrow_up.png"/>
        <xdr:cNvSpPr>
          <a:spLocks noChangeAspect="1" noChangeArrowheads="1"/>
        </xdr:cNvSpPr>
      </xdr:nvSpPr>
      <xdr:spPr>
        <a:xfrm>
          <a:off x="0" y="16840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121</xdr:row>
      <xdr:rowOff>0</xdr:rowOff>
    </xdr:from>
    <xdr:to>
      <xdr:col>0</xdr:col>
      <xdr:colOff>304800</xdr:colOff>
      <xdr:row>122</xdr:row>
      <xdr:rowOff>133350</xdr:rowOff>
    </xdr:to>
    <xdr:sp>
      <xdr:nvSpPr>
        <xdr:cNvPr id="16415" name="AutoShape 80" descr="/images/arrow_up.png"/>
        <xdr:cNvSpPr>
          <a:spLocks noChangeAspect="1" noChangeArrowheads="1"/>
        </xdr:cNvSpPr>
      </xdr:nvSpPr>
      <xdr:spPr>
        <a:xfrm>
          <a:off x="0" y="215455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190</xdr:row>
      <xdr:rowOff>0</xdr:rowOff>
    </xdr:from>
    <xdr:to>
      <xdr:col>0</xdr:col>
      <xdr:colOff>304800</xdr:colOff>
      <xdr:row>191</xdr:row>
      <xdr:rowOff>127000</xdr:rowOff>
    </xdr:to>
    <xdr:sp>
      <xdr:nvSpPr>
        <xdr:cNvPr id="16416" name="AutoShape 81" descr="/images/arrow_up.png"/>
        <xdr:cNvSpPr>
          <a:spLocks noChangeAspect="1" noChangeArrowheads="1"/>
        </xdr:cNvSpPr>
      </xdr:nvSpPr>
      <xdr:spPr>
        <a:xfrm>
          <a:off x="0" y="336518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216</xdr:row>
      <xdr:rowOff>0</xdr:rowOff>
    </xdr:from>
    <xdr:to>
      <xdr:col>0</xdr:col>
      <xdr:colOff>304800</xdr:colOff>
      <xdr:row>217</xdr:row>
      <xdr:rowOff>127000</xdr:rowOff>
    </xdr:to>
    <xdr:sp>
      <xdr:nvSpPr>
        <xdr:cNvPr id="16417" name="AutoShape 82" descr="/images/arrow_up.png"/>
        <xdr:cNvSpPr>
          <a:spLocks noChangeAspect="1" noChangeArrowheads="1"/>
        </xdr:cNvSpPr>
      </xdr:nvSpPr>
      <xdr:spPr>
        <a:xfrm>
          <a:off x="0" y="388334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250</xdr:row>
      <xdr:rowOff>0</xdr:rowOff>
    </xdr:from>
    <xdr:to>
      <xdr:col>0</xdr:col>
      <xdr:colOff>304800</xdr:colOff>
      <xdr:row>251</xdr:row>
      <xdr:rowOff>127000</xdr:rowOff>
    </xdr:to>
    <xdr:sp>
      <xdr:nvSpPr>
        <xdr:cNvPr id="16418" name="AutoShape 83" descr="/images/arrow_up.png"/>
        <xdr:cNvSpPr>
          <a:spLocks noChangeAspect="1" noChangeArrowheads="1"/>
        </xdr:cNvSpPr>
      </xdr:nvSpPr>
      <xdr:spPr>
        <a:xfrm>
          <a:off x="0" y="448722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272</xdr:row>
      <xdr:rowOff>0</xdr:rowOff>
    </xdr:from>
    <xdr:to>
      <xdr:col>0</xdr:col>
      <xdr:colOff>304800</xdr:colOff>
      <xdr:row>273</xdr:row>
      <xdr:rowOff>127000</xdr:rowOff>
    </xdr:to>
    <xdr:sp>
      <xdr:nvSpPr>
        <xdr:cNvPr id="16420" name="AutoShape 84" descr="/images/arrow_up.png"/>
        <xdr:cNvSpPr>
          <a:spLocks noChangeAspect="1" noChangeArrowheads="1"/>
        </xdr:cNvSpPr>
      </xdr:nvSpPr>
      <xdr:spPr>
        <a:xfrm>
          <a:off x="0" y="488918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296</xdr:row>
      <xdr:rowOff>0</xdr:rowOff>
    </xdr:from>
    <xdr:to>
      <xdr:col>0</xdr:col>
      <xdr:colOff>304800</xdr:colOff>
      <xdr:row>297</xdr:row>
      <xdr:rowOff>127000</xdr:rowOff>
    </xdr:to>
    <xdr:sp>
      <xdr:nvSpPr>
        <xdr:cNvPr id="16433" name="AutoShape 85" descr="/images/arrow_up.png"/>
        <xdr:cNvSpPr>
          <a:spLocks noChangeAspect="1" noChangeArrowheads="1"/>
        </xdr:cNvSpPr>
      </xdr:nvSpPr>
      <xdr:spPr>
        <a:xfrm>
          <a:off x="0" y="532257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127000</xdr:rowOff>
    </xdr:to>
    <xdr:sp>
      <xdr:nvSpPr>
        <xdr:cNvPr id="16470" name="AutoShape 86" descr="/images/arrow_up.png"/>
        <xdr:cNvSpPr>
          <a:spLocks noChangeAspect="1" noChangeArrowheads="1"/>
        </xdr:cNvSpPr>
      </xdr:nvSpPr>
      <xdr:spPr>
        <a:xfrm>
          <a:off x="0" y="577881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338</xdr:row>
      <xdr:rowOff>0</xdr:rowOff>
    </xdr:from>
    <xdr:to>
      <xdr:col>0</xdr:col>
      <xdr:colOff>304800</xdr:colOff>
      <xdr:row>339</xdr:row>
      <xdr:rowOff>127000</xdr:rowOff>
    </xdr:to>
    <xdr:sp>
      <xdr:nvSpPr>
        <xdr:cNvPr id="16471" name="AutoShape 87" descr="/images/arrow_up.png"/>
        <xdr:cNvSpPr>
          <a:spLocks noChangeAspect="1" noChangeArrowheads="1"/>
        </xdr:cNvSpPr>
      </xdr:nvSpPr>
      <xdr:spPr>
        <a:xfrm>
          <a:off x="0" y="607504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0</xdr:row>
      <xdr:rowOff>0</xdr:rowOff>
    </xdr:from>
    <xdr:to>
      <xdr:col>0</xdr:col>
      <xdr:colOff>304800</xdr:colOff>
      <xdr:row>1</xdr:row>
      <xdr:rowOff>127000</xdr:rowOff>
    </xdr:to>
    <xdr:sp>
      <xdr:nvSpPr>
        <xdr:cNvPr id="16458" name="AutoShape 77" descr="/images/157x72bizsim.png">
          <a:hlinkClick xmlns:r="http://schemas.openxmlformats.org/officeDocument/2006/relationships" r:id="rId3"/>
        </xdr:cNvPr>
        <xdr:cNvSpPr>
          <a:spLocks noChangeAspect="1" noChangeArrowheads="1"/>
        </xdr:cNvSpPr>
      </xdr:nvSpPr>
      <xdr:spPr>
        <a:xfrm>
          <a:off x="0" y="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127000</xdr:rowOff>
    </xdr:to>
    <xdr:sp>
      <xdr:nvSpPr>
        <xdr:cNvPr id="16472" name="AutoShape 79" descr="/images/arrow_up.png"/>
        <xdr:cNvSpPr>
          <a:spLocks noChangeAspect="1" noChangeArrowheads="1"/>
        </xdr:cNvSpPr>
      </xdr:nvSpPr>
      <xdr:spPr>
        <a:xfrm>
          <a:off x="0" y="77343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127000</xdr:rowOff>
    </xdr:to>
    <xdr:sp>
      <xdr:nvSpPr>
        <xdr:cNvPr id="16473" name="AutoShape 80" descr="/images/arrow_up.png"/>
        <xdr:cNvSpPr>
          <a:spLocks noChangeAspect="1" noChangeArrowheads="1"/>
        </xdr:cNvSpPr>
      </xdr:nvSpPr>
      <xdr:spPr>
        <a:xfrm>
          <a:off x="0" y="99155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165</xdr:row>
      <xdr:rowOff>0</xdr:rowOff>
    </xdr:from>
    <xdr:to>
      <xdr:col>0</xdr:col>
      <xdr:colOff>304800</xdr:colOff>
      <xdr:row>166</xdr:row>
      <xdr:rowOff>127000</xdr:rowOff>
    </xdr:to>
    <xdr:sp>
      <xdr:nvSpPr>
        <xdr:cNvPr id="16474" name="AutoShape 81" descr="/images/arrow_up.png"/>
        <xdr:cNvSpPr>
          <a:spLocks noChangeAspect="1" noChangeArrowheads="1"/>
        </xdr:cNvSpPr>
      </xdr:nvSpPr>
      <xdr:spPr>
        <a:xfrm>
          <a:off x="0" y="291465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192</xdr:row>
      <xdr:rowOff>0</xdr:rowOff>
    </xdr:from>
    <xdr:to>
      <xdr:col>0</xdr:col>
      <xdr:colOff>304800</xdr:colOff>
      <xdr:row>193</xdr:row>
      <xdr:rowOff>127000</xdr:rowOff>
    </xdr:to>
    <xdr:sp>
      <xdr:nvSpPr>
        <xdr:cNvPr id="16475" name="AutoShape 82" descr="/images/arrow_up.png"/>
        <xdr:cNvSpPr>
          <a:spLocks noChangeAspect="1" noChangeArrowheads="1"/>
        </xdr:cNvSpPr>
      </xdr:nvSpPr>
      <xdr:spPr>
        <a:xfrm>
          <a:off x="0" y="339947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261</xdr:row>
      <xdr:rowOff>0</xdr:rowOff>
    </xdr:from>
    <xdr:to>
      <xdr:col>0</xdr:col>
      <xdr:colOff>304800</xdr:colOff>
      <xdr:row>262</xdr:row>
      <xdr:rowOff>127000</xdr:rowOff>
    </xdr:to>
    <xdr:sp>
      <xdr:nvSpPr>
        <xdr:cNvPr id="16476" name="AutoShape 83" descr="/images/arrow_up.png"/>
        <xdr:cNvSpPr>
          <a:spLocks noChangeAspect="1" noChangeArrowheads="1"/>
        </xdr:cNvSpPr>
      </xdr:nvSpPr>
      <xdr:spPr>
        <a:xfrm>
          <a:off x="0" y="467868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287</xdr:row>
      <xdr:rowOff>0</xdr:rowOff>
    </xdr:from>
    <xdr:to>
      <xdr:col>0</xdr:col>
      <xdr:colOff>304800</xdr:colOff>
      <xdr:row>288</xdr:row>
      <xdr:rowOff>127000</xdr:rowOff>
    </xdr:to>
    <xdr:sp>
      <xdr:nvSpPr>
        <xdr:cNvPr id="16477" name="AutoShape 84" descr="/images/arrow_up.png"/>
        <xdr:cNvSpPr>
          <a:spLocks noChangeAspect="1" noChangeArrowheads="1"/>
        </xdr:cNvSpPr>
      </xdr:nvSpPr>
      <xdr:spPr>
        <a:xfrm>
          <a:off x="0" y="5146357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321</xdr:row>
      <xdr:rowOff>0</xdr:rowOff>
    </xdr:from>
    <xdr:to>
      <xdr:col>0</xdr:col>
      <xdr:colOff>304800</xdr:colOff>
      <xdr:row>322</xdr:row>
      <xdr:rowOff>127000</xdr:rowOff>
    </xdr:to>
    <xdr:sp>
      <xdr:nvSpPr>
        <xdr:cNvPr id="16478" name="AutoShape 85" descr="/images/arrow_up.png"/>
        <xdr:cNvSpPr>
          <a:spLocks noChangeAspect="1" noChangeArrowheads="1"/>
        </xdr:cNvSpPr>
      </xdr:nvSpPr>
      <xdr:spPr>
        <a:xfrm>
          <a:off x="0" y="576167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343</xdr:row>
      <xdr:rowOff>0</xdr:rowOff>
    </xdr:from>
    <xdr:to>
      <xdr:col>0</xdr:col>
      <xdr:colOff>304800</xdr:colOff>
      <xdr:row>344</xdr:row>
      <xdr:rowOff>127000</xdr:rowOff>
    </xdr:to>
    <xdr:sp>
      <xdr:nvSpPr>
        <xdr:cNvPr id="16479" name="AutoShape 86" descr="/images/arrow_up.png"/>
        <xdr:cNvSpPr>
          <a:spLocks noChangeAspect="1" noChangeArrowheads="1"/>
        </xdr:cNvSpPr>
      </xdr:nvSpPr>
      <xdr:spPr>
        <a:xfrm>
          <a:off x="0" y="616553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367</xdr:row>
      <xdr:rowOff>0</xdr:rowOff>
    </xdr:from>
    <xdr:to>
      <xdr:col>0</xdr:col>
      <xdr:colOff>304800</xdr:colOff>
      <xdr:row>368</xdr:row>
      <xdr:rowOff>127000</xdr:rowOff>
    </xdr:to>
    <xdr:sp>
      <xdr:nvSpPr>
        <xdr:cNvPr id="16480" name="AutoShape 87" descr="/images/arrow_up.png"/>
        <xdr:cNvSpPr>
          <a:spLocks noChangeAspect="1" noChangeArrowheads="1"/>
        </xdr:cNvSpPr>
      </xdr:nvSpPr>
      <xdr:spPr>
        <a:xfrm>
          <a:off x="0" y="6606540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393</xdr:row>
      <xdr:rowOff>0</xdr:rowOff>
    </xdr:from>
    <xdr:to>
      <xdr:col>0</xdr:col>
      <xdr:colOff>304800</xdr:colOff>
      <xdr:row>394</xdr:row>
      <xdr:rowOff>127000</xdr:rowOff>
    </xdr:to>
    <xdr:sp>
      <xdr:nvSpPr>
        <xdr:cNvPr id="16481" name="AutoShape 88" descr="/images/arrow_up.png"/>
        <xdr:cNvSpPr>
          <a:spLocks noChangeAspect="1" noChangeArrowheads="1"/>
        </xdr:cNvSpPr>
      </xdr:nvSpPr>
      <xdr:spPr>
        <a:xfrm>
          <a:off x="0" y="70646925"/>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409</xdr:row>
      <xdr:rowOff>0</xdr:rowOff>
    </xdr:from>
    <xdr:to>
      <xdr:col>0</xdr:col>
      <xdr:colOff>304800</xdr:colOff>
      <xdr:row>410</xdr:row>
      <xdr:rowOff>127000</xdr:rowOff>
    </xdr:to>
    <xdr:sp>
      <xdr:nvSpPr>
        <xdr:cNvPr id="16482" name="AutoShape 89" descr="/images/arrow_up.png"/>
        <xdr:cNvSpPr>
          <a:spLocks noChangeAspect="1" noChangeArrowheads="1"/>
        </xdr:cNvSpPr>
      </xdr:nvSpPr>
      <xdr:spPr>
        <a:xfrm>
          <a:off x="0" y="73513950"/>
          <a:ext cx="304800" cy="29845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4</xdr:col>
      <xdr:colOff>104775</xdr:colOff>
      <xdr:row>2</xdr:row>
      <xdr:rowOff>1906</xdr:rowOff>
    </xdr:from>
    <xdr:to>
      <xdr:col>4</xdr:col>
      <xdr:colOff>809625</xdr:colOff>
      <xdr:row>2</xdr:row>
      <xdr:rowOff>219076</xdr:rowOff>
    </xdr:to>
    <xdr:sp macro="[0]!登陆">
      <xdr:nvSpPr>
        <xdr:cNvPr id="2" name="AutoShape 1030"/>
        <xdr:cNvSpPr>
          <a:spLocks noChangeArrowheads="1"/>
        </xdr:cNvSpPr>
      </xdr:nvSpPr>
      <xdr:spPr>
        <a:xfrm>
          <a:off x="4598670" y="344805"/>
          <a:ext cx="704850" cy="217170"/>
        </a:xfrm>
        <a:prstGeom prst="roundRect">
          <a:avLst>
            <a:gd name="adj" fmla="val 16667"/>
          </a:avLst>
        </a:prstGeom>
        <a:solidFill>
          <a:srgbClr val="31869B">
            <a:alpha val="74001"/>
          </a:srgbClr>
        </a:solidFill>
        <a:ln w="9525">
          <a:solidFill>
            <a:srgbClr val="000000"/>
          </a:solidFill>
          <a:round/>
        </a:ln>
        <a:scene3d>
          <a:camera prst="orthographicFront"/>
          <a:lightRig rig="threePt" dir="t"/>
        </a:scene3d>
        <a:sp3d>
          <a:bevelT/>
        </a:sp3d>
      </xdr:spPr>
      <xdr:txBody>
        <a:bodyPr vertOverflow="clip" wrap="square" lIns="27432" tIns="18288" rIns="0" bIns="0" anchor="t" upright="1"/>
        <a:lstStyle/>
        <a:p>
          <a:pPr algn="ctr" rtl="0">
            <a:defRPr sz="1000"/>
          </a:pPr>
          <a:r>
            <a:rPr lang="zh-CN" altLang="en-US" sz="1100" b="0" i="0" u="none" strike="noStrike" baseline="0">
              <a:solidFill>
                <a:schemeClr val="bg1"/>
              </a:solidFill>
              <a:latin typeface="+mn-ea"/>
              <a:ea typeface="+mn-ea"/>
            </a:rPr>
            <a:t>登陆网址</a:t>
          </a:r>
          <a:endParaRPr lang="en-US" altLang="zh-CN" sz="1100" b="0" i="0" u="none" strike="noStrike" baseline="0">
            <a:solidFill>
              <a:schemeClr val="bg1"/>
            </a:solidFill>
            <a:latin typeface="+mn-ea"/>
            <a:ea typeface="+mn-ea"/>
          </a:endParaRPr>
        </a:p>
        <a:p>
          <a:pPr algn="l" rtl="0">
            <a:defRPr sz="1000"/>
          </a:pPr>
          <a:endParaRPr lang="zh-CN" altLang="en-US" sz="1100" b="0" i="0" u="none" strike="noStrike" baseline="0">
            <a:solidFill>
              <a:srgbClr val="000000"/>
            </a:solidFill>
            <a:latin typeface="宋体" panose="02010600030101010101" pitchFamily="7" charset="-122"/>
            <a:ea typeface="宋体" panose="02010600030101010101" pitchFamily="7" charset="-122"/>
          </a:endParaRPr>
        </a:p>
      </xdr:txBody>
    </xdr:sp>
    <xdr:clientData/>
  </xdr:twoCellAnchor>
  <xdr:twoCellAnchor>
    <xdr:from>
      <xdr:col>3</xdr:col>
      <xdr:colOff>373591</xdr:colOff>
      <xdr:row>1</xdr:row>
      <xdr:rowOff>166157</xdr:rowOff>
    </xdr:from>
    <xdr:to>
      <xdr:col>4</xdr:col>
      <xdr:colOff>6347</xdr:colOff>
      <xdr:row>2</xdr:row>
      <xdr:rowOff>232832</xdr:rowOff>
    </xdr:to>
    <xdr:sp macro="[0]!录入规则九年">
      <xdr:nvSpPr>
        <xdr:cNvPr id="4" name="AutoShape 1030"/>
        <xdr:cNvSpPr>
          <a:spLocks noChangeArrowheads="1"/>
        </xdr:cNvSpPr>
      </xdr:nvSpPr>
      <xdr:spPr>
        <a:xfrm>
          <a:off x="3784600" y="337185"/>
          <a:ext cx="715010" cy="238125"/>
        </a:xfrm>
        <a:prstGeom prst="roundRect">
          <a:avLst>
            <a:gd name="adj" fmla="val 16667"/>
          </a:avLst>
        </a:prstGeom>
        <a:solidFill>
          <a:srgbClr val="31869B">
            <a:alpha val="74000"/>
          </a:srgbClr>
        </a:solidFill>
        <a:ln w="9525">
          <a:solidFill>
            <a:srgbClr val="000000"/>
          </a:solidFill>
          <a:round/>
        </a:ln>
        <a:scene3d>
          <a:camera prst="orthographicFront"/>
          <a:lightRig rig="threePt" dir="t"/>
        </a:scene3d>
        <a:sp3d>
          <a:bevelT/>
        </a:sp3d>
      </xdr:spPr>
      <xdr:txBody>
        <a:bodyPr vertOverflow="clip" wrap="square" lIns="27432" tIns="18288" rIns="0" bIns="0" anchor="t" upright="1"/>
        <a:lstStyle/>
        <a:p>
          <a:pPr algn="ctr" rtl="0">
            <a:defRPr sz="1000"/>
          </a:pPr>
          <a:r>
            <a:rPr lang="zh-CN" altLang="en-US" sz="1100" b="0" i="0" u="none" strike="noStrike" baseline="0">
              <a:solidFill>
                <a:schemeClr val="bg1"/>
              </a:solidFill>
              <a:latin typeface="+mn-ea"/>
              <a:ea typeface="+mn-ea"/>
            </a:rPr>
            <a:t>抓取规则</a:t>
          </a:r>
          <a:endParaRPr lang="en-US" altLang="zh-CN" sz="1100" b="0" i="0" u="none" strike="noStrike" baseline="0">
            <a:solidFill>
              <a:schemeClr val="bg1"/>
            </a:solidFill>
            <a:latin typeface="+mn-ea"/>
            <a:ea typeface="+mn-ea"/>
          </a:endParaRPr>
        </a:p>
        <a:p>
          <a:pPr algn="l" rtl="0">
            <a:defRPr sz="1000"/>
          </a:pPr>
          <a:endParaRPr lang="zh-CN" altLang="en-US" sz="1100" b="0"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10</xdr:col>
      <xdr:colOff>427168</xdr:colOff>
      <xdr:row>8</xdr:row>
      <xdr:rowOff>131669</xdr:rowOff>
    </xdr:from>
    <xdr:to>
      <xdr:col>11</xdr:col>
      <xdr:colOff>537775</xdr:colOff>
      <xdr:row>10</xdr:row>
      <xdr:rowOff>93569</xdr:rowOff>
    </xdr:to>
    <xdr:sp macro="[0]!决策导入">
      <xdr:nvSpPr>
        <xdr:cNvPr id="2" name="AutoShape 3"/>
        <xdr:cNvSpPr>
          <a:spLocks noChangeArrowheads="1"/>
        </xdr:cNvSpPr>
      </xdr:nvSpPr>
      <xdr:spPr>
        <a:xfrm>
          <a:off x="7419340" y="1512570"/>
          <a:ext cx="756285" cy="333375"/>
        </a:xfrm>
        <a:prstGeom prst="plus">
          <a:avLst>
            <a:gd name="adj" fmla="val 25000"/>
          </a:avLst>
        </a:prstGeom>
        <a:solidFill>
          <a:srgbClr val="31869B"/>
        </a:solidFill>
        <a:ln w="9525" algn="ctr">
          <a:solidFill>
            <a:srgbClr val="000000">
              <a:alpha val="95000"/>
            </a:srgbClr>
          </a:solidFill>
          <a:miter lim="800000"/>
        </a:ln>
        <a:effectLst/>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确定</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10</xdr:col>
      <xdr:colOff>451223</xdr:colOff>
      <xdr:row>11</xdr:row>
      <xdr:rowOff>136713</xdr:rowOff>
    </xdr:from>
    <xdr:to>
      <xdr:col>11</xdr:col>
      <xdr:colOff>623036</xdr:colOff>
      <xdr:row>13</xdr:row>
      <xdr:rowOff>15022</xdr:rowOff>
    </xdr:to>
    <xdr:sp macro="[0]!初期报表粘贴">
      <xdr:nvSpPr>
        <xdr:cNvPr id="3" name="AutoShape 1036"/>
        <xdr:cNvSpPr>
          <a:spLocks noChangeArrowheads="1"/>
        </xdr:cNvSpPr>
      </xdr:nvSpPr>
      <xdr:spPr>
        <a:xfrm>
          <a:off x="7443470" y="2089150"/>
          <a:ext cx="817880" cy="249555"/>
        </a:xfrm>
        <a:prstGeom prst="roundRect">
          <a:avLst>
            <a:gd name="adj" fmla="val 16667"/>
          </a:avLst>
        </a:prstGeom>
        <a:solidFill>
          <a:srgbClr val="31869B"/>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粘贴初期</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10</xdr:col>
      <xdr:colOff>466165</xdr:colOff>
      <xdr:row>13</xdr:row>
      <xdr:rowOff>165101</xdr:rowOff>
    </xdr:from>
    <xdr:to>
      <xdr:col>15</xdr:col>
      <xdr:colOff>336178</xdr:colOff>
      <xdr:row>15</xdr:row>
      <xdr:rowOff>51174</xdr:rowOff>
    </xdr:to>
    <xdr:sp macro="[0]!懒癌晚期">
      <xdr:nvSpPr>
        <xdr:cNvPr id="4" name="AutoShape 1036"/>
        <xdr:cNvSpPr>
          <a:spLocks noChangeArrowheads="1"/>
        </xdr:cNvSpPr>
      </xdr:nvSpPr>
      <xdr:spPr>
        <a:xfrm>
          <a:off x="7458710" y="2489200"/>
          <a:ext cx="1330960" cy="228600"/>
        </a:xfrm>
        <a:prstGeom prst="roundRect">
          <a:avLst>
            <a:gd name="adj" fmla="val 16667"/>
          </a:avLst>
        </a:prstGeom>
        <a:solidFill>
          <a:srgbClr val="31869B"/>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当前期数一键搞定</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10</xdr:col>
      <xdr:colOff>466165</xdr:colOff>
      <xdr:row>15</xdr:row>
      <xdr:rowOff>95997</xdr:rowOff>
    </xdr:from>
    <xdr:to>
      <xdr:col>15</xdr:col>
      <xdr:colOff>313765</xdr:colOff>
      <xdr:row>16</xdr:row>
      <xdr:rowOff>159870</xdr:rowOff>
    </xdr:to>
    <xdr:sp macro="[0]!所有一键录入">
      <xdr:nvSpPr>
        <xdr:cNvPr id="5" name="AutoShape 1036"/>
        <xdr:cNvSpPr>
          <a:spLocks noChangeArrowheads="1"/>
        </xdr:cNvSpPr>
      </xdr:nvSpPr>
      <xdr:spPr>
        <a:xfrm>
          <a:off x="7458710" y="2762885"/>
          <a:ext cx="1308735" cy="234950"/>
        </a:xfrm>
        <a:prstGeom prst="roundRect">
          <a:avLst>
            <a:gd name="adj" fmla="val 16667"/>
          </a:avLst>
        </a:prstGeom>
        <a:solidFill>
          <a:srgbClr val="31869B"/>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en-US" altLang="zh-CN" sz="1100" b="1" i="0" u="none" strike="noStrike" baseline="0">
              <a:solidFill>
                <a:schemeClr val="bg1"/>
              </a:solidFill>
              <a:latin typeface="宋体" panose="02010600030101010101" pitchFamily="7" charset="-122"/>
              <a:ea typeface="宋体" panose="02010600030101010101" pitchFamily="7" charset="-122"/>
            </a:rPr>
            <a:t>7</a:t>
          </a:r>
          <a:r>
            <a:rPr lang="zh-CN" altLang="en-US" sz="1100" b="1" i="0" u="none" strike="noStrike" baseline="0">
              <a:solidFill>
                <a:schemeClr val="bg1"/>
              </a:solidFill>
              <a:latin typeface="宋体" panose="02010600030101010101" pitchFamily="7" charset="-122"/>
              <a:ea typeface="宋体" panose="02010600030101010101" pitchFamily="7" charset="-122"/>
            </a:rPr>
            <a:t>期所有一键搞定</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8</xdr:col>
      <xdr:colOff>85725</xdr:colOff>
      <xdr:row>6</xdr:row>
      <xdr:rowOff>66675</xdr:rowOff>
    </xdr:from>
    <xdr:to>
      <xdr:col>9</xdr:col>
      <xdr:colOff>600075</xdr:colOff>
      <xdr:row>7</xdr:row>
      <xdr:rowOff>123826</xdr:rowOff>
    </xdr:to>
    <xdr:sp macro="[0]!一键测量废品系数">
      <xdr:nvSpPr>
        <xdr:cNvPr id="2" name="AutoShape 1030"/>
        <xdr:cNvSpPr>
          <a:spLocks noChangeArrowheads="1"/>
        </xdr:cNvSpPr>
      </xdr:nvSpPr>
      <xdr:spPr>
        <a:xfrm>
          <a:off x="5252085" y="1115695"/>
          <a:ext cx="1166495" cy="228600"/>
        </a:xfrm>
        <a:prstGeom prst="roundRect">
          <a:avLst>
            <a:gd name="adj" fmla="val 16667"/>
          </a:avLst>
        </a:prstGeom>
        <a:solidFill>
          <a:srgbClr val="538DD5">
            <a:alpha val="74000"/>
          </a:srgbClr>
        </a:solidFill>
        <a:ln w="9525">
          <a:solidFill>
            <a:srgbClr val="000000"/>
          </a:solidFill>
          <a:round/>
        </a:ln>
        <a:scene3d>
          <a:camera prst="orthographicFront"/>
          <a:lightRig rig="threePt" dir="t"/>
        </a:scene3d>
        <a:sp3d>
          <a:bevelT/>
        </a:sp3d>
      </xdr:spPr>
      <xdr:txBody>
        <a:bodyPr vertOverflow="clip" wrap="square" lIns="27432" tIns="18288" rIns="0" bIns="0" anchor="t" upright="1"/>
        <a:lstStyle/>
        <a:p>
          <a:pPr algn="l" rtl="0">
            <a:defRPr sz="1000"/>
          </a:pPr>
          <a:r>
            <a:rPr lang="zh-CN" altLang="en-US" sz="1100" b="0" i="0" u="none" strike="noStrike" baseline="0">
              <a:solidFill>
                <a:schemeClr val="bg1"/>
              </a:solidFill>
              <a:latin typeface="宋体" panose="02010600030101010101" pitchFamily="7" charset="-122"/>
              <a:ea typeface="宋体" panose="02010600030101010101" pitchFamily="7" charset="-122"/>
            </a:rPr>
            <a:t>抓取前八期成品率</a:t>
          </a:r>
          <a:endParaRPr lang="en-US" altLang="zh-CN" sz="1100" b="0" i="0" u="none" strike="noStrike" baseline="0">
            <a:solidFill>
              <a:schemeClr val="bg1"/>
            </a:solidFill>
            <a:latin typeface="宋体" panose="02010600030101010101" pitchFamily="7" charset="-122"/>
            <a:ea typeface="宋体" panose="02010600030101010101" pitchFamily="7" charset="-122"/>
          </a:endParaRPr>
        </a:p>
        <a:p>
          <a:pPr algn="l" rtl="0">
            <a:defRPr sz="1000"/>
          </a:pPr>
          <a:endParaRPr lang="zh-CN" altLang="en-US" sz="1100" b="0"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430</xdr:row>
      <xdr:rowOff>0</xdr:rowOff>
    </xdr:from>
    <xdr:to>
      <xdr:col>0</xdr:col>
      <xdr:colOff>167005</xdr:colOff>
      <xdr:row>430</xdr:row>
      <xdr:rowOff>144780</xdr:rowOff>
    </xdr:to>
    <xdr:pic>
      <xdr:nvPicPr>
        <xdr:cNvPr id="3094" name="Picture 1025" hidden="1"/>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095" name="Picture 1040" hidden="1"/>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096" name="Picture 1041" hidden="1"/>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547</xdr:row>
      <xdr:rowOff>0</xdr:rowOff>
    </xdr:from>
    <xdr:to>
      <xdr:col>0</xdr:col>
      <xdr:colOff>167005</xdr:colOff>
      <xdr:row>547</xdr:row>
      <xdr:rowOff>144780</xdr:rowOff>
    </xdr:to>
    <xdr:pic>
      <xdr:nvPicPr>
        <xdr:cNvPr id="3097" name="Picture 1042"/>
        <xdr:cNvPicPr>
          <a:picLocks noGrp="1" noChangeAspect="1"/>
        </xdr:cNvPicPr>
      </xdr:nvPicPr>
      <xdr:blipFill>
        <a:blip r:embed="rId1"/>
        <a:stretch>
          <a:fillRect/>
        </a:stretch>
      </xdr:blipFill>
      <xdr:spPr>
        <a:xfrm>
          <a:off x="0" y="937831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098" name="Picture 1043"/>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547</xdr:row>
      <xdr:rowOff>0</xdr:rowOff>
    </xdr:from>
    <xdr:to>
      <xdr:col>0</xdr:col>
      <xdr:colOff>167005</xdr:colOff>
      <xdr:row>547</xdr:row>
      <xdr:rowOff>144780</xdr:rowOff>
    </xdr:to>
    <xdr:pic>
      <xdr:nvPicPr>
        <xdr:cNvPr id="3099" name="Picture 1044"/>
        <xdr:cNvPicPr>
          <a:picLocks noGrp="1" noChangeAspect="1"/>
        </xdr:cNvPicPr>
      </xdr:nvPicPr>
      <xdr:blipFill>
        <a:blip r:embed="rId1"/>
        <a:stretch>
          <a:fillRect/>
        </a:stretch>
      </xdr:blipFill>
      <xdr:spPr>
        <a:xfrm>
          <a:off x="0" y="937831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00" name="Picture 1045"/>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01" name="Picture 1046"/>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02" name="Picture 1047"/>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547</xdr:row>
      <xdr:rowOff>0</xdr:rowOff>
    </xdr:from>
    <xdr:to>
      <xdr:col>0</xdr:col>
      <xdr:colOff>167005</xdr:colOff>
      <xdr:row>547</xdr:row>
      <xdr:rowOff>144780</xdr:rowOff>
    </xdr:to>
    <xdr:pic>
      <xdr:nvPicPr>
        <xdr:cNvPr id="3103" name="Picture 1048"/>
        <xdr:cNvPicPr>
          <a:picLocks noGrp="1" noChangeAspect="1"/>
        </xdr:cNvPicPr>
      </xdr:nvPicPr>
      <xdr:blipFill>
        <a:blip r:embed="rId1"/>
        <a:stretch>
          <a:fillRect/>
        </a:stretch>
      </xdr:blipFill>
      <xdr:spPr>
        <a:xfrm>
          <a:off x="0" y="937831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04" name="Picture 1049"/>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05" name="Picture 105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06" name="Picture 1051"/>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07" name="Picture 1052"/>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08" name="Picture 1053"/>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09" name="Picture 1054"/>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547</xdr:row>
      <xdr:rowOff>0</xdr:rowOff>
    </xdr:from>
    <xdr:to>
      <xdr:col>0</xdr:col>
      <xdr:colOff>167005</xdr:colOff>
      <xdr:row>547</xdr:row>
      <xdr:rowOff>144780</xdr:rowOff>
    </xdr:to>
    <xdr:pic>
      <xdr:nvPicPr>
        <xdr:cNvPr id="3110" name="Picture 1055"/>
        <xdr:cNvPicPr>
          <a:picLocks noGrp="1" noChangeAspect="1"/>
        </xdr:cNvPicPr>
      </xdr:nvPicPr>
      <xdr:blipFill>
        <a:blip r:embed="rId1"/>
        <a:stretch>
          <a:fillRect/>
        </a:stretch>
      </xdr:blipFill>
      <xdr:spPr>
        <a:xfrm>
          <a:off x="0" y="937831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11" name="Picture 1056"/>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12" name="Picture 1057"/>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13" name="Picture 1058"/>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14" name="Picture 1059"/>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15" name="Picture 106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16" name="Picture 1061"/>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17" name="Picture 1062"/>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18" name="Picture 1063"/>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19" name="Picture 1064"/>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20" name="Picture 1065"/>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547</xdr:row>
      <xdr:rowOff>0</xdr:rowOff>
    </xdr:from>
    <xdr:to>
      <xdr:col>0</xdr:col>
      <xdr:colOff>167005</xdr:colOff>
      <xdr:row>547</xdr:row>
      <xdr:rowOff>144780</xdr:rowOff>
    </xdr:to>
    <xdr:pic>
      <xdr:nvPicPr>
        <xdr:cNvPr id="3121" name="Picture 1066"/>
        <xdr:cNvPicPr>
          <a:picLocks noGrp="1" noChangeAspect="1"/>
        </xdr:cNvPicPr>
      </xdr:nvPicPr>
      <xdr:blipFill>
        <a:blip r:embed="rId1"/>
        <a:stretch>
          <a:fillRect/>
        </a:stretch>
      </xdr:blipFill>
      <xdr:spPr>
        <a:xfrm>
          <a:off x="0" y="937831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22" name="Picture 1067"/>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23" name="Picture 1068"/>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24" name="Picture 1069"/>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25" name="Picture 107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26" name="Picture 1071"/>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27" name="Picture 1072"/>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28" name="Picture 1073"/>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29" name="Picture 1074"/>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30" name="Picture 1075"/>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31" name="Picture 1076"/>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32" name="Picture 1077"/>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33" name="Picture 1078"/>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34" name="Picture 1079"/>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35" name="Picture 108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36" name="Picture 1081"/>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547</xdr:row>
      <xdr:rowOff>0</xdr:rowOff>
    </xdr:from>
    <xdr:to>
      <xdr:col>0</xdr:col>
      <xdr:colOff>167005</xdr:colOff>
      <xdr:row>547</xdr:row>
      <xdr:rowOff>144780</xdr:rowOff>
    </xdr:to>
    <xdr:pic>
      <xdr:nvPicPr>
        <xdr:cNvPr id="3137" name="Picture 1082"/>
        <xdr:cNvPicPr>
          <a:picLocks noGrp="1" noChangeAspect="1"/>
        </xdr:cNvPicPr>
      </xdr:nvPicPr>
      <xdr:blipFill>
        <a:blip r:embed="rId1"/>
        <a:stretch>
          <a:fillRect/>
        </a:stretch>
      </xdr:blipFill>
      <xdr:spPr>
        <a:xfrm>
          <a:off x="0" y="937831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38" name="Picture 1083"/>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39" name="Picture 1084"/>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40" name="Picture 1085"/>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41" name="Picture 1086"/>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42" name="Picture 1087"/>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43" name="Picture 1088"/>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44" name="Picture 1089"/>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45" name="Picture 109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46" name="Picture 1091"/>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47" name="Picture 1092"/>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48" name="Picture 1093"/>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49" name="Picture 1094"/>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50" name="Picture 1095"/>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51" name="Picture 1096"/>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52" name="Picture 1097"/>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53" name="Picture 1098"/>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54" name="Picture 1099"/>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55" name="Picture 110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56" name="Picture 1101"/>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57" name="Picture 1102"/>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58" name="Picture 1103"/>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547</xdr:row>
      <xdr:rowOff>0</xdr:rowOff>
    </xdr:from>
    <xdr:to>
      <xdr:col>0</xdr:col>
      <xdr:colOff>167005</xdr:colOff>
      <xdr:row>547</xdr:row>
      <xdr:rowOff>144780</xdr:rowOff>
    </xdr:to>
    <xdr:pic>
      <xdr:nvPicPr>
        <xdr:cNvPr id="3159" name="Picture 1104"/>
        <xdr:cNvPicPr>
          <a:picLocks noGrp="1" noChangeAspect="1"/>
        </xdr:cNvPicPr>
      </xdr:nvPicPr>
      <xdr:blipFill>
        <a:blip r:embed="rId1"/>
        <a:stretch>
          <a:fillRect/>
        </a:stretch>
      </xdr:blipFill>
      <xdr:spPr>
        <a:xfrm>
          <a:off x="0" y="937831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60" name="Picture 1105"/>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61" name="Picture 1106"/>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62" name="Picture 1107"/>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63" name="Picture 1108"/>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64" name="Picture 1109"/>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65" name="Picture 1110"/>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66" name="Picture 1111"/>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67" name="Picture 1112"/>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68" name="Picture 1113"/>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69" name="Picture 1114"/>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70" name="Picture 1115"/>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71" name="Picture 1116"/>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72" name="Picture 1117"/>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73" name="Picture 1118"/>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74" name="Picture 1119"/>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75" name="Picture 112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76" name="Picture 1121"/>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77" name="Picture 1122"/>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78" name="Picture 1123"/>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79" name="Picture 1124"/>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80" name="Picture 1125"/>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81" name="Picture 1126"/>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82" name="Picture 1127"/>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83" name="Picture 1128"/>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84" name="Picture 1129"/>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85" name="Picture 113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86" name="Picture 1131"/>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87" name="Picture 1132"/>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547</xdr:row>
      <xdr:rowOff>0</xdr:rowOff>
    </xdr:from>
    <xdr:to>
      <xdr:col>0</xdr:col>
      <xdr:colOff>167005</xdr:colOff>
      <xdr:row>547</xdr:row>
      <xdr:rowOff>144780</xdr:rowOff>
    </xdr:to>
    <xdr:pic>
      <xdr:nvPicPr>
        <xdr:cNvPr id="3188" name="Picture 1133"/>
        <xdr:cNvPicPr>
          <a:picLocks noGrp="1" noChangeAspect="1"/>
        </xdr:cNvPicPr>
      </xdr:nvPicPr>
      <xdr:blipFill>
        <a:blip r:embed="rId1"/>
        <a:stretch>
          <a:fillRect/>
        </a:stretch>
      </xdr:blipFill>
      <xdr:spPr>
        <a:xfrm>
          <a:off x="0" y="937831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89" name="Picture 1134"/>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90" name="Picture 1135"/>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91" name="Picture 1136"/>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92" name="Picture 1137"/>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93" name="Picture 1138"/>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94" name="Picture 1139"/>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95" name="Picture 114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96" name="Picture 1141"/>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97" name="Picture 1142"/>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198" name="Picture 1143"/>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199" name="Picture 1144"/>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00" name="Picture 1145"/>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01" name="Picture 1146"/>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02" name="Picture 1147"/>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203" name="Picture 1148"/>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04" name="Picture 1149"/>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05" name="Picture 115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06" name="Picture 1151"/>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07" name="Picture 1152"/>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08" name="Picture 1153"/>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209" name="Picture 1154"/>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10" name="Picture 1155"/>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11" name="Picture 1156"/>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12" name="Picture 1157"/>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13" name="Picture 1158"/>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14" name="Picture 1159"/>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15" name="Picture 1160"/>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216" name="Picture 1161"/>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17" name="Picture 1162"/>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18" name="Picture 1163"/>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19" name="Picture 1164"/>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20" name="Picture 1165"/>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21" name="Picture 1166"/>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22" name="Picture 1167"/>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313</xdr:row>
      <xdr:rowOff>0</xdr:rowOff>
    </xdr:from>
    <xdr:to>
      <xdr:col>0</xdr:col>
      <xdr:colOff>167005</xdr:colOff>
      <xdr:row>313</xdr:row>
      <xdr:rowOff>144780</xdr:rowOff>
    </xdr:to>
    <xdr:pic>
      <xdr:nvPicPr>
        <xdr:cNvPr id="3223" name="Picture 1168"/>
        <xdr:cNvPicPr>
          <a:picLocks noGrp="1" noChangeAspect="1"/>
        </xdr:cNvPicPr>
      </xdr:nvPicPr>
      <xdr:blipFill>
        <a:blip r:embed="rId1"/>
        <a:stretch>
          <a:fillRect/>
        </a:stretch>
      </xdr:blipFill>
      <xdr:spPr>
        <a:xfrm>
          <a:off x="0" y="53663850"/>
          <a:ext cx="167005" cy="144780"/>
        </a:xfrm>
        <a:prstGeom prst="rect">
          <a:avLst/>
        </a:prstGeom>
        <a:noFill/>
        <a:ln w="9525">
          <a:noFill/>
        </a:ln>
      </xdr:spPr>
    </xdr:pic>
    <xdr:clientData/>
  </xdr:twoCellAnchor>
  <xdr:twoCellAnchor editAs="oneCell">
    <xdr:from>
      <xdr:col>0</xdr:col>
      <xdr:colOff>0</xdr:colOff>
      <xdr:row>430</xdr:row>
      <xdr:rowOff>0</xdr:rowOff>
    </xdr:from>
    <xdr:to>
      <xdr:col>0</xdr:col>
      <xdr:colOff>167005</xdr:colOff>
      <xdr:row>430</xdr:row>
      <xdr:rowOff>144780</xdr:rowOff>
    </xdr:to>
    <xdr:pic>
      <xdr:nvPicPr>
        <xdr:cNvPr id="3224" name="Picture 1169"/>
        <xdr:cNvPicPr>
          <a:picLocks noGrp="1" noChangeAspect="1"/>
        </xdr:cNvPicPr>
      </xdr:nvPicPr>
      <xdr:blipFill>
        <a:blip r:embed="rId1"/>
        <a:stretch>
          <a:fillRect/>
        </a:stretch>
      </xdr:blipFill>
      <xdr:spPr>
        <a:xfrm>
          <a:off x="0" y="73723500"/>
          <a:ext cx="167005" cy="144780"/>
        </a:xfrm>
        <a:prstGeom prst="rect">
          <a:avLst/>
        </a:prstGeom>
        <a:noFill/>
        <a:ln w="9525">
          <a:noFill/>
        </a:ln>
      </xdr:spPr>
    </xdr:pic>
    <xdr:clientData/>
  </xdr:twoCellAnchor>
  <xdr:twoCellAnchor>
    <xdr:from>
      <xdr:col>4</xdr:col>
      <xdr:colOff>1102178</xdr:colOff>
      <xdr:row>3</xdr:row>
      <xdr:rowOff>90715</xdr:rowOff>
    </xdr:from>
    <xdr:to>
      <xdr:col>5</xdr:col>
      <xdr:colOff>960210</xdr:colOff>
      <xdr:row>5</xdr:row>
      <xdr:rowOff>31297</xdr:rowOff>
    </xdr:to>
    <xdr:sp macro="[0]!初期报表粘贴">
      <xdr:nvSpPr>
        <xdr:cNvPr id="3" name="AutoShape 1030"/>
        <xdr:cNvSpPr>
          <a:spLocks noChangeArrowheads="1"/>
        </xdr:cNvSpPr>
      </xdr:nvSpPr>
      <xdr:spPr>
        <a:xfrm>
          <a:off x="5948045" y="604520"/>
          <a:ext cx="999490" cy="283845"/>
        </a:xfrm>
        <a:prstGeom prst="roundRect">
          <a:avLst>
            <a:gd name="adj" fmla="val 16667"/>
          </a:avLst>
        </a:prstGeom>
        <a:solidFill>
          <a:srgbClr val="31869B">
            <a:alpha val="74000"/>
          </a:srgbClr>
        </a:solidFill>
        <a:ln w="9525">
          <a:solidFill>
            <a:srgbClr val="000000"/>
          </a:solidFill>
          <a:round/>
        </a:ln>
        <a:scene3d>
          <a:camera prst="orthographicFront"/>
          <a:lightRig rig="threePt" dir="t"/>
        </a:scene3d>
        <a:sp3d>
          <a:bevelT/>
        </a:sp3d>
      </xdr:spPr>
      <xdr:txBody>
        <a:bodyPr vertOverflow="clip" wrap="square" lIns="27432" tIns="18288" rIns="0" bIns="0" anchor="t" upright="1"/>
        <a:lstStyle/>
        <a:p>
          <a:pPr algn="l"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初期报表粘贴</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a:p>
          <a:pPr algn="l" rtl="0">
            <a:defRPr sz="1000"/>
          </a:pP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12</xdr:col>
      <xdr:colOff>33020</xdr:colOff>
      <xdr:row>4</xdr:row>
      <xdr:rowOff>152218</xdr:rowOff>
    </xdr:from>
    <xdr:to>
      <xdr:col>13</xdr:col>
      <xdr:colOff>2993</xdr:colOff>
      <xdr:row>5</xdr:row>
      <xdr:rowOff>152219</xdr:rowOff>
    </xdr:to>
    <xdr:sp macro="[0]!研发A">
      <xdr:nvSpPr>
        <xdr:cNvPr id="2" name="AutoShape 1032"/>
        <xdr:cNvSpPr>
          <a:spLocks noChangeArrowheads="1"/>
        </xdr:cNvSpPr>
      </xdr:nvSpPr>
      <xdr:spPr>
        <a:xfrm>
          <a:off x="11316335" y="964565"/>
          <a:ext cx="804545" cy="203200"/>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A</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31297</xdr:colOff>
      <xdr:row>5</xdr:row>
      <xdr:rowOff>173808</xdr:rowOff>
    </xdr:from>
    <xdr:to>
      <xdr:col>13</xdr:col>
      <xdr:colOff>1270</xdr:colOff>
      <xdr:row>7</xdr:row>
      <xdr:rowOff>8073</xdr:rowOff>
    </xdr:to>
    <xdr:sp macro="[0]!研发B">
      <xdr:nvSpPr>
        <xdr:cNvPr id="3" name="AutoShape 1033"/>
        <xdr:cNvSpPr>
          <a:spLocks noChangeArrowheads="1"/>
        </xdr:cNvSpPr>
      </xdr:nvSpPr>
      <xdr:spPr>
        <a:xfrm>
          <a:off x="11314430" y="1189355"/>
          <a:ext cx="805180" cy="240665"/>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B</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46990</xdr:colOff>
      <xdr:row>7</xdr:row>
      <xdr:rowOff>30569</xdr:rowOff>
    </xdr:from>
    <xdr:to>
      <xdr:col>13</xdr:col>
      <xdr:colOff>12427</xdr:colOff>
      <xdr:row>8</xdr:row>
      <xdr:rowOff>64043</xdr:rowOff>
    </xdr:to>
    <xdr:sp macro="[0]!研发C">
      <xdr:nvSpPr>
        <xdr:cNvPr id="4" name="AutoShape 1034"/>
        <xdr:cNvSpPr>
          <a:spLocks noChangeArrowheads="1"/>
        </xdr:cNvSpPr>
      </xdr:nvSpPr>
      <xdr:spPr>
        <a:xfrm>
          <a:off x="11330305" y="1452880"/>
          <a:ext cx="800100" cy="236220"/>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C</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25219</xdr:colOff>
      <xdr:row>8</xdr:row>
      <xdr:rowOff>63409</xdr:rowOff>
    </xdr:from>
    <xdr:to>
      <xdr:col>13</xdr:col>
      <xdr:colOff>1542</xdr:colOff>
      <xdr:row>9</xdr:row>
      <xdr:rowOff>77018</xdr:rowOff>
    </xdr:to>
    <xdr:sp macro="[0]!研发D">
      <xdr:nvSpPr>
        <xdr:cNvPr id="5" name="AutoShape 1035"/>
        <xdr:cNvSpPr>
          <a:spLocks noChangeArrowheads="1"/>
        </xdr:cNvSpPr>
      </xdr:nvSpPr>
      <xdr:spPr>
        <a:xfrm>
          <a:off x="11308080" y="1688465"/>
          <a:ext cx="811530" cy="217170"/>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D</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35197</xdr:colOff>
      <xdr:row>9</xdr:row>
      <xdr:rowOff>102779</xdr:rowOff>
    </xdr:from>
    <xdr:to>
      <xdr:col>13</xdr:col>
      <xdr:colOff>634</xdr:colOff>
      <xdr:row>10</xdr:row>
      <xdr:rowOff>134075</xdr:rowOff>
    </xdr:to>
    <xdr:sp macro="[0]!清除研发">
      <xdr:nvSpPr>
        <xdr:cNvPr id="6" name="AutoShape 1036"/>
        <xdr:cNvSpPr>
          <a:spLocks noChangeArrowheads="1"/>
        </xdr:cNvSpPr>
      </xdr:nvSpPr>
      <xdr:spPr>
        <a:xfrm>
          <a:off x="11318240" y="1931035"/>
          <a:ext cx="800100" cy="234950"/>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清除研发</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131445</xdr:colOff>
      <xdr:row>17</xdr:row>
      <xdr:rowOff>2721</xdr:rowOff>
    </xdr:from>
    <xdr:to>
      <xdr:col>11</xdr:col>
      <xdr:colOff>837565</xdr:colOff>
      <xdr:row>18</xdr:row>
      <xdr:rowOff>64135</xdr:rowOff>
    </xdr:to>
    <xdr:sp macro="[0]!必要辞退">
      <xdr:nvSpPr>
        <xdr:cNvPr id="7" name="AutoShape 1037"/>
        <xdr:cNvSpPr>
          <a:spLocks noChangeArrowheads="1"/>
        </xdr:cNvSpPr>
      </xdr:nvSpPr>
      <xdr:spPr>
        <a:xfrm>
          <a:off x="10097135" y="3456940"/>
          <a:ext cx="706120" cy="264795"/>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必要辞退</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137160</xdr:colOff>
      <xdr:row>18</xdr:row>
      <xdr:rowOff>87630</xdr:rowOff>
    </xdr:from>
    <xdr:to>
      <xdr:col>11</xdr:col>
      <xdr:colOff>822960</xdr:colOff>
      <xdr:row>19</xdr:row>
      <xdr:rowOff>143659</xdr:rowOff>
    </xdr:to>
    <xdr:sp macro="[0]!最大雇佣">
      <xdr:nvSpPr>
        <xdr:cNvPr id="8" name="AutoShape 1038"/>
        <xdr:cNvSpPr>
          <a:spLocks noChangeArrowheads="1"/>
        </xdr:cNvSpPr>
      </xdr:nvSpPr>
      <xdr:spPr>
        <a:xfrm>
          <a:off x="10102850" y="3745230"/>
          <a:ext cx="685800" cy="259080"/>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最大雇佣</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130991</xdr:colOff>
      <xdr:row>62</xdr:row>
      <xdr:rowOff>168456</xdr:rowOff>
    </xdr:from>
    <xdr:to>
      <xdr:col>12</xdr:col>
      <xdr:colOff>700361</xdr:colOff>
      <xdr:row>65</xdr:row>
      <xdr:rowOff>141242</xdr:rowOff>
    </xdr:to>
    <xdr:sp macro="[0]!按配货比例自动运输">
      <xdr:nvSpPr>
        <xdr:cNvPr id="9" name="AutoShape 1074"/>
        <xdr:cNvSpPr>
          <a:spLocks noChangeArrowheads="1"/>
        </xdr:cNvSpPr>
      </xdr:nvSpPr>
      <xdr:spPr>
        <a:xfrm>
          <a:off x="11414125" y="12766675"/>
          <a:ext cx="568960" cy="582295"/>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300"/>
            </a:lnSpc>
            <a:defRPr sz="1000"/>
          </a:pPr>
          <a:r>
            <a:rPr lang="zh-CN" altLang="en-US" sz="1200" b="1" i="0" u="none" strike="noStrike" baseline="0">
              <a:solidFill>
                <a:schemeClr val="bg1"/>
              </a:solidFill>
              <a:latin typeface="宋体" panose="02010600030101010101" pitchFamily="7" charset="-122"/>
              <a:ea typeface="宋体" panose="02010600030101010101" pitchFamily="7" charset="-122"/>
            </a:rPr>
            <a:t>按配货比例自动运输</a:t>
          </a:r>
          <a:endParaRPr lang="zh-CN" altLang="en-US" sz="12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175804</xdr:colOff>
      <xdr:row>27</xdr:row>
      <xdr:rowOff>26670</xdr:rowOff>
    </xdr:from>
    <xdr:to>
      <xdr:col>18</xdr:col>
      <xdr:colOff>734786</xdr:colOff>
      <xdr:row>29</xdr:row>
      <xdr:rowOff>26670</xdr:rowOff>
    </xdr:to>
    <xdr:sp macro="[0]!粘贴广促费用">
      <xdr:nvSpPr>
        <xdr:cNvPr id="10" name="AutoShape 1076"/>
        <xdr:cNvSpPr>
          <a:spLocks noChangeArrowheads="1"/>
        </xdr:cNvSpPr>
      </xdr:nvSpPr>
      <xdr:spPr>
        <a:xfrm>
          <a:off x="17799050" y="5513070"/>
          <a:ext cx="559435" cy="4064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2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粘贴广促费用</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6</xdr:col>
      <xdr:colOff>0</xdr:colOff>
      <xdr:row>8</xdr:row>
      <xdr:rowOff>189140</xdr:rowOff>
    </xdr:from>
    <xdr:to>
      <xdr:col>7</xdr:col>
      <xdr:colOff>0</xdr:colOff>
      <xdr:row>10</xdr:row>
      <xdr:rowOff>16329</xdr:rowOff>
    </xdr:to>
    <xdr:sp macro="[0]!自动提交决策">
      <xdr:nvSpPr>
        <xdr:cNvPr id="11" name="AutoShape 1036"/>
        <xdr:cNvSpPr>
          <a:spLocks noChangeArrowheads="1"/>
        </xdr:cNvSpPr>
      </xdr:nvSpPr>
      <xdr:spPr>
        <a:xfrm>
          <a:off x="5759450" y="1814195"/>
          <a:ext cx="854075" cy="233680"/>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提交决策</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a:p>
          <a:pPr algn="ctr" rtl="0">
            <a:defRPr sz="1000"/>
          </a:pP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7</xdr:col>
      <xdr:colOff>843643</xdr:colOff>
      <xdr:row>43</xdr:row>
      <xdr:rowOff>0</xdr:rowOff>
    </xdr:from>
    <xdr:to>
      <xdr:col>8</xdr:col>
      <xdr:colOff>717550</xdr:colOff>
      <xdr:row>43</xdr:row>
      <xdr:rowOff>190500</xdr:rowOff>
    </xdr:to>
    <xdr:sp macro="[0]!必要购入">
      <xdr:nvSpPr>
        <xdr:cNvPr id="12" name="AutoShape 1036"/>
        <xdr:cNvSpPr>
          <a:spLocks noChangeArrowheads="1"/>
        </xdr:cNvSpPr>
      </xdr:nvSpPr>
      <xdr:spPr>
        <a:xfrm>
          <a:off x="7456805" y="8737600"/>
          <a:ext cx="761365" cy="190500"/>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必要购入</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717550</xdr:colOff>
      <xdr:row>43</xdr:row>
      <xdr:rowOff>0</xdr:rowOff>
    </xdr:from>
    <xdr:to>
      <xdr:col>9</xdr:col>
      <xdr:colOff>672465</xdr:colOff>
      <xdr:row>43</xdr:row>
      <xdr:rowOff>190500</xdr:rowOff>
    </xdr:to>
    <xdr:sp macro="[0]!推荐购入">
      <xdr:nvSpPr>
        <xdr:cNvPr id="13" name="AutoShape 1036"/>
        <xdr:cNvSpPr>
          <a:spLocks noChangeArrowheads="1"/>
        </xdr:cNvSpPr>
      </xdr:nvSpPr>
      <xdr:spPr>
        <a:xfrm>
          <a:off x="8218170" y="8737600"/>
          <a:ext cx="718185" cy="190500"/>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推荐购入</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31</xdr:col>
      <xdr:colOff>665525</xdr:colOff>
      <xdr:row>13</xdr:row>
      <xdr:rowOff>62230</xdr:rowOff>
    </xdr:from>
    <xdr:to>
      <xdr:col>33</xdr:col>
      <xdr:colOff>756965</xdr:colOff>
      <xdr:row>14</xdr:row>
      <xdr:rowOff>75837</xdr:rowOff>
    </xdr:to>
    <xdr:sp macro="[0]!粘贴报表">
      <xdr:nvSpPr>
        <xdr:cNvPr id="14" name="AutoShape 1037"/>
        <xdr:cNvSpPr>
          <a:spLocks noChangeArrowheads="1"/>
        </xdr:cNvSpPr>
      </xdr:nvSpPr>
      <xdr:spPr>
        <a:xfrm>
          <a:off x="28713430" y="2703830"/>
          <a:ext cx="1474470" cy="216535"/>
        </a:xfrm>
        <a:prstGeom prst="roundRect">
          <a:avLst>
            <a:gd name="adj" fmla="val 16667"/>
          </a:avLst>
        </a:prstGeom>
        <a:solidFill>
          <a:srgbClr val="538DD5">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粘贴报表</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100239</xdr:colOff>
      <xdr:row>41</xdr:row>
      <xdr:rowOff>195489</xdr:rowOff>
    </xdr:from>
    <xdr:to>
      <xdr:col>19</xdr:col>
      <xdr:colOff>100239</xdr:colOff>
      <xdr:row>43</xdr:row>
      <xdr:rowOff>65950</xdr:rowOff>
    </xdr:to>
    <xdr:sp macro="[0]!记录工资系数">
      <xdr:nvSpPr>
        <xdr:cNvPr id="15" name="AutoShape 1068"/>
        <xdr:cNvSpPr>
          <a:spLocks noChangeArrowheads="1"/>
        </xdr:cNvSpPr>
      </xdr:nvSpPr>
      <xdr:spPr>
        <a:xfrm>
          <a:off x="17723485" y="8526145"/>
          <a:ext cx="1050290" cy="27686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ctr" upright="1"/>
        <a:lstStyle/>
        <a:p>
          <a:pPr algn="ctr" rtl="0">
            <a:lnSpc>
              <a:spcPts val="1200"/>
            </a:lnSpc>
            <a:defRPr sz="1000"/>
          </a:pPr>
          <a:r>
            <a:rPr lang="zh-CN" altLang="en-US" sz="1200" b="1" i="0" u="none" strike="noStrike" baseline="0">
              <a:solidFill>
                <a:schemeClr val="bg1"/>
              </a:solidFill>
              <a:latin typeface="宋体" panose="02010600030101010101" pitchFamily="7" charset="-122"/>
              <a:ea typeface="宋体" panose="02010600030101010101" pitchFamily="7" charset="-122"/>
            </a:rPr>
            <a:t>记录工资系数</a:t>
          </a:r>
          <a:endParaRPr lang="zh-CN" altLang="en-US" sz="12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mc:AlternateContent xmlns:mc="http://schemas.openxmlformats.org/markup-compatibility/2006">
    <mc:Choice xmlns:a14="http://schemas.microsoft.com/office/drawing/2010/main" Requires="a14">
      <xdr:twoCellAnchor>
        <xdr:from>
          <xdr:col>8</xdr:col>
          <xdr:colOff>603250</xdr:colOff>
          <xdr:row>24</xdr:row>
          <xdr:rowOff>12700</xdr:rowOff>
        </xdr:from>
        <xdr:to>
          <xdr:col>8</xdr:col>
          <xdr:colOff>736600</xdr:colOff>
          <xdr:row>24</xdr:row>
          <xdr:rowOff>203200</xdr:rowOff>
        </xdr:to>
        <xdr:sp>
          <xdr:nvSpPr>
            <xdr:cNvPr id="7173" name="Spinner 5" hidden="1">
              <a:extLst>
                <a:ext uri="{63B3BB69-23CF-44E3-9099-C40C66FF867C}">
                  <a14:compatExt spid="_x0000_s7173"/>
                </a:ext>
              </a:extLst>
            </xdr:cNvPr>
            <xdr:cNvSpPr/>
          </xdr:nvSpPr>
          <xdr:spPr>
            <a:xfrm>
              <a:off x="8103870" y="48895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679450</xdr:colOff>
          <xdr:row>24</xdr:row>
          <xdr:rowOff>12700</xdr:rowOff>
        </xdr:from>
        <xdr:to>
          <xdr:col>9</xdr:col>
          <xdr:colOff>812800</xdr:colOff>
          <xdr:row>24</xdr:row>
          <xdr:rowOff>203200</xdr:rowOff>
        </xdr:to>
        <xdr:sp>
          <xdr:nvSpPr>
            <xdr:cNvPr id="7174" name="Spinner 6" hidden="1">
              <a:extLst>
                <a:ext uri="{63B3BB69-23CF-44E3-9099-C40C66FF867C}">
                  <a14:compatExt spid="_x0000_s7174"/>
                </a:ext>
              </a:extLst>
            </xdr:cNvPr>
            <xdr:cNvSpPr/>
          </xdr:nvSpPr>
          <xdr:spPr>
            <a:xfrm>
              <a:off x="8943340" y="48895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603250</xdr:colOff>
          <xdr:row>25</xdr:row>
          <xdr:rowOff>12700</xdr:rowOff>
        </xdr:from>
        <xdr:to>
          <xdr:col>8</xdr:col>
          <xdr:colOff>736600</xdr:colOff>
          <xdr:row>25</xdr:row>
          <xdr:rowOff>203200</xdr:rowOff>
        </xdr:to>
        <xdr:sp>
          <xdr:nvSpPr>
            <xdr:cNvPr id="7175" name="Spinner 7" hidden="1">
              <a:extLst>
                <a:ext uri="{63B3BB69-23CF-44E3-9099-C40C66FF867C}">
                  <a14:compatExt spid="_x0000_s7175"/>
                </a:ext>
              </a:extLst>
            </xdr:cNvPr>
            <xdr:cNvSpPr/>
          </xdr:nvSpPr>
          <xdr:spPr>
            <a:xfrm>
              <a:off x="8103870" y="5092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679450</xdr:colOff>
          <xdr:row>25</xdr:row>
          <xdr:rowOff>12700</xdr:rowOff>
        </xdr:from>
        <xdr:to>
          <xdr:col>9</xdr:col>
          <xdr:colOff>812800</xdr:colOff>
          <xdr:row>25</xdr:row>
          <xdr:rowOff>203200</xdr:rowOff>
        </xdr:to>
        <xdr:sp>
          <xdr:nvSpPr>
            <xdr:cNvPr id="7176" name="Spinner 8" hidden="1">
              <a:extLst>
                <a:ext uri="{63B3BB69-23CF-44E3-9099-C40C66FF867C}">
                  <a14:compatExt spid="_x0000_s7176"/>
                </a:ext>
              </a:extLst>
            </xdr:cNvPr>
            <xdr:cNvSpPr/>
          </xdr:nvSpPr>
          <xdr:spPr>
            <a:xfrm>
              <a:off x="8943340" y="5092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603250</xdr:colOff>
          <xdr:row>26</xdr:row>
          <xdr:rowOff>12700</xdr:rowOff>
        </xdr:from>
        <xdr:to>
          <xdr:col>8</xdr:col>
          <xdr:colOff>736600</xdr:colOff>
          <xdr:row>26</xdr:row>
          <xdr:rowOff>203200</xdr:rowOff>
        </xdr:to>
        <xdr:sp>
          <xdr:nvSpPr>
            <xdr:cNvPr id="7177" name="Spinner 9" hidden="1">
              <a:extLst>
                <a:ext uri="{63B3BB69-23CF-44E3-9099-C40C66FF867C}">
                  <a14:compatExt spid="_x0000_s7177"/>
                </a:ext>
              </a:extLst>
            </xdr:cNvPr>
            <xdr:cNvSpPr/>
          </xdr:nvSpPr>
          <xdr:spPr>
            <a:xfrm>
              <a:off x="8103870" y="52959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679450</xdr:colOff>
          <xdr:row>26</xdr:row>
          <xdr:rowOff>12700</xdr:rowOff>
        </xdr:from>
        <xdr:to>
          <xdr:col>9</xdr:col>
          <xdr:colOff>812800</xdr:colOff>
          <xdr:row>26</xdr:row>
          <xdr:rowOff>203200</xdr:rowOff>
        </xdr:to>
        <xdr:sp>
          <xdr:nvSpPr>
            <xdr:cNvPr id="7178" name="Spinner 10" hidden="1">
              <a:extLst>
                <a:ext uri="{63B3BB69-23CF-44E3-9099-C40C66FF867C}">
                  <a14:compatExt spid="_x0000_s7178"/>
                </a:ext>
              </a:extLst>
            </xdr:cNvPr>
            <xdr:cNvSpPr/>
          </xdr:nvSpPr>
          <xdr:spPr>
            <a:xfrm>
              <a:off x="8943340" y="52959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603250</xdr:colOff>
          <xdr:row>27</xdr:row>
          <xdr:rowOff>12700</xdr:rowOff>
        </xdr:from>
        <xdr:to>
          <xdr:col>8</xdr:col>
          <xdr:colOff>736600</xdr:colOff>
          <xdr:row>27</xdr:row>
          <xdr:rowOff>203200</xdr:rowOff>
        </xdr:to>
        <xdr:sp>
          <xdr:nvSpPr>
            <xdr:cNvPr id="7179" name="Spinner 11" hidden="1">
              <a:extLst>
                <a:ext uri="{63B3BB69-23CF-44E3-9099-C40C66FF867C}">
                  <a14:compatExt spid="_x0000_s7179"/>
                </a:ext>
              </a:extLst>
            </xdr:cNvPr>
            <xdr:cNvSpPr/>
          </xdr:nvSpPr>
          <xdr:spPr>
            <a:xfrm>
              <a:off x="8103870" y="5499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679450</xdr:colOff>
          <xdr:row>27</xdr:row>
          <xdr:rowOff>12700</xdr:rowOff>
        </xdr:from>
        <xdr:to>
          <xdr:col>9</xdr:col>
          <xdr:colOff>812800</xdr:colOff>
          <xdr:row>27</xdr:row>
          <xdr:rowOff>203200</xdr:rowOff>
        </xdr:to>
        <xdr:sp>
          <xdr:nvSpPr>
            <xdr:cNvPr id="7180" name="Spinner 12" hidden="1">
              <a:extLst>
                <a:ext uri="{63B3BB69-23CF-44E3-9099-C40C66FF867C}">
                  <a14:compatExt spid="_x0000_s7180"/>
                </a:ext>
              </a:extLst>
            </xdr:cNvPr>
            <xdr:cNvSpPr/>
          </xdr:nvSpPr>
          <xdr:spPr>
            <a:xfrm>
              <a:off x="8943340" y="5499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698500</xdr:colOff>
          <xdr:row>24</xdr:row>
          <xdr:rowOff>12700</xdr:rowOff>
        </xdr:from>
        <xdr:to>
          <xdr:col>10</xdr:col>
          <xdr:colOff>825500</xdr:colOff>
          <xdr:row>25</xdr:row>
          <xdr:rowOff>0</xdr:rowOff>
        </xdr:to>
        <xdr:sp>
          <xdr:nvSpPr>
            <xdr:cNvPr id="7181" name="Spinner 13" hidden="1">
              <a:extLst>
                <a:ext uri="{63B3BB69-23CF-44E3-9099-C40C66FF867C}">
                  <a14:compatExt spid="_x0000_s7181"/>
                </a:ext>
              </a:extLst>
            </xdr:cNvPr>
            <xdr:cNvSpPr/>
          </xdr:nvSpPr>
          <xdr:spPr>
            <a:xfrm>
              <a:off x="9810115" y="4889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1155700</xdr:colOff>
          <xdr:row>24</xdr:row>
          <xdr:rowOff>12700</xdr:rowOff>
        </xdr:from>
        <xdr:to>
          <xdr:col>11</xdr:col>
          <xdr:colOff>1282700</xdr:colOff>
          <xdr:row>24</xdr:row>
          <xdr:rowOff>203200</xdr:rowOff>
        </xdr:to>
        <xdr:sp>
          <xdr:nvSpPr>
            <xdr:cNvPr id="7182" name="Spinner 14" hidden="1">
              <a:extLst>
                <a:ext uri="{63B3BB69-23CF-44E3-9099-C40C66FF867C}">
                  <a14:compatExt spid="_x0000_s7182"/>
                </a:ext>
              </a:extLst>
            </xdr:cNvPr>
            <xdr:cNvSpPr/>
          </xdr:nvSpPr>
          <xdr:spPr>
            <a:xfrm>
              <a:off x="11121390" y="4889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698500</xdr:colOff>
          <xdr:row>25</xdr:row>
          <xdr:rowOff>12700</xdr:rowOff>
        </xdr:from>
        <xdr:to>
          <xdr:col>10</xdr:col>
          <xdr:colOff>825500</xdr:colOff>
          <xdr:row>25</xdr:row>
          <xdr:rowOff>203200</xdr:rowOff>
        </xdr:to>
        <xdr:sp>
          <xdr:nvSpPr>
            <xdr:cNvPr id="7183" name="Spinner 15" hidden="1">
              <a:extLst>
                <a:ext uri="{63B3BB69-23CF-44E3-9099-C40C66FF867C}">
                  <a14:compatExt spid="_x0000_s7183"/>
                </a:ext>
              </a:extLst>
            </xdr:cNvPr>
            <xdr:cNvSpPr/>
          </xdr:nvSpPr>
          <xdr:spPr>
            <a:xfrm>
              <a:off x="9810115" y="5092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1155700</xdr:colOff>
          <xdr:row>25</xdr:row>
          <xdr:rowOff>12700</xdr:rowOff>
        </xdr:from>
        <xdr:to>
          <xdr:col>11</xdr:col>
          <xdr:colOff>1282700</xdr:colOff>
          <xdr:row>25</xdr:row>
          <xdr:rowOff>203200</xdr:rowOff>
        </xdr:to>
        <xdr:sp>
          <xdr:nvSpPr>
            <xdr:cNvPr id="7184" name="Spinner 16" hidden="1">
              <a:extLst>
                <a:ext uri="{63B3BB69-23CF-44E3-9099-C40C66FF867C}">
                  <a14:compatExt spid="_x0000_s7184"/>
                </a:ext>
              </a:extLst>
            </xdr:cNvPr>
            <xdr:cNvSpPr/>
          </xdr:nvSpPr>
          <xdr:spPr>
            <a:xfrm>
              <a:off x="11121390" y="5092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698500</xdr:colOff>
          <xdr:row>26</xdr:row>
          <xdr:rowOff>0</xdr:rowOff>
        </xdr:from>
        <xdr:to>
          <xdr:col>10</xdr:col>
          <xdr:colOff>825500</xdr:colOff>
          <xdr:row>26</xdr:row>
          <xdr:rowOff>190500</xdr:rowOff>
        </xdr:to>
        <xdr:sp>
          <xdr:nvSpPr>
            <xdr:cNvPr id="7185" name="Spinner 17" hidden="1">
              <a:extLst>
                <a:ext uri="{63B3BB69-23CF-44E3-9099-C40C66FF867C}">
                  <a14:compatExt spid="_x0000_s7185"/>
                </a:ext>
              </a:extLst>
            </xdr:cNvPr>
            <xdr:cNvSpPr/>
          </xdr:nvSpPr>
          <xdr:spPr>
            <a:xfrm>
              <a:off x="9810115" y="52832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1155700</xdr:colOff>
          <xdr:row>26</xdr:row>
          <xdr:rowOff>0</xdr:rowOff>
        </xdr:from>
        <xdr:to>
          <xdr:col>11</xdr:col>
          <xdr:colOff>1282700</xdr:colOff>
          <xdr:row>26</xdr:row>
          <xdr:rowOff>190500</xdr:rowOff>
        </xdr:to>
        <xdr:sp>
          <xdr:nvSpPr>
            <xdr:cNvPr id="7186" name="Spinner 18" hidden="1">
              <a:extLst>
                <a:ext uri="{63B3BB69-23CF-44E3-9099-C40C66FF867C}">
                  <a14:compatExt spid="_x0000_s7186"/>
                </a:ext>
              </a:extLst>
            </xdr:cNvPr>
            <xdr:cNvSpPr/>
          </xdr:nvSpPr>
          <xdr:spPr>
            <a:xfrm>
              <a:off x="11121390" y="52832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698500</xdr:colOff>
          <xdr:row>27</xdr:row>
          <xdr:rowOff>12700</xdr:rowOff>
        </xdr:from>
        <xdr:to>
          <xdr:col>10</xdr:col>
          <xdr:colOff>825500</xdr:colOff>
          <xdr:row>27</xdr:row>
          <xdr:rowOff>203200</xdr:rowOff>
        </xdr:to>
        <xdr:sp>
          <xdr:nvSpPr>
            <xdr:cNvPr id="7187" name="Spinner 19" hidden="1">
              <a:extLst>
                <a:ext uri="{63B3BB69-23CF-44E3-9099-C40C66FF867C}">
                  <a14:compatExt spid="_x0000_s7187"/>
                </a:ext>
              </a:extLst>
            </xdr:cNvPr>
            <xdr:cNvSpPr/>
          </xdr:nvSpPr>
          <xdr:spPr>
            <a:xfrm>
              <a:off x="9810115" y="5499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1155700</xdr:colOff>
          <xdr:row>27</xdr:row>
          <xdr:rowOff>12700</xdr:rowOff>
        </xdr:from>
        <xdr:to>
          <xdr:col>11</xdr:col>
          <xdr:colOff>1282700</xdr:colOff>
          <xdr:row>27</xdr:row>
          <xdr:rowOff>203200</xdr:rowOff>
        </xdr:to>
        <xdr:sp>
          <xdr:nvSpPr>
            <xdr:cNvPr id="7188" name="Spinner 20" hidden="1">
              <a:extLst>
                <a:ext uri="{63B3BB69-23CF-44E3-9099-C40C66FF867C}">
                  <a14:compatExt spid="_x0000_s7188"/>
                </a:ext>
              </a:extLst>
            </xdr:cNvPr>
            <xdr:cNvSpPr/>
          </xdr:nvSpPr>
          <xdr:spPr>
            <a:xfrm>
              <a:off x="11121390" y="5499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609600</xdr:colOff>
          <xdr:row>62</xdr:row>
          <xdr:rowOff>12700</xdr:rowOff>
        </xdr:from>
        <xdr:to>
          <xdr:col>8</xdr:col>
          <xdr:colOff>736600</xdr:colOff>
          <xdr:row>63</xdr:row>
          <xdr:rowOff>0</xdr:rowOff>
        </xdr:to>
        <xdr:sp>
          <xdr:nvSpPr>
            <xdr:cNvPr id="7190" name="Spinner 22" hidden="1">
              <a:extLst>
                <a:ext uri="{63B3BB69-23CF-44E3-9099-C40C66FF867C}">
                  <a14:compatExt spid="_x0000_s7190"/>
                </a:ext>
              </a:extLst>
            </xdr:cNvPr>
            <xdr:cNvSpPr/>
          </xdr:nvSpPr>
          <xdr:spPr>
            <a:xfrm>
              <a:off x="8110220" y="12611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685800</xdr:colOff>
          <xdr:row>62</xdr:row>
          <xdr:rowOff>12700</xdr:rowOff>
        </xdr:from>
        <xdr:to>
          <xdr:col>9</xdr:col>
          <xdr:colOff>812800</xdr:colOff>
          <xdr:row>63</xdr:row>
          <xdr:rowOff>0</xdr:rowOff>
        </xdr:to>
        <xdr:sp>
          <xdr:nvSpPr>
            <xdr:cNvPr id="7191" name="Spinner 23" hidden="1">
              <a:extLst>
                <a:ext uri="{63B3BB69-23CF-44E3-9099-C40C66FF867C}">
                  <a14:compatExt spid="_x0000_s7191"/>
                </a:ext>
              </a:extLst>
            </xdr:cNvPr>
            <xdr:cNvSpPr/>
          </xdr:nvSpPr>
          <xdr:spPr>
            <a:xfrm>
              <a:off x="8949690" y="12611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685800</xdr:colOff>
          <xdr:row>62</xdr:row>
          <xdr:rowOff>12700</xdr:rowOff>
        </xdr:from>
        <xdr:to>
          <xdr:col>10</xdr:col>
          <xdr:colOff>825500</xdr:colOff>
          <xdr:row>63</xdr:row>
          <xdr:rowOff>0</xdr:rowOff>
        </xdr:to>
        <xdr:sp>
          <xdr:nvSpPr>
            <xdr:cNvPr id="7192" name="Spinner 24" hidden="1">
              <a:extLst>
                <a:ext uri="{63B3BB69-23CF-44E3-9099-C40C66FF867C}">
                  <a14:compatExt spid="_x0000_s7192"/>
                </a:ext>
              </a:extLst>
            </xdr:cNvPr>
            <xdr:cNvSpPr/>
          </xdr:nvSpPr>
          <xdr:spPr>
            <a:xfrm>
              <a:off x="9797415" y="126111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1143000</xdr:colOff>
          <xdr:row>62</xdr:row>
          <xdr:rowOff>0</xdr:rowOff>
        </xdr:from>
        <xdr:to>
          <xdr:col>11</xdr:col>
          <xdr:colOff>1270000</xdr:colOff>
          <xdr:row>62</xdr:row>
          <xdr:rowOff>190500</xdr:rowOff>
        </xdr:to>
        <xdr:sp>
          <xdr:nvSpPr>
            <xdr:cNvPr id="7193" name="Spinner 25" hidden="1">
              <a:extLst>
                <a:ext uri="{63B3BB69-23CF-44E3-9099-C40C66FF867C}">
                  <a14:compatExt spid="_x0000_s7193"/>
                </a:ext>
              </a:extLst>
            </xdr:cNvPr>
            <xdr:cNvSpPr/>
          </xdr:nvSpPr>
          <xdr:spPr>
            <a:xfrm>
              <a:off x="11108690" y="125984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609600</xdr:colOff>
          <xdr:row>63</xdr:row>
          <xdr:rowOff>12700</xdr:rowOff>
        </xdr:from>
        <xdr:to>
          <xdr:col>8</xdr:col>
          <xdr:colOff>736600</xdr:colOff>
          <xdr:row>64</xdr:row>
          <xdr:rowOff>0</xdr:rowOff>
        </xdr:to>
        <xdr:sp>
          <xdr:nvSpPr>
            <xdr:cNvPr id="7194" name="Spinner 26" hidden="1">
              <a:extLst>
                <a:ext uri="{63B3BB69-23CF-44E3-9099-C40C66FF867C}">
                  <a14:compatExt spid="_x0000_s7194"/>
                </a:ext>
              </a:extLst>
            </xdr:cNvPr>
            <xdr:cNvSpPr/>
          </xdr:nvSpPr>
          <xdr:spPr>
            <a:xfrm>
              <a:off x="8110220" y="128143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685800</xdr:colOff>
          <xdr:row>63</xdr:row>
          <xdr:rowOff>12700</xdr:rowOff>
        </xdr:from>
        <xdr:to>
          <xdr:col>9</xdr:col>
          <xdr:colOff>812800</xdr:colOff>
          <xdr:row>64</xdr:row>
          <xdr:rowOff>0</xdr:rowOff>
        </xdr:to>
        <xdr:sp>
          <xdr:nvSpPr>
            <xdr:cNvPr id="7195" name="Spinner 27" hidden="1">
              <a:extLst>
                <a:ext uri="{63B3BB69-23CF-44E3-9099-C40C66FF867C}">
                  <a14:compatExt spid="_x0000_s7195"/>
                </a:ext>
              </a:extLst>
            </xdr:cNvPr>
            <xdr:cNvSpPr/>
          </xdr:nvSpPr>
          <xdr:spPr>
            <a:xfrm>
              <a:off x="8949690" y="128143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685800</xdr:colOff>
          <xdr:row>63</xdr:row>
          <xdr:rowOff>12700</xdr:rowOff>
        </xdr:from>
        <xdr:to>
          <xdr:col>10</xdr:col>
          <xdr:colOff>825500</xdr:colOff>
          <xdr:row>64</xdr:row>
          <xdr:rowOff>0</xdr:rowOff>
        </xdr:to>
        <xdr:sp>
          <xdr:nvSpPr>
            <xdr:cNvPr id="7196" name="Spinner 28" hidden="1">
              <a:extLst>
                <a:ext uri="{63B3BB69-23CF-44E3-9099-C40C66FF867C}">
                  <a14:compatExt spid="_x0000_s7196"/>
                </a:ext>
              </a:extLst>
            </xdr:cNvPr>
            <xdr:cNvSpPr/>
          </xdr:nvSpPr>
          <xdr:spPr>
            <a:xfrm>
              <a:off x="9797415" y="128143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1143000</xdr:colOff>
          <xdr:row>63</xdr:row>
          <xdr:rowOff>0</xdr:rowOff>
        </xdr:from>
        <xdr:to>
          <xdr:col>11</xdr:col>
          <xdr:colOff>1270000</xdr:colOff>
          <xdr:row>63</xdr:row>
          <xdr:rowOff>190500</xdr:rowOff>
        </xdr:to>
        <xdr:sp>
          <xdr:nvSpPr>
            <xdr:cNvPr id="7197" name="Spinner 29" hidden="1">
              <a:extLst>
                <a:ext uri="{63B3BB69-23CF-44E3-9099-C40C66FF867C}">
                  <a14:compatExt spid="_x0000_s7197"/>
                </a:ext>
              </a:extLst>
            </xdr:cNvPr>
            <xdr:cNvSpPr/>
          </xdr:nvSpPr>
          <xdr:spPr>
            <a:xfrm>
              <a:off x="11108690" y="128016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609600</xdr:colOff>
          <xdr:row>64</xdr:row>
          <xdr:rowOff>12700</xdr:rowOff>
        </xdr:from>
        <xdr:to>
          <xdr:col>8</xdr:col>
          <xdr:colOff>736600</xdr:colOff>
          <xdr:row>65</xdr:row>
          <xdr:rowOff>0</xdr:rowOff>
        </xdr:to>
        <xdr:sp>
          <xdr:nvSpPr>
            <xdr:cNvPr id="7198" name="Spinner 30" hidden="1">
              <a:extLst>
                <a:ext uri="{63B3BB69-23CF-44E3-9099-C40C66FF867C}">
                  <a14:compatExt spid="_x0000_s7198"/>
                </a:ext>
              </a:extLst>
            </xdr:cNvPr>
            <xdr:cNvSpPr/>
          </xdr:nvSpPr>
          <xdr:spPr>
            <a:xfrm>
              <a:off x="8110220" y="13017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685800</xdr:colOff>
          <xdr:row>64</xdr:row>
          <xdr:rowOff>12700</xdr:rowOff>
        </xdr:from>
        <xdr:to>
          <xdr:col>9</xdr:col>
          <xdr:colOff>812800</xdr:colOff>
          <xdr:row>65</xdr:row>
          <xdr:rowOff>0</xdr:rowOff>
        </xdr:to>
        <xdr:sp>
          <xdr:nvSpPr>
            <xdr:cNvPr id="7199" name="Spinner 31" hidden="1">
              <a:extLst>
                <a:ext uri="{63B3BB69-23CF-44E3-9099-C40C66FF867C}">
                  <a14:compatExt spid="_x0000_s7199"/>
                </a:ext>
              </a:extLst>
            </xdr:cNvPr>
            <xdr:cNvSpPr/>
          </xdr:nvSpPr>
          <xdr:spPr>
            <a:xfrm>
              <a:off x="8949690" y="13017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685800</xdr:colOff>
          <xdr:row>64</xdr:row>
          <xdr:rowOff>12700</xdr:rowOff>
        </xdr:from>
        <xdr:to>
          <xdr:col>10</xdr:col>
          <xdr:colOff>825500</xdr:colOff>
          <xdr:row>65</xdr:row>
          <xdr:rowOff>0</xdr:rowOff>
        </xdr:to>
        <xdr:sp>
          <xdr:nvSpPr>
            <xdr:cNvPr id="7200" name="Spinner 32" hidden="1">
              <a:extLst>
                <a:ext uri="{63B3BB69-23CF-44E3-9099-C40C66FF867C}">
                  <a14:compatExt spid="_x0000_s7200"/>
                </a:ext>
              </a:extLst>
            </xdr:cNvPr>
            <xdr:cNvSpPr/>
          </xdr:nvSpPr>
          <xdr:spPr>
            <a:xfrm>
              <a:off x="9797415" y="130175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1143000</xdr:colOff>
          <xdr:row>64</xdr:row>
          <xdr:rowOff>0</xdr:rowOff>
        </xdr:from>
        <xdr:to>
          <xdr:col>11</xdr:col>
          <xdr:colOff>1270000</xdr:colOff>
          <xdr:row>64</xdr:row>
          <xdr:rowOff>190500</xdr:rowOff>
        </xdr:to>
        <xdr:sp>
          <xdr:nvSpPr>
            <xdr:cNvPr id="7201" name="Spinner 33" hidden="1">
              <a:extLst>
                <a:ext uri="{63B3BB69-23CF-44E3-9099-C40C66FF867C}">
                  <a14:compatExt spid="_x0000_s7201"/>
                </a:ext>
              </a:extLst>
            </xdr:cNvPr>
            <xdr:cNvSpPr/>
          </xdr:nvSpPr>
          <xdr:spPr>
            <a:xfrm>
              <a:off x="11108690" y="130048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609600</xdr:colOff>
          <xdr:row>65</xdr:row>
          <xdr:rowOff>12700</xdr:rowOff>
        </xdr:from>
        <xdr:to>
          <xdr:col>8</xdr:col>
          <xdr:colOff>736600</xdr:colOff>
          <xdr:row>66</xdr:row>
          <xdr:rowOff>0</xdr:rowOff>
        </xdr:to>
        <xdr:sp>
          <xdr:nvSpPr>
            <xdr:cNvPr id="7202" name="Spinner 34" hidden="1">
              <a:extLst>
                <a:ext uri="{63B3BB69-23CF-44E3-9099-C40C66FF867C}">
                  <a14:compatExt spid="_x0000_s7202"/>
                </a:ext>
              </a:extLst>
            </xdr:cNvPr>
            <xdr:cNvSpPr/>
          </xdr:nvSpPr>
          <xdr:spPr>
            <a:xfrm>
              <a:off x="8110220" y="13220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685800</xdr:colOff>
          <xdr:row>65</xdr:row>
          <xdr:rowOff>12700</xdr:rowOff>
        </xdr:from>
        <xdr:to>
          <xdr:col>9</xdr:col>
          <xdr:colOff>812800</xdr:colOff>
          <xdr:row>66</xdr:row>
          <xdr:rowOff>0</xdr:rowOff>
        </xdr:to>
        <xdr:sp>
          <xdr:nvSpPr>
            <xdr:cNvPr id="7203" name="Spinner 35" hidden="1">
              <a:extLst>
                <a:ext uri="{63B3BB69-23CF-44E3-9099-C40C66FF867C}">
                  <a14:compatExt spid="_x0000_s7203"/>
                </a:ext>
              </a:extLst>
            </xdr:cNvPr>
            <xdr:cNvSpPr/>
          </xdr:nvSpPr>
          <xdr:spPr>
            <a:xfrm>
              <a:off x="8949690" y="13220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685800</xdr:colOff>
          <xdr:row>65</xdr:row>
          <xdr:rowOff>12700</xdr:rowOff>
        </xdr:from>
        <xdr:to>
          <xdr:col>10</xdr:col>
          <xdr:colOff>825500</xdr:colOff>
          <xdr:row>66</xdr:row>
          <xdr:rowOff>0</xdr:rowOff>
        </xdr:to>
        <xdr:sp>
          <xdr:nvSpPr>
            <xdr:cNvPr id="7204" name="Spinner 36" hidden="1">
              <a:extLst>
                <a:ext uri="{63B3BB69-23CF-44E3-9099-C40C66FF867C}">
                  <a14:compatExt spid="_x0000_s7204"/>
                </a:ext>
              </a:extLst>
            </xdr:cNvPr>
            <xdr:cNvSpPr/>
          </xdr:nvSpPr>
          <xdr:spPr>
            <a:xfrm>
              <a:off x="9797415" y="132207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1143000</xdr:colOff>
          <xdr:row>65</xdr:row>
          <xdr:rowOff>0</xdr:rowOff>
        </xdr:from>
        <xdr:to>
          <xdr:col>11</xdr:col>
          <xdr:colOff>1270000</xdr:colOff>
          <xdr:row>65</xdr:row>
          <xdr:rowOff>190500</xdr:rowOff>
        </xdr:to>
        <xdr:sp>
          <xdr:nvSpPr>
            <xdr:cNvPr id="7205" name="Spinner 37" hidden="1">
              <a:extLst>
                <a:ext uri="{63B3BB69-23CF-44E3-9099-C40C66FF867C}">
                  <a14:compatExt spid="_x0000_s7205"/>
                </a:ext>
              </a:extLst>
            </xdr:cNvPr>
            <xdr:cNvSpPr/>
          </xdr:nvSpPr>
          <xdr:spPr>
            <a:xfrm>
              <a:off x="11108690" y="13208000"/>
              <a:ext cx="127000" cy="190500"/>
            </a:xfrm>
            <a:prstGeom prst="rect">
              <a:avLst/>
            </a:prstGeom>
          </xdr:spPr>
        </xdr:sp>
        <xdr:clientData/>
      </xdr:twoCellAnchor>
    </mc:Choice>
    <mc:Fallback/>
  </mc:AlternateContent>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12</xdr:col>
      <xdr:colOff>6168</xdr:colOff>
      <xdr:row>4</xdr:row>
      <xdr:rowOff>170089</xdr:rowOff>
    </xdr:from>
    <xdr:to>
      <xdr:col>13</xdr:col>
      <xdr:colOff>3529</xdr:colOff>
      <xdr:row>5</xdr:row>
      <xdr:rowOff>181681</xdr:rowOff>
    </xdr:to>
    <xdr:sp macro="[0]!研发A">
      <xdr:nvSpPr>
        <xdr:cNvPr id="2" name="AutoShape 1045"/>
        <xdr:cNvSpPr>
          <a:spLocks noChangeArrowheads="1"/>
        </xdr:cNvSpPr>
      </xdr:nvSpPr>
      <xdr:spPr>
        <a:xfrm>
          <a:off x="11360785" y="982345"/>
          <a:ext cx="721360" cy="21526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A</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12972</xdr:colOff>
      <xdr:row>6</xdr:row>
      <xdr:rowOff>11432</xdr:rowOff>
    </xdr:from>
    <xdr:to>
      <xdr:col>13</xdr:col>
      <xdr:colOff>4090</xdr:colOff>
      <xdr:row>7</xdr:row>
      <xdr:rowOff>38203</xdr:rowOff>
    </xdr:to>
    <xdr:sp macro="[0]!研发B">
      <xdr:nvSpPr>
        <xdr:cNvPr id="3" name="AutoShape 1046"/>
        <xdr:cNvSpPr>
          <a:spLocks noChangeArrowheads="1"/>
        </xdr:cNvSpPr>
      </xdr:nvSpPr>
      <xdr:spPr>
        <a:xfrm>
          <a:off x="11367770" y="1230630"/>
          <a:ext cx="715010" cy="22987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B</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513</xdr:colOff>
      <xdr:row>7</xdr:row>
      <xdr:rowOff>38101</xdr:rowOff>
    </xdr:from>
    <xdr:to>
      <xdr:col>13</xdr:col>
      <xdr:colOff>3076</xdr:colOff>
      <xdr:row>8</xdr:row>
      <xdr:rowOff>40822</xdr:rowOff>
    </xdr:to>
    <xdr:sp macro="[0]!研发C">
      <xdr:nvSpPr>
        <xdr:cNvPr id="4" name="AutoShape 1047"/>
        <xdr:cNvSpPr>
          <a:spLocks noChangeArrowheads="1"/>
        </xdr:cNvSpPr>
      </xdr:nvSpPr>
      <xdr:spPr>
        <a:xfrm>
          <a:off x="11355070" y="1460500"/>
          <a:ext cx="726440" cy="20574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C</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513</xdr:colOff>
      <xdr:row>8</xdr:row>
      <xdr:rowOff>29119</xdr:rowOff>
    </xdr:from>
    <xdr:to>
      <xdr:col>13</xdr:col>
      <xdr:colOff>3076</xdr:colOff>
      <xdr:row>9</xdr:row>
      <xdr:rowOff>20410</xdr:rowOff>
    </xdr:to>
    <xdr:sp macro="[0]!研发D">
      <xdr:nvSpPr>
        <xdr:cNvPr id="5" name="AutoShape 1048"/>
        <xdr:cNvSpPr>
          <a:spLocks noChangeArrowheads="1"/>
        </xdr:cNvSpPr>
      </xdr:nvSpPr>
      <xdr:spPr>
        <a:xfrm>
          <a:off x="11355070" y="1654175"/>
          <a:ext cx="726440" cy="19494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D</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1149170</xdr:colOff>
      <xdr:row>9</xdr:row>
      <xdr:rowOff>35378</xdr:rowOff>
    </xdr:from>
    <xdr:to>
      <xdr:col>12</xdr:col>
      <xdr:colOff>684447</xdr:colOff>
      <xdr:row>10</xdr:row>
      <xdr:rowOff>54428</xdr:rowOff>
    </xdr:to>
    <xdr:sp macro="[0]!清除研发">
      <xdr:nvSpPr>
        <xdr:cNvPr id="6" name="AutoShape 1049"/>
        <xdr:cNvSpPr>
          <a:spLocks noChangeArrowheads="1"/>
        </xdr:cNvSpPr>
      </xdr:nvSpPr>
      <xdr:spPr>
        <a:xfrm>
          <a:off x="11323320" y="1863725"/>
          <a:ext cx="715645" cy="22225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清除研发</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55880</xdr:colOff>
      <xdr:row>17</xdr:row>
      <xdr:rowOff>33020</xdr:rowOff>
    </xdr:from>
    <xdr:to>
      <xdr:col>11</xdr:col>
      <xdr:colOff>730341</xdr:colOff>
      <xdr:row>18</xdr:row>
      <xdr:rowOff>56152</xdr:rowOff>
    </xdr:to>
    <xdr:sp macro="[0]!必要辞退">
      <xdr:nvSpPr>
        <xdr:cNvPr id="7" name="AutoShape 1050"/>
        <xdr:cNvSpPr>
          <a:spLocks noChangeArrowheads="1"/>
        </xdr:cNvSpPr>
      </xdr:nvSpPr>
      <xdr:spPr>
        <a:xfrm>
          <a:off x="10230485" y="3487420"/>
          <a:ext cx="674370" cy="22606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必要辞退</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53340</xdr:colOff>
      <xdr:row>18</xdr:row>
      <xdr:rowOff>94615</xdr:rowOff>
    </xdr:from>
    <xdr:to>
      <xdr:col>11</xdr:col>
      <xdr:colOff>758191</xdr:colOff>
      <xdr:row>19</xdr:row>
      <xdr:rowOff>113666</xdr:rowOff>
    </xdr:to>
    <xdr:sp macro="[0]!最大雇佣">
      <xdr:nvSpPr>
        <xdr:cNvPr id="8" name="AutoShape 1051"/>
        <xdr:cNvSpPr>
          <a:spLocks noChangeArrowheads="1"/>
        </xdr:cNvSpPr>
      </xdr:nvSpPr>
      <xdr:spPr>
        <a:xfrm>
          <a:off x="10227945" y="3752215"/>
          <a:ext cx="704850" cy="22225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最大雇佣</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1148625</xdr:colOff>
      <xdr:row>62</xdr:row>
      <xdr:rowOff>134257</xdr:rowOff>
    </xdr:from>
    <xdr:to>
      <xdr:col>12</xdr:col>
      <xdr:colOff>691515</xdr:colOff>
      <xdr:row>65</xdr:row>
      <xdr:rowOff>148227</xdr:rowOff>
    </xdr:to>
    <xdr:sp macro="[0]!按配货比例自动运输">
      <xdr:nvSpPr>
        <xdr:cNvPr id="9" name="AutoShape 1102"/>
        <xdr:cNvSpPr>
          <a:spLocks noChangeArrowheads="1"/>
        </xdr:cNvSpPr>
      </xdr:nvSpPr>
      <xdr:spPr>
        <a:xfrm>
          <a:off x="11322685" y="12732385"/>
          <a:ext cx="723900" cy="623570"/>
        </a:xfrm>
        <a:prstGeom prst="roundRect">
          <a:avLst>
            <a:gd name="adj" fmla="val 0"/>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3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按配货比例自动运输</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138794</xdr:colOff>
      <xdr:row>27</xdr:row>
      <xdr:rowOff>12972</xdr:rowOff>
    </xdr:from>
    <xdr:to>
      <xdr:col>18</xdr:col>
      <xdr:colOff>733618</xdr:colOff>
      <xdr:row>29</xdr:row>
      <xdr:rowOff>12972</xdr:rowOff>
    </xdr:to>
    <xdr:sp macro="[0]!粘贴广促费用">
      <xdr:nvSpPr>
        <xdr:cNvPr id="10" name="AutoShape 1104"/>
        <xdr:cNvSpPr>
          <a:spLocks noChangeArrowheads="1"/>
        </xdr:cNvSpPr>
      </xdr:nvSpPr>
      <xdr:spPr>
        <a:xfrm>
          <a:off x="17212310" y="5499100"/>
          <a:ext cx="594995" cy="4064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2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粘贴广促费用</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6</xdr:col>
      <xdr:colOff>0</xdr:colOff>
      <xdr:row>8</xdr:row>
      <xdr:rowOff>190500</xdr:rowOff>
    </xdr:from>
    <xdr:to>
      <xdr:col>7</xdr:col>
      <xdr:colOff>0</xdr:colOff>
      <xdr:row>10</xdr:row>
      <xdr:rowOff>5443</xdr:rowOff>
    </xdr:to>
    <xdr:sp macro="[0]!自动提交决策">
      <xdr:nvSpPr>
        <xdr:cNvPr id="11" name="AutoShape 1049"/>
        <xdr:cNvSpPr>
          <a:spLocks noChangeArrowheads="1"/>
        </xdr:cNvSpPr>
      </xdr:nvSpPr>
      <xdr:spPr>
        <a:xfrm>
          <a:off x="5628640" y="1816100"/>
          <a:ext cx="717550" cy="22098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提交决策</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932815</xdr:colOff>
      <xdr:row>43</xdr:row>
      <xdr:rowOff>13335</xdr:rowOff>
    </xdr:from>
    <xdr:to>
      <xdr:col>9</xdr:col>
      <xdr:colOff>668944</xdr:colOff>
      <xdr:row>44</xdr:row>
      <xdr:rowOff>13335</xdr:rowOff>
    </xdr:to>
    <xdr:sp macro="[0]!推荐购入">
      <xdr:nvSpPr>
        <xdr:cNvPr id="12" name="AutoShape 1036"/>
        <xdr:cNvSpPr>
          <a:spLocks noChangeArrowheads="1"/>
        </xdr:cNvSpPr>
      </xdr:nvSpPr>
      <xdr:spPr>
        <a:xfrm>
          <a:off x="8133080" y="8750935"/>
          <a:ext cx="694690" cy="2032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推荐购入</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0</xdr:colOff>
      <xdr:row>43</xdr:row>
      <xdr:rowOff>0</xdr:rowOff>
    </xdr:from>
    <xdr:to>
      <xdr:col>8</xdr:col>
      <xdr:colOff>717550</xdr:colOff>
      <xdr:row>43</xdr:row>
      <xdr:rowOff>190500</xdr:rowOff>
    </xdr:to>
    <xdr:sp macro="[0]!必要购入">
      <xdr:nvSpPr>
        <xdr:cNvPr id="13" name="AutoShape 1036"/>
        <xdr:cNvSpPr>
          <a:spLocks noChangeArrowheads="1"/>
        </xdr:cNvSpPr>
      </xdr:nvSpPr>
      <xdr:spPr>
        <a:xfrm>
          <a:off x="7200265" y="8737600"/>
          <a:ext cx="717550" cy="1905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必要购入</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31</xdr:col>
      <xdr:colOff>648346</xdr:colOff>
      <xdr:row>13</xdr:row>
      <xdr:rowOff>61931</xdr:rowOff>
    </xdr:from>
    <xdr:to>
      <xdr:col>33</xdr:col>
      <xdr:colOff>580309</xdr:colOff>
      <xdr:row>14</xdr:row>
      <xdr:rowOff>61931</xdr:rowOff>
    </xdr:to>
    <xdr:sp macro="[0]!粘贴报表">
      <xdr:nvSpPr>
        <xdr:cNvPr id="14" name="AutoShape 1037"/>
        <xdr:cNvSpPr>
          <a:spLocks noChangeArrowheads="1"/>
        </xdr:cNvSpPr>
      </xdr:nvSpPr>
      <xdr:spPr>
        <a:xfrm>
          <a:off x="27969210" y="2703195"/>
          <a:ext cx="1314450" cy="2032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粘贴报表</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90716</xdr:colOff>
      <xdr:row>42</xdr:row>
      <xdr:rowOff>33111</xdr:rowOff>
    </xdr:from>
    <xdr:to>
      <xdr:col>19</xdr:col>
      <xdr:colOff>90715</xdr:colOff>
      <xdr:row>43</xdr:row>
      <xdr:rowOff>100875</xdr:rowOff>
    </xdr:to>
    <xdr:sp macro="[0]!记录工资系数">
      <xdr:nvSpPr>
        <xdr:cNvPr id="15" name="AutoShape 1068"/>
        <xdr:cNvSpPr>
          <a:spLocks noChangeArrowheads="1"/>
        </xdr:cNvSpPr>
      </xdr:nvSpPr>
      <xdr:spPr>
        <a:xfrm>
          <a:off x="17164050" y="8567420"/>
          <a:ext cx="997585" cy="27051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ctr" upright="1"/>
        <a:lstStyle/>
        <a:p>
          <a:pPr algn="ctr" rtl="0">
            <a:lnSpc>
              <a:spcPts val="12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记录工资系数</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mc:AlternateContent xmlns:mc="http://schemas.openxmlformats.org/markup-compatibility/2006">
    <mc:Choice xmlns:a14="http://schemas.microsoft.com/office/drawing/2010/main" Requires="a14">
      <xdr:twoCellAnchor>
        <xdr:from>
          <xdr:col>8</xdr:col>
          <xdr:colOff>800100</xdr:colOff>
          <xdr:row>24</xdr:row>
          <xdr:rowOff>12700</xdr:rowOff>
        </xdr:from>
        <xdr:to>
          <xdr:col>8</xdr:col>
          <xdr:colOff>927100</xdr:colOff>
          <xdr:row>25</xdr:row>
          <xdr:rowOff>0</xdr:rowOff>
        </xdr:to>
        <xdr:sp>
          <xdr:nvSpPr>
            <xdr:cNvPr id="8196" name="Spinner 4" hidden="1">
              <a:extLst>
                <a:ext uri="{63B3BB69-23CF-44E3-9099-C40C66FF867C}">
                  <a14:compatExt spid="_x0000_s8196"/>
                </a:ext>
              </a:extLst>
            </xdr:cNvPr>
            <xdr:cNvSpPr/>
          </xdr:nvSpPr>
          <xdr:spPr>
            <a:xfrm>
              <a:off x="8000365" y="4889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24</xdr:row>
          <xdr:rowOff>12700</xdr:rowOff>
        </xdr:from>
        <xdr:to>
          <xdr:col>9</xdr:col>
          <xdr:colOff>939800</xdr:colOff>
          <xdr:row>25</xdr:row>
          <xdr:rowOff>0</xdr:rowOff>
        </xdr:to>
        <xdr:sp>
          <xdr:nvSpPr>
            <xdr:cNvPr id="8197" name="Spinner 5" hidden="1">
              <a:extLst>
                <a:ext uri="{63B3BB69-23CF-44E3-9099-C40C66FF867C}">
                  <a14:compatExt spid="_x0000_s8197"/>
                </a:ext>
              </a:extLst>
            </xdr:cNvPr>
            <xdr:cNvSpPr/>
          </xdr:nvSpPr>
          <xdr:spPr>
            <a:xfrm>
              <a:off x="8971915" y="4889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25</xdr:row>
          <xdr:rowOff>12700</xdr:rowOff>
        </xdr:from>
        <xdr:to>
          <xdr:col>8</xdr:col>
          <xdr:colOff>927100</xdr:colOff>
          <xdr:row>26</xdr:row>
          <xdr:rowOff>0</xdr:rowOff>
        </xdr:to>
        <xdr:sp>
          <xdr:nvSpPr>
            <xdr:cNvPr id="8198" name="Spinner 6" hidden="1">
              <a:extLst>
                <a:ext uri="{63B3BB69-23CF-44E3-9099-C40C66FF867C}">
                  <a14:compatExt spid="_x0000_s8198"/>
                </a:ext>
              </a:extLst>
            </xdr:cNvPr>
            <xdr:cNvSpPr/>
          </xdr:nvSpPr>
          <xdr:spPr>
            <a:xfrm>
              <a:off x="8000365" y="5092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25</xdr:row>
          <xdr:rowOff>12700</xdr:rowOff>
        </xdr:from>
        <xdr:to>
          <xdr:col>9</xdr:col>
          <xdr:colOff>939800</xdr:colOff>
          <xdr:row>26</xdr:row>
          <xdr:rowOff>0</xdr:rowOff>
        </xdr:to>
        <xdr:sp>
          <xdr:nvSpPr>
            <xdr:cNvPr id="8199" name="Spinner 7" hidden="1">
              <a:extLst>
                <a:ext uri="{63B3BB69-23CF-44E3-9099-C40C66FF867C}">
                  <a14:compatExt spid="_x0000_s8199"/>
                </a:ext>
              </a:extLst>
            </xdr:cNvPr>
            <xdr:cNvSpPr/>
          </xdr:nvSpPr>
          <xdr:spPr>
            <a:xfrm>
              <a:off x="8971915" y="5092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26</xdr:row>
          <xdr:rowOff>12700</xdr:rowOff>
        </xdr:from>
        <xdr:to>
          <xdr:col>8</xdr:col>
          <xdr:colOff>927100</xdr:colOff>
          <xdr:row>27</xdr:row>
          <xdr:rowOff>0</xdr:rowOff>
        </xdr:to>
        <xdr:sp>
          <xdr:nvSpPr>
            <xdr:cNvPr id="8200" name="Spinner 8" hidden="1">
              <a:extLst>
                <a:ext uri="{63B3BB69-23CF-44E3-9099-C40C66FF867C}">
                  <a14:compatExt spid="_x0000_s8200"/>
                </a:ext>
              </a:extLst>
            </xdr:cNvPr>
            <xdr:cNvSpPr/>
          </xdr:nvSpPr>
          <xdr:spPr>
            <a:xfrm>
              <a:off x="8000365" y="52959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26</xdr:row>
          <xdr:rowOff>12700</xdr:rowOff>
        </xdr:from>
        <xdr:to>
          <xdr:col>9</xdr:col>
          <xdr:colOff>939800</xdr:colOff>
          <xdr:row>27</xdr:row>
          <xdr:rowOff>0</xdr:rowOff>
        </xdr:to>
        <xdr:sp>
          <xdr:nvSpPr>
            <xdr:cNvPr id="8201" name="Spinner 9" hidden="1">
              <a:extLst>
                <a:ext uri="{63B3BB69-23CF-44E3-9099-C40C66FF867C}">
                  <a14:compatExt spid="_x0000_s8201"/>
                </a:ext>
              </a:extLst>
            </xdr:cNvPr>
            <xdr:cNvSpPr/>
          </xdr:nvSpPr>
          <xdr:spPr>
            <a:xfrm>
              <a:off x="8971915" y="52959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27</xdr:row>
          <xdr:rowOff>12700</xdr:rowOff>
        </xdr:from>
        <xdr:to>
          <xdr:col>8</xdr:col>
          <xdr:colOff>927100</xdr:colOff>
          <xdr:row>28</xdr:row>
          <xdr:rowOff>0</xdr:rowOff>
        </xdr:to>
        <xdr:sp>
          <xdr:nvSpPr>
            <xdr:cNvPr id="8202" name="Spinner 10" hidden="1">
              <a:extLst>
                <a:ext uri="{63B3BB69-23CF-44E3-9099-C40C66FF867C}">
                  <a14:compatExt spid="_x0000_s8202"/>
                </a:ext>
              </a:extLst>
            </xdr:cNvPr>
            <xdr:cNvSpPr/>
          </xdr:nvSpPr>
          <xdr:spPr>
            <a:xfrm>
              <a:off x="8000365" y="5499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27</xdr:row>
          <xdr:rowOff>12700</xdr:rowOff>
        </xdr:from>
        <xdr:to>
          <xdr:col>9</xdr:col>
          <xdr:colOff>939800</xdr:colOff>
          <xdr:row>28</xdr:row>
          <xdr:rowOff>0</xdr:rowOff>
        </xdr:to>
        <xdr:sp>
          <xdr:nvSpPr>
            <xdr:cNvPr id="8203" name="Spinner 11" hidden="1">
              <a:extLst>
                <a:ext uri="{63B3BB69-23CF-44E3-9099-C40C66FF867C}">
                  <a14:compatExt spid="_x0000_s8203"/>
                </a:ext>
              </a:extLst>
            </xdr:cNvPr>
            <xdr:cNvSpPr/>
          </xdr:nvSpPr>
          <xdr:spPr>
            <a:xfrm>
              <a:off x="8971915" y="5499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876300</xdr:colOff>
          <xdr:row>24</xdr:row>
          <xdr:rowOff>12700</xdr:rowOff>
        </xdr:from>
        <xdr:to>
          <xdr:col>10</xdr:col>
          <xdr:colOff>1003300</xdr:colOff>
          <xdr:row>25</xdr:row>
          <xdr:rowOff>0</xdr:rowOff>
        </xdr:to>
        <xdr:sp>
          <xdr:nvSpPr>
            <xdr:cNvPr id="8204" name="Spinner 12" hidden="1">
              <a:extLst>
                <a:ext uri="{63B3BB69-23CF-44E3-9099-C40C66FF867C}">
                  <a14:compatExt spid="_x0000_s8204"/>
                </a:ext>
              </a:extLst>
            </xdr:cNvPr>
            <xdr:cNvSpPr/>
          </xdr:nvSpPr>
          <xdr:spPr>
            <a:xfrm>
              <a:off x="10000615" y="4889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1016000</xdr:colOff>
          <xdr:row>24</xdr:row>
          <xdr:rowOff>12700</xdr:rowOff>
        </xdr:from>
        <xdr:to>
          <xdr:col>11</xdr:col>
          <xdr:colOff>1136650</xdr:colOff>
          <xdr:row>25</xdr:row>
          <xdr:rowOff>0</xdr:rowOff>
        </xdr:to>
        <xdr:sp>
          <xdr:nvSpPr>
            <xdr:cNvPr id="8205" name="Spinner 13" hidden="1">
              <a:extLst>
                <a:ext uri="{63B3BB69-23CF-44E3-9099-C40C66FF867C}">
                  <a14:compatExt spid="_x0000_s8205"/>
                </a:ext>
              </a:extLst>
            </xdr:cNvPr>
            <xdr:cNvSpPr/>
          </xdr:nvSpPr>
          <xdr:spPr>
            <a:xfrm>
              <a:off x="11190605" y="48895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876300</xdr:colOff>
          <xdr:row>25</xdr:row>
          <xdr:rowOff>12700</xdr:rowOff>
        </xdr:from>
        <xdr:to>
          <xdr:col>10</xdr:col>
          <xdr:colOff>1003300</xdr:colOff>
          <xdr:row>26</xdr:row>
          <xdr:rowOff>0</xdr:rowOff>
        </xdr:to>
        <xdr:sp>
          <xdr:nvSpPr>
            <xdr:cNvPr id="8206" name="Spinner 14" hidden="1">
              <a:extLst>
                <a:ext uri="{63B3BB69-23CF-44E3-9099-C40C66FF867C}">
                  <a14:compatExt spid="_x0000_s8206"/>
                </a:ext>
              </a:extLst>
            </xdr:cNvPr>
            <xdr:cNvSpPr/>
          </xdr:nvSpPr>
          <xdr:spPr>
            <a:xfrm>
              <a:off x="10000615" y="5092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1016000</xdr:colOff>
          <xdr:row>25</xdr:row>
          <xdr:rowOff>12700</xdr:rowOff>
        </xdr:from>
        <xdr:to>
          <xdr:col>11</xdr:col>
          <xdr:colOff>1143000</xdr:colOff>
          <xdr:row>26</xdr:row>
          <xdr:rowOff>0</xdr:rowOff>
        </xdr:to>
        <xdr:sp>
          <xdr:nvSpPr>
            <xdr:cNvPr id="8207" name="Spinner 15" hidden="1">
              <a:extLst>
                <a:ext uri="{63B3BB69-23CF-44E3-9099-C40C66FF867C}">
                  <a14:compatExt spid="_x0000_s8207"/>
                </a:ext>
              </a:extLst>
            </xdr:cNvPr>
            <xdr:cNvSpPr/>
          </xdr:nvSpPr>
          <xdr:spPr>
            <a:xfrm>
              <a:off x="11190605" y="5092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876300</xdr:colOff>
          <xdr:row>26</xdr:row>
          <xdr:rowOff>12700</xdr:rowOff>
        </xdr:from>
        <xdr:to>
          <xdr:col>10</xdr:col>
          <xdr:colOff>1003300</xdr:colOff>
          <xdr:row>27</xdr:row>
          <xdr:rowOff>0</xdr:rowOff>
        </xdr:to>
        <xdr:sp>
          <xdr:nvSpPr>
            <xdr:cNvPr id="8208" name="Spinner 16" hidden="1">
              <a:extLst>
                <a:ext uri="{63B3BB69-23CF-44E3-9099-C40C66FF867C}">
                  <a14:compatExt spid="_x0000_s8208"/>
                </a:ext>
              </a:extLst>
            </xdr:cNvPr>
            <xdr:cNvSpPr/>
          </xdr:nvSpPr>
          <xdr:spPr>
            <a:xfrm>
              <a:off x="10000615" y="52959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1016000</xdr:colOff>
          <xdr:row>26</xdr:row>
          <xdr:rowOff>12700</xdr:rowOff>
        </xdr:from>
        <xdr:to>
          <xdr:col>11</xdr:col>
          <xdr:colOff>1143000</xdr:colOff>
          <xdr:row>27</xdr:row>
          <xdr:rowOff>0</xdr:rowOff>
        </xdr:to>
        <xdr:sp>
          <xdr:nvSpPr>
            <xdr:cNvPr id="8209" name="Spinner 17" hidden="1">
              <a:extLst>
                <a:ext uri="{63B3BB69-23CF-44E3-9099-C40C66FF867C}">
                  <a14:compatExt spid="_x0000_s8209"/>
                </a:ext>
              </a:extLst>
            </xdr:cNvPr>
            <xdr:cNvSpPr/>
          </xdr:nvSpPr>
          <xdr:spPr>
            <a:xfrm>
              <a:off x="11190605" y="52959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876300</xdr:colOff>
          <xdr:row>27</xdr:row>
          <xdr:rowOff>12700</xdr:rowOff>
        </xdr:from>
        <xdr:to>
          <xdr:col>10</xdr:col>
          <xdr:colOff>1003300</xdr:colOff>
          <xdr:row>28</xdr:row>
          <xdr:rowOff>0</xdr:rowOff>
        </xdr:to>
        <xdr:sp>
          <xdr:nvSpPr>
            <xdr:cNvPr id="8210" name="Spinner 18" hidden="1">
              <a:extLst>
                <a:ext uri="{63B3BB69-23CF-44E3-9099-C40C66FF867C}">
                  <a14:compatExt spid="_x0000_s8210"/>
                </a:ext>
              </a:extLst>
            </xdr:cNvPr>
            <xdr:cNvSpPr/>
          </xdr:nvSpPr>
          <xdr:spPr>
            <a:xfrm>
              <a:off x="10000615" y="5499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1016000</xdr:colOff>
          <xdr:row>27</xdr:row>
          <xdr:rowOff>12700</xdr:rowOff>
        </xdr:from>
        <xdr:to>
          <xdr:col>11</xdr:col>
          <xdr:colOff>1143000</xdr:colOff>
          <xdr:row>28</xdr:row>
          <xdr:rowOff>0</xdr:rowOff>
        </xdr:to>
        <xdr:sp>
          <xdr:nvSpPr>
            <xdr:cNvPr id="8211" name="Spinner 19" hidden="1">
              <a:extLst>
                <a:ext uri="{63B3BB69-23CF-44E3-9099-C40C66FF867C}">
                  <a14:compatExt spid="_x0000_s8211"/>
                </a:ext>
              </a:extLst>
            </xdr:cNvPr>
            <xdr:cNvSpPr/>
          </xdr:nvSpPr>
          <xdr:spPr>
            <a:xfrm>
              <a:off x="11190605" y="5499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62</xdr:row>
          <xdr:rowOff>12700</xdr:rowOff>
        </xdr:from>
        <xdr:to>
          <xdr:col>8</xdr:col>
          <xdr:colOff>927100</xdr:colOff>
          <xdr:row>63</xdr:row>
          <xdr:rowOff>0</xdr:rowOff>
        </xdr:to>
        <xdr:sp>
          <xdr:nvSpPr>
            <xdr:cNvPr id="8212" name="Spinner 20" hidden="1">
              <a:extLst>
                <a:ext uri="{63B3BB69-23CF-44E3-9099-C40C66FF867C}">
                  <a14:compatExt spid="_x0000_s8212"/>
                </a:ext>
              </a:extLst>
            </xdr:cNvPr>
            <xdr:cNvSpPr/>
          </xdr:nvSpPr>
          <xdr:spPr>
            <a:xfrm>
              <a:off x="8000365" y="12611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62</xdr:row>
          <xdr:rowOff>12700</xdr:rowOff>
        </xdr:from>
        <xdr:to>
          <xdr:col>9</xdr:col>
          <xdr:colOff>927100</xdr:colOff>
          <xdr:row>63</xdr:row>
          <xdr:rowOff>0</xdr:rowOff>
        </xdr:to>
        <xdr:sp>
          <xdr:nvSpPr>
            <xdr:cNvPr id="8213" name="Spinner 21" hidden="1">
              <a:extLst>
                <a:ext uri="{63B3BB69-23CF-44E3-9099-C40C66FF867C}">
                  <a14:compatExt spid="_x0000_s8213"/>
                </a:ext>
              </a:extLst>
            </xdr:cNvPr>
            <xdr:cNvSpPr/>
          </xdr:nvSpPr>
          <xdr:spPr>
            <a:xfrm>
              <a:off x="8971915" y="126111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869950</xdr:colOff>
          <xdr:row>62</xdr:row>
          <xdr:rowOff>12700</xdr:rowOff>
        </xdr:from>
        <xdr:to>
          <xdr:col>10</xdr:col>
          <xdr:colOff>1003300</xdr:colOff>
          <xdr:row>63</xdr:row>
          <xdr:rowOff>0</xdr:rowOff>
        </xdr:to>
        <xdr:sp>
          <xdr:nvSpPr>
            <xdr:cNvPr id="8214" name="Spinner 22" hidden="1">
              <a:extLst>
                <a:ext uri="{63B3BB69-23CF-44E3-9099-C40C66FF867C}">
                  <a14:compatExt spid="_x0000_s8214"/>
                </a:ext>
              </a:extLst>
            </xdr:cNvPr>
            <xdr:cNvSpPr/>
          </xdr:nvSpPr>
          <xdr:spPr>
            <a:xfrm>
              <a:off x="9994265" y="12611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1003300</xdr:colOff>
          <xdr:row>62</xdr:row>
          <xdr:rowOff>0</xdr:rowOff>
        </xdr:from>
        <xdr:to>
          <xdr:col>11</xdr:col>
          <xdr:colOff>1130300</xdr:colOff>
          <xdr:row>62</xdr:row>
          <xdr:rowOff>190500</xdr:rowOff>
        </xdr:to>
        <xdr:sp>
          <xdr:nvSpPr>
            <xdr:cNvPr id="8215" name="Spinner 23" hidden="1">
              <a:extLst>
                <a:ext uri="{63B3BB69-23CF-44E3-9099-C40C66FF867C}">
                  <a14:compatExt spid="_x0000_s8215"/>
                </a:ext>
              </a:extLst>
            </xdr:cNvPr>
            <xdr:cNvSpPr/>
          </xdr:nvSpPr>
          <xdr:spPr>
            <a:xfrm>
              <a:off x="11177905" y="125984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63</xdr:row>
          <xdr:rowOff>12700</xdr:rowOff>
        </xdr:from>
        <xdr:to>
          <xdr:col>8</xdr:col>
          <xdr:colOff>927100</xdr:colOff>
          <xdr:row>64</xdr:row>
          <xdr:rowOff>0</xdr:rowOff>
        </xdr:to>
        <xdr:sp>
          <xdr:nvSpPr>
            <xdr:cNvPr id="8216" name="Spinner 24" hidden="1">
              <a:extLst>
                <a:ext uri="{63B3BB69-23CF-44E3-9099-C40C66FF867C}">
                  <a14:compatExt spid="_x0000_s8216"/>
                </a:ext>
              </a:extLst>
            </xdr:cNvPr>
            <xdr:cNvSpPr/>
          </xdr:nvSpPr>
          <xdr:spPr>
            <a:xfrm>
              <a:off x="8000365" y="128143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63</xdr:row>
          <xdr:rowOff>12700</xdr:rowOff>
        </xdr:from>
        <xdr:to>
          <xdr:col>9</xdr:col>
          <xdr:colOff>927100</xdr:colOff>
          <xdr:row>64</xdr:row>
          <xdr:rowOff>0</xdr:rowOff>
        </xdr:to>
        <xdr:sp>
          <xdr:nvSpPr>
            <xdr:cNvPr id="8217" name="Spinner 25" hidden="1">
              <a:extLst>
                <a:ext uri="{63B3BB69-23CF-44E3-9099-C40C66FF867C}">
                  <a14:compatExt spid="_x0000_s8217"/>
                </a:ext>
              </a:extLst>
            </xdr:cNvPr>
            <xdr:cNvSpPr/>
          </xdr:nvSpPr>
          <xdr:spPr>
            <a:xfrm>
              <a:off x="8971915" y="128143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869950</xdr:colOff>
          <xdr:row>63</xdr:row>
          <xdr:rowOff>12700</xdr:rowOff>
        </xdr:from>
        <xdr:to>
          <xdr:col>10</xdr:col>
          <xdr:colOff>1003300</xdr:colOff>
          <xdr:row>64</xdr:row>
          <xdr:rowOff>0</xdr:rowOff>
        </xdr:to>
        <xdr:sp>
          <xdr:nvSpPr>
            <xdr:cNvPr id="8218" name="Spinner 26" hidden="1">
              <a:extLst>
                <a:ext uri="{63B3BB69-23CF-44E3-9099-C40C66FF867C}">
                  <a14:compatExt spid="_x0000_s8218"/>
                </a:ext>
              </a:extLst>
            </xdr:cNvPr>
            <xdr:cNvSpPr/>
          </xdr:nvSpPr>
          <xdr:spPr>
            <a:xfrm>
              <a:off x="9994265" y="128143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1003300</xdr:colOff>
          <xdr:row>63</xdr:row>
          <xdr:rowOff>0</xdr:rowOff>
        </xdr:from>
        <xdr:to>
          <xdr:col>11</xdr:col>
          <xdr:colOff>1130300</xdr:colOff>
          <xdr:row>63</xdr:row>
          <xdr:rowOff>190500</xdr:rowOff>
        </xdr:to>
        <xdr:sp>
          <xdr:nvSpPr>
            <xdr:cNvPr id="8219" name="Spinner 27" hidden="1">
              <a:extLst>
                <a:ext uri="{63B3BB69-23CF-44E3-9099-C40C66FF867C}">
                  <a14:compatExt spid="_x0000_s8219"/>
                </a:ext>
              </a:extLst>
            </xdr:cNvPr>
            <xdr:cNvSpPr/>
          </xdr:nvSpPr>
          <xdr:spPr>
            <a:xfrm>
              <a:off x="11177905" y="128016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64</xdr:row>
          <xdr:rowOff>12700</xdr:rowOff>
        </xdr:from>
        <xdr:to>
          <xdr:col>8</xdr:col>
          <xdr:colOff>927100</xdr:colOff>
          <xdr:row>65</xdr:row>
          <xdr:rowOff>0</xdr:rowOff>
        </xdr:to>
        <xdr:sp>
          <xdr:nvSpPr>
            <xdr:cNvPr id="8220" name="Spinner 28" hidden="1">
              <a:extLst>
                <a:ext uri="{63B3BB69-23CF-44E3-9099-C40C66FF867C}">
                  <a14:compatExt spid="_x0000_s8220"/>
                </a:ext>
              </a:extLst>
            </xdr:cNvPr>
            <xdr:cNvSpPr/>
          </xdr:nvSpPr>
          <xdr:spPr>
            <a:xfrm>
              <a:off x="8000365" y="13017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64</xdr:row>
          <xdr:rowOff>12700</xdr:rowOff>
        </xdr:from>
        <xdr:to>
          <xdr:col>9</xdr:col>
          <xdr:colOff>927100</xdr:colOff>
          <xdr:row>65</xdr:row>
          <xdr:rowOff>0</xdr:rowOff>
        </xdr:to>
        <xdr:sp>
          <xdr:nvSpPr>
            <xdr:cNvPr id="8221" name="Spinner 29" hidden="1">
              <a:extLst>
                <a:ext uri="{63B3BB69-23CF-44E3-9099-C40C66FF867C}">
                  <a14:compatExt spid="_x0000_s8221"/>
                </a:ext>
              </a:extLst>
            </xdr:cNvPr>
            <xdr:cNvSpPr/>
          </xdr:nvSpPr>
          <xdr:spPr>
            <a:xfrm>
              <a:off x="8971915" y="130175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869950</xdr:colOff>
          <xdr:row>64</xdr:row>
          <xdr:rowOff>12700</xdr:rowOff>
        </xdr:from>
        <xdr:to>
          <xdr:col>10</xdr:col>
          <xdr:colOff>1003300</xdr:colOff>
          <xdr:row>65</xdr:row>
          <xdr:rowOff>0</xdr:rowOff>
        </xdr:to>
        <xdr:sp>
          <xdr:nvSpPr>
            <xdr:cNvPr id="8222" name="Spinner 30" hidden="1">
              <a:extLst>
                <a:ext uri="{63B3BB69-23CF-44E3-9099-C40C66FF867C}">
                  <a14:compatExt spid="_x0000_s8222"/>
                </a:ext>
              </a:extLst>
            </xdr:cNvPr>
            <xdr:cNvSpPr/>
          </xdr:nvSpPr>
          <xdr:spPr>
            <a:xfrm>
              <a:off x="9994265" y="130175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1003300</xdr:colOff>
          <xdr:row>64</xdr:row>
          <xdr:rowOff>0</xdr:rowOff>
        </xdr:from>
        <xdr:to>
          <xdr:col>11</xdr:col>
          <xdr:colOff>1130300</xdr:colOff>
          <xdr:row>64</xdr:row>
          <xdr:rowOff>190500</xdr:rowOff>
        </xdr:to>
        <xdr:sp>
          <xdr:nvSpPr>
            <xdr:cNvPr id="8223" name="Spinner 31" hidden="1">
              <a:extLst>
                <a:ext uri="{63B3BB69-23CF-44E3-9099-C40C66FF867C}">
                  <a14:compatExt spid="_x0000_s8223"/>
                </a:ext>
              </a:extLst>
            </xdr:cNvPr>
            <xdr:cNvSpPr/>
          </xdr:nvSpPr>
          <xdr:spPr>
            <a:xfrm>
              <a:off x="11177905" y="130048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65</xdr:row>
          <xdr:rowOff>12700</xdr:rowOff>
        </xdr:from>
        <xdr:to>
          <xdr:col>8</xdr:col>
          <xdr:colOff>927100</xdr:colOff>
          <xdr:row>66</xdr:row>
          <xdr:rowOff>0</xdr:rowOff>
        </xdr:to>
        <xdr:sp>
          <xdr:nvSpPr>
            <xdr:cNvPr id="8224" name="Spinner 32" hidden="1">
              <a:extLst>
                <a:ext uri="{63B3BB69-23CF-44E3-9099-C40C66FF867C}">
                  <a14:compatExt spid="_x0000_s8224"/>
                </a:ext>
              </a:extLst>
            </xdr:cNvPr>
            <xdr:cNvSpPr/>
          </xdr:nvSpPr>
          <xdr:spPr>
            <a:xfrm>
              <a:off x="8000365" y="13220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65</xdr:row>
          <xdr:rowOff>12700</xdr:rowOff>
        </xdr:from>
        <xdr:to>
          <xdr:col>9</xdr:col>
          <xdr:colOff>927100</xdr:colOff>
          <xdr:row>66</xdr:row>
          <xdr:rowOff>0</xdr:rowOff>
        </xdr:to>
        <xdr:sp>
          <xdr:nvSpPr>
            <xdr:cNvPr id="8225" name="Spinner 33" hidden="1">
              <a:extLst>
                <a:ext uri="{63B3BB69-23CF-44E3-9099-C40C66FF867C}">
                  <a14:compatExt spid="_x0000_s8225"/>
                </a:ext>
              </a:extLst>
            </xdr:cNvPr>
            <xdr:cNvSpPr/>
          </xdr:nvSpPr>
          <xdr:spPr>
            <a:xfrm>
              <a:off x="8971915" y="132207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869950</xdr:colOff>
          <xdr:row>65</xdr:row>
          <xdr:rowOff>12700</xdr:rowOff>
        </xdr:from>
        <xdr:to>
          <xdr:col>10</xdr:col>
          <xdr:colOff>1003300</xdr:colOff>
          <xdr:row>66</xdr:row>
          <xdr:rowOff>0</xdr:rowOff>
        </xdr:to>
        <xdr:sp>
          <xdr:nvSpPr>
            <xdr:cNvPr id="8226" name="Spinner 34" hidden="1">
              <a:extLst>
                <a:ext uri="{63B3BB69-23CF-44E3-9099-C40C66FF867C}">
                  <a14:compatExt spid="_x0000_s8226"/>
                </a:ext>
              </a:extLst>
            </xdr:cNvPr>
            <xdr:cNvSpPr/>
          </xdr:nvSpPr>
          <xdr:spPr>
            <a:xfrm>
              <a:off x="9994265" y="13220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1003300</xdr:colOff>
          <xdr:row>65</xdr:row>
          <xdr:rowOff>0</xdr:rowOff>
        </xdr:from>
        <xdr:to>
          <xdr:col>11</xdr:col>
          <xdr:colOff>1130300</xdr:colOff>
          <xdr:row>65</xdr:row>
          <xdr:rowOff>190500</xdr:rowOff>
        </xdr:to>
        <xdr:sp>
          <xdr:nvSpPr>
            <xdr:cNvPr id="8227" name="Spinner 35" hidden="1">
              <a:extLst>
                <a:ext uri="{63B3BB69-23CF-44E3-9099-C40C66FF867C}">
                  <a14:compatExt spid="_x0000_s8227"/>
                </a:ext>
              </a:extLst>
            </xdr:cNvPr>
            <xdr:cNvSpPr/>
          </xdr:nvSpPr>
          <xdr:spPr>
            <a:xfrm>
              <a:off x="11177905" y="13208000"/>
              <a:ext cx="127000" cy="190500"/>
            </a:xfrm>
            <a:prstGeom prst="rect">
              <a:avLst/>
            </a:prstGeom>
          </xdr:spPr>
        </xdr:sp>
        <xdr:clientData/>
      </xdr:twoCellAnchor>
    </mc:Choice>
    <mc:Fallback/>
  </mc:AlternateContent>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12</xdr:col>
      <xdr:colOff>36920</xdr:colOff>
      <xdr:row>4</xdr:row>
      <xdr:rowOff>144690</xdr:rowOff>
    </xdr:from>
    <xdr:to>
      <xdr:col>13</xdr:col>
      <xdr:colOff>19957</xdr:colOff>
      <xdr:row>5</xdr:row>
      <xdr:rowOff>159410</xdr:rowOff>
    </xdr:to>
    <xdr:sp macro="[0]!研发A">
      <xdr:nvSpPr>
        <xdr:cNvPr id="2" name="AutoShape 1025"/>
        <xdr:cNvSpPr>
          <a:spLocks noChangeArrowheads="1"/>
        </xdr:cNvSpPr>
      </xdr:nvSpPr>
      <xdr:spPr>
        <a:xfrm>
          <a:off x="11645265" y="956945"/>
          <a:ext cx="817880" cy="21844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A</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36920</xdr:colOff>
      <xdr:row>5</xdr:row>
      <xdr:rowOff>163739</xdr:rowOff>
    </xdr:from>
    <xdr:to>
      <xdr:col>13</xdr:col>
      <xdr:colOff>19957</xdr:colOff>
      <xdr:row>6</xdr:row>
      <xdr:rowOff>166542</xdr:rowOff>
    </xdr:to>
    <xdr:sp macro="[0]!研发B">
      <xdr:nvSpPr>
        <xdr:cNvPr id="3" name="AutoShape 1026"/>
        <xdr:cNvSpPr>
          <a:spLocks noChangeArrowheads="1"/>
        </xdr:cNvSpPr>
      </xdr:nvSpPr>
      <xdr:spPr>
        <a:xfrm>
          <a:off x="11645265" y="1179195"/>
          <a:ext cx="817880" cy="20637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B</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36920</xdr:colOff>
      <xdr:row>6</xdr:row>
      <xdr:rowOff>175170</xdr:rowOff>
    </xdr:from>
    <xdr:to>
      <xdr:col>13</xdr:col>
      <xdr:colOff>19957</xdr:colOff>
      <xdr:row>8</xdr:row>
      <xdr:rowOff>589</xdr:rowOff>
    </xdr:to>
    <xdr:sp macro="[0]!研发C">
      <xdr:nvSpPr>
        <xdr:cNvPr id="4" name="AutoShape 1027"/>
        <xdr:cNvSpPr>
          <a:spLocks noChangeArrowheads="1"/>
        </xdr:cNvSpPr>
      </xdr:nvSpPr>
      <xdr:spPr>
        <a:xfrm>
          <a:off x="11645265" y="1393825"/>
          <a:ext cx="817880" cy="23177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C</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36920</xdr:colOff>
      <xdr:row>8</xdr:row>
      <xdr:rowOff>2722</xdr:rowOff>
    </xdr:from>
    <xdr:to>
      <xdr:col>13</xdr:col>
      <xdr:colOff>19957</xdr:colOff>
      <xdr:row>9</xdr:row>
      <xdr:rowOff>29111</xdr:rowOff>
    </xdr:to>
    <xdr:sp macro="[0]!研发D">
      <xdr:nvSpPr>
        <xdr:cNvPr id="5" name="AutoShape 1028"/>
        <xdr:cNvSpPr>
          <a:spLocks noChangeArrowheads="1"/>
        </xdr:cNvSpPr>
      </xdr:nvSpPr>
      <xdr:spPr>
        <a:xfrm>
          <a:off x="11645265" y="1628140"/>
          <a:ext cx="817880" cy="22923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D</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36920</xdr:colOff>
      <xdr:row>9</xdr:row>
      <xdr:rowOff>38183</xdr:rowOff>
    </xdr:from>
    <xdr:to>
      <xdr:col>13</xdr:col>
      <xdr:colOff>19957</xdr:colOff>
      <xdr:row>10</xdr:row>
      <xdr:rowOff>43277</xdr:rowOff>
    </xdr:to>
    <xdr:sp macro="[0]!清除研发">
      <xdr:nvSpPr>
        <xdr:cNvPr id="6" name="AutoShape 1029"/>
        <xdr:cNvSpPr>
          <a:spLocks noChangeArrowheads="1"/>
        </xdr:cNvSpPr>
      </xdr:nvSpPr>
      <xdr:spPr>
        <a:xfrm>
          <a:off x="11645265" y="1866900"/>
          <a:ext cx="817880" cy="20828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清除研发</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105319</xdr:colOff>
      <xdr:row>17</xdr:row>
      <xdr:rowOff>73554</xdr:rowOff>
    </xdr:from>
    <xdr:to>
      <xdr:col>11</xdr:col>
      <xdr:colOff>807902</xdr:colOff>
      <xdr:row>18</xdr:row>
      <xdr:rowOff>94733</xdr:rowOff>
    </xdr:to>
    <xdr:sp macro="[0]!必要辞退">
      <xdr:nvSpPr>
        <xdr:cNvPr id="7" name="AutoShape 1030"/>
        <xdr:cNvSpPr>
          <a:spLocks noChangeArrowheads="1"/>
        </xdr:cNvSpPr>
      </xdr:nvSpPr>
      <xdr:spPr>
        <a:xfrm>
          <a:off x="10572115" y="3527425"/>
          <a:ext cx="702945" cy="22479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必要辞退</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91349</xdr:colOff>
      <xdr:row>18</xdr:row>
      <xdr:rowOff>122860</xdr:rowOff>
    </xdr:from>
    <xdr:to>
      <xdr:col>11</xdr:col>
      <xdr:colOff>793932</xdr:colOff>
      <xdr:row>19</xdr:row>
      <xdr:rowOff>149635</xdr:rowOff>
    </xdr:to>
    <xdr:sp macro="[0]!最大雇佣">
      <xdr:nvSpPr>
        <xdr:cNvPr id="8" name="AutoShape 1031"/>
        <xdr:cNvSpPr>
          <a:spLocks noChangeArrowheads="1"/>
        </xdr:cNvSpPr>
      </xdr:nvSpPr>
      <xdr:spPr>
        <a:xfrm>
          <a:off x="10558145" y="3780155"/>
          <a:ext cx="702945" cy="22987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最大雇佣</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65951</xdr:colOff>
      <xdr:row>62</xdr:row>
      <xdr:rowOff>170544</xdr:rowOff>
    </xdr:from>
    <xdr:to>
      <xdr:col>12</xdr:col>
      <xdr:colOff>747059</xdr:colOff>
      <xdr:row>65</xdr:row>
      <xdr:rowOff>161017</xdr:rowOff>
    </xdr:to>
    <xdr:sp macro="[0]!按配货比例自动运输">
      <xdr:nvSpPr>
        <xdr:cNvPr id="9" name="AutoShape 1066"/>
        <xdr:cNvSpPr>
          <a:spLocks noChangeArrowheads="1"/>
        </xdr:cNvSpPr>
      </xdr:nvSpPr>
      <xdr:spPr>
        <a:xfrm>
          <a:off x="11673840" y="12768580"/>
          <a:ext cx="681355" cy="600075"/>
        </a:xfrm>
        <a:prstGeom prst="roundRect">
          <a:avLst>
            <a:gd name="adj" fmla="val 0"/>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3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按配货比例自动运输</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127999</xdr:colOff>
      <xdr:row>26</xdr:row>
      <xdr:rowOff>161018</xdr:rowOff>
    </xdr:from>
    <xdr:to>
      <xdr:col>18</xdr:col>
      <xdr:colOff>745735</xdr:colOff>
      <xdr:row>28</xdr:row>
      <xdr:rowOff>161018</xdr:rowOff>
    </xdr:to>
    <xdr:sp macro="[0]!粘贴广促费用">
      <xdr:nvSpPr>
        <xdr:cNvPr id="10" name="AutoShape 1068"/>
        <xdr:cNvSpPr>
          <a:spLocks noChangeArrowheads="1"/>
        </xdr:cNvSpPr>
      </xdr:nvSpPr>
      <xdr:spPr>
        <a:xfrm>
          <a:off x="17566005" y="5443855"/>
          <a:ext cx="617855" cy="4064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2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粘贴广促费用</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5</xdr:col>
      <xdr:colOff>1003300</xdr:colOff>
      <xdr:row>8</xdr:row>
      <xdr:rowOff>190500</xdr:rowOff>
    </xdr:from>
    <xdr:to>
      <xdr:col>6</xdr:col>
      <xdr:colOff>672244</xdr:colOff>
      <xdr:row>10</xdr:row>
      <xdr:rowOff>8751</xdr:rowOff>
    </xdr:to>
    <xdr:sp macro="[0]!自动提交决策">
      <xdr:nvSpPr>
        <xdr:cNvPr id="11" name="AutoShape 1049"/>
        <xdr:cNvSpPr>
          <a:spLocks noChangeArrowheads="1"/>
        </xdr:cNvSpPr>
      </xdr:nvSpPr>
      <xdr:spPr>
        <a:xfrm>
          <a:off x="5790565" y="1816100"/>
          <a:ext cx="718820" cy="22415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提交决策</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553198</xdr:colOff>
      <xdr:row>43</xdr:row>
      <xdr:rowOff>2</xdr:rowOff>
    </xdr:from>
    <xdr:to>
      <xdr:col>9</xdr:col>
      <xdr:colOff>276412</xdr:colOff>
      <xdr:row>44</xdr:row>
      <xdr:rowOff>1</xdr:rowOff>
    </xdr:to>
    <xdr:sp macro="[0]!推荐购入">
      <xdr:nvSpPr>
        <xdr:cNvPr id="12" name="AutoShape 1036"/>
        <xdr:cNvSpPr>
          <a:spLocks noChangeArrowheads="1"/>
        </xdr:cNvSpPr>
      </xdr:nvSpPr>
      <xdr:spPr>
        <a:xfrm>
          <a:off x="7955280" y="8737600"/>
          <a:ext cx="760095" cy="2032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推荐购入</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7</xdr:col>
      <xdr:colOff>635000</xdr:colOff>
      <xdr:row>43</xdr:row>
      <xdr:rowOff>0</xdr:rowOff>
    </xdr:from>
    <xdr:to>
      <xdr:col>8</xdr:col>
      <xdr:colOff>517979</xdr:colOff>
      <xdr:row>43</xdr:row>
      <xdr:rowOff>190500</xdr:rowOff>
    </xdr:to>
    <xdr:sp macro="[0]!必要购入">
      <xdr:nvSpPr>
        <xdr:cNvPr id="13" name="AutoShape 1036"/>
        <xdr:cNvSpPr>
          <a:spLocks noChangeArrowheads="1"/>
        </xdr:cNvSpPr>
      </xdr:nvSpPr>
      <xdr:spPr>
        <a:xfrm>
          <a:off x="7183120" y="8737600"/>
          <a:ext cx="736600" cy="1905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必要购入</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32</xdr:col>
      <xdr:colOff>54667</xdr:colOff>
      <xdr:row>13</xdr:row>
      <xdr:rowOff>26670</xdr:rowOff>
    </xdr:from>
    <xdr:to>
      <xdr:col>34</xdr:col>
      <xdr:colOff>1573</xdr:colOff>
      <xdr:row>14</xdr:row>
      <xdr:rowOff>60288</xdr:rowOff>
    </xdr:to>
    <xdr:sp macro="[0]!粘贴报表">
      <xdr:nvSpPr>
        <xdr:cNvPr id="14" name="AutoShape 1037"/>
        <xdr:cNvSpPr>
          <a:spLocks noChangeArrowheads="1"/>
        </xdr:cNvSpPr>
      </xdr:nvSpPr>
      <xdr:spPr>
        <a:xfrm>
          <a:off x="28431490" y="2668270"/>
          <a:ext cx="1283970" cy="23622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粘贴报表</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46138</xdr:colOff>
      <xdr:row>41</xdr:row>
      <xdr:rowOff>180730</xdr:rowOff>
    </xdr:from>
    <xdr:to>
      <xdr:col>19</xdr:col>
      <xdr:colOff>46136</xdr:colOff>
      <xdr:row>43</xdr:row>
      <xdr:rowOff>51463</xdr:rowOff>
    </xdr:to>
    <xdr:sp macro="[0]!记录工资系数">
      <xdr:nvSpPr>
        <xdr:cNvPr id="15" name="AutoShape 1068"/>
        <xdr:cNvSpPr>
          <a:spLocks noChangeArrowheads="1"/>
        </xdr:cNvSpPr>
      </xdr:nvSpPr>
      <xdr:spPr>
        <a:xfrm>
          <a:off x="17484090" y="8511540"/>
          <a:ext cx="997585" cy="27749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ctr" upright="1"/>
        <a:lstStyle/>
        <a:p>
          <a:pPr algn="ctr" rtl="0">
            <a:lnSpc>
              <a:spcPts val="12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记录工资系数</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mc:AlternateContent xmlns:mc="http://schemas.openxmlformats.org/markup-compatibility/2006">
    <mc:Choice xmlns:a14="http://schemas.microsoft.com/office/drawing/2010/main" Requires="a14">
      <xdr:twoCellAnchor>
        <xdr:from>
          <xdr:col>8</xdr:col>
          <xdr:colOff>889000</xdr:colOff>
          <xdr:row>24</xdr:row>
          <xdr:rowOff>12700</xdr:rowOff>
        </xdr:from>
        <xdr:to>
          <xdr:col>8</xdr:col>
          <xdr:colOff>1016000</xdr:colOff>
          <xdr:row>25</xdr:row>
          <xdr:rowOff>0</xdr:rowOff>
        </xdr:to>
        <xdr:sp>
          <xdr:nvSpPr>
            <xdr:cNvPr id="9221" name="Spinner 5" hidden="1">
              <a:extLst>
                <a:ext uri="{63B3BB69-23CF-44E3-9099-C40C66FF867C}">
                  <a14:compatExt spid="_x0000_s9221"/>
                </a:ext>
              </a:extLst>
            </xdr:cNvPr>
            <xdr:cNvSpPr/>
          </xdr:nvSpPr>
          <xdr:spPr>
            <a:xfrm>
              <a:off x="8291195" y="4889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787400</xdr:colOff>
          <xdr:row>24</xdr:row>
          <xdr:rowOff>12700</xdr:rowOff>
        </xdr:from>
        <xdr:to>
          <xdr:col>9</xdr:col>
          <xdr:colOff>914400</xdr:colOff>
          <xdr:row>25</xdr:row>
          <xdr:rowOff>0</xdr:rowOff>
        </xdr:to>
        <xdr:sp>
          <xdr:nvSpPr>
            <xdr:cNvPr id="9222" name="Spinner 6" hidden="1">
              <a:extLst>
                <a:ext uri="{63B3BB69-23CF-44E3-9099-C40C66FF867C}">
                  <a14:compatExt spid="_x0000_s9222"/>
                </a:ext>
              </a:extLst>
            </xdr:cNvPr>
            <xdr:cNvSpPr/>
          </xdr:nvSpPr>
          <xdr:spPr>
            <a:xfrm>
              <a:off x="9226550" y="4889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889000</xdr:colOff>
          <xdr:row>25</xdr:row>
          <xdr:rowOff>12700</xdr:rowOff>
        </xdr:from>
        <xdr:to>
          <xdr:col>8</xdr:col>
          <xdr:colOff>1016000</xdr:colOff>
          <xdr:row>26</xdr:row>
          <xdr:rowOff>0</xdr:rowOff>
        </xdr:to>
        <xdr:sp>
          <xdr:nvSpPr>
            <xdr:cNvPr id="9223" name="Spinner 7" hidden="1">
              <a:extLst>
                <a:ext uri="{63B3BB69-23CF-44E3-9099-C40C66FF867C}">
                  <a14:compatExt spid="_x0000_s9223"/>
                </a:ext>
              </a:extLst>
            </xdr:cNvPr>
            <xdr:cNvSpPr/>
          </xdr:nvSpPr>
          <xdr:spPr>
            <a:xfrm>
              <a:off x="8291195" y="5092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787400</xdr:colOff>
          <xdr:row>25</xdr:row>
          <xdr:rowOff>12700</xdr:rowOff>
        </xdr:from>
        <xdr:to>
          <xdr:col>9</xdr:col>
          <xdr:colOff>914400</xdr:colOff>
          <xdr:row>26</xdr:row>
          <xdr:rowOff>0</xdr:rowOff>
        </xdr:to>
        <xdr:sp>
          <xdr:nvSpPr>
            <xdr:cNvPr id="9224" name="Spinner 8" hidden="1">
              <a:extLst>
                <a:ext uri="{63B3BB69-23CF-44E3-9099-C40C66FF867C}">
                  <a14:compatExt spid="_x0000_s9224"/>
                </a:ext>
              </a:extLst>
            </xdr:cNvPr>
            <xdr:cNvSpPr/>
          </xdr:nvSpPr>
          <xdr:spPr>
            <a:xfrm>
              <a:off x="9226550" y="5092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889000</xdr:colOff>
          <xdr:row>26</xdr:row>
          <xdr:rowOff>12700</xdr:rowOff>
        </xdr:from>
        <xdr:to>
          <xdr:col>8</xdr:col>
          <xdr:colOff>1016000</xdr:colOff>
          <xdr:row>27</xdr:row>
          <xdr:rowOff>0</xdr:rowOff>
        </xdr:to>
        <xdr:sp>
          <xdr:nvSpPr>
            <xdr:cNvPr id="9225" name="Spinner 9" hidden="1">
              <a:extLst>
                <a:ext uri="{63B3BB69-23CF-44E3-9099-C40C66FF867C}">
                  <a14:compatExt spid="_x0000_s9225"/>
                </a:ext>
              </a:extLst>
            </xdr:cNvPr>
            <xdr:cNvSpPr/>
          </xdr:nvSpPr>
          <xdr:spPr>
            <a:xfrm>
              <a:off x="8291195" y="52959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787400</xdr:colOff>
          <xdr:row>26</xdr:row>
          <xdr:rowOff>12700</xdr:rowOff>
        </xdr:from>
        <xdr:to>
          <xdr:col>9</xdr:col>
          <xdr:colOff>914400</xdr:colOff>
          <xdr:row>27</xdr:row>
          <xdr:rowOff>0</xdr:rowOff>
        </xdr:to>
        <xdr:sp>
          <xdr:nvSpPr>
            <xdr:cNvPr id="9226" name="Spinner 10" hidden="1">
              <a:extLst>
                <a:ext uri="{63B3BB69-23CF-44E3-9099-C40C66FF867C}">
                  <a14:compatExt spid="_x0000_s9226"/>
                </a:ext>
              </a:extLst>
            </xdr:cNvPr>
            <xdr:cNvSpPr/>
          </xdr:nvSpPr>
          <xdr:spPr>
            <a:xfrm>
              <a:off x="9226550" y="52959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889000</xdr:colOff>
          <xdr:row>27</xdr:row>
          <xdr:rowOff>12700</xdr:rowOff>
        </xdr:from>
        <xdr:to>
          <xdr:col>8</xdr:col>
          <xdr:colOff>1016000</xdr:colOff>
          <xdr:row>28</xdr:row>
          <xdr:rowOff>0</xdr:rowOff>
        </xdr:to>
        <xdr:sp>
          <xdr:nvSpPr>
            <xdr:cNvPr id="9227" name="Spinner 11" hidden="1">
              <a:extLst>
                <a:ext uri="{63B3BB69-23CF-44E3-9099-C40C66FF867C}">
                  <a14:compatExt spid="_x0000_s9227"/>
                </a:ext>
              </a:extLst>
            </xdr:cNvPr>
            <xdr:cNvSpPr/>
          </xdr:nvSpPr>
          <xdr:spPr>
            <a:xfrm>
              <a:off x="8291195" y="5499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787400</xdr:colOff>
          <xdr:row>27</xdr:row>
          <xdr:rowOff>12700</xdr:rowOff>
        </xdr:from>
        <xdr:to>
          <xdr:col>9</xdr:col>
          <xdr:colOff>914400</xdr:colOff>
          <xdr:row>28</xdr:row>
          <xdr:rowOff>0</xdr:rowOff>
        </xdr:to>
        <xdr:sp>
          <xdr:nvSpPr>
            <xdr:cNvPr id="9228" name="Spinner 12" hidden="1">
              <a:extLst>
                <a:ext uri="{63B3BB69-23CF-44E3-9099-C40C66FF867C}">
                  <a14:compatExt spid="_x0000_s9228"/>
                </a:ext>
              </a:extLst>
            </xdr:cNvPr>
            <xdr:cNvSpPr/>
          </xdr:nvSpPr>
          <xdr:spPr>
            <a:xfrm>
              <a:off x="9226550" y="5499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908050</xdr:colOff>
          <xdr:row>23</xdr:row>
          <xdr:rowOff>203200</xdr:rowOff>
        </xdr:from>
        <xdr:to>
          <xdr:col>10</xdr:col>
          <xdr:colOff>1041400</xdr:colOff>
          <xdr:row>24</xdr:row>
          <xdr:rowOff>184150</xdr:rowOff>
        </xdr:to>
        <xdr:sp>
          <xdr:nvSpPr>
            <xdr:cNvPr id="9229" name="Spinner 13" hidden="1">
              <a:extLst>
                <a:ext uri="{63B3BB69-23CF-44E3-9099-C40C66FF867C}">
                  <a14:compatExt spid="_x0000_s9229"/>
                </a:ext>
              </a:extLst>
            </xdr:cNvPr>
            <xdr:cNvSpPr/>
          </xdr:nvSpPr>
          <xdr:spPr>
            <a:xfrm>
              <a:off x="10292715" y="4876800"/>
              <a:ext cx="13335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977900</xdr:colOff>
          <xdr:row>24</xdr:row>
          <xdr:rowOff>25400</xdr:rowOff>
        </xdr:from>
        <xdr:to>
          <xdr:col>11</xdr:col>
          <xdr:colOff>1098550</xdr:colOff>
          <xdr:row>25</xdr:row>
          <xdr:rowOff>12700</xdr:rowOff>
        </xdr:to>
        <xdr:sp>
          <xdr:nvSpPr>
            <xdr:cNvPr id="9230" name="Spinner 14" hidden="1">
              <a:extLst>
                <a:ext uri="{63B3BB69-23CF-44E3-9099-C40C66FF867C}">
                  <a14:compatExt spid="_x0000_s9230"/>
                </a:ext>
              </a:extLst>
            </xdr:cNvPr>
            <xdr:cNvSpPr/>
          </xdr:nvSpPr>
          <xdr:spPr>
            <a:xfrm>
              <a:off x="11445240" y="49022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914400</xdr:colOff>
          <xdr:row>24</xdr:row>
          <xdr:rowOff>203200</xdr:rowOff>
        </xdr:from>
        <xdr:to>
          <xdr:col>10</xdr:col>
          <xdr:colOff>1041400</xdr:colOff>
          <xdr:row>25</xdr:row>
          <xdr:rowOff>184150</xdr:rowOff>
        </xdr:to>
        <xdr:sp>
          <xdr:nvSpPr>
            <xdr:cNvPr id="9231" name="Spinner 15" hidden="1">
              <a:extLst>
                <a:ext uri="{63B3BB69-23CF-44E3-9099-C40C66FF867C}">
                  <a14:compatExt spid="_x0000_s9231"/>
                </a:ext>
              </a:extLst>
            </xdr:cNvPr>
            <xdr:cNvSpPr/>
          </xdr:nvSpPr>
          <xdr:spPr>
            <a:xfrm>
              <a:off x="10299065" y="5080000"/>
              <a:ext cx="12700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977900</xdr:colOff>
          <xdr:row>25</xdr:row>
          <xdr:rowOff>25400</xdr:rowOff>
        </xdr:from>
        <xdr:to>
          <xdr:col>11</xdr:col>
          <xdr:colOff>1098550</xdr:colOff>
          <xdr:row>26</xdr:row>
          <xdr:rowOff>12700</xdr:rowOff>
        </xdr:to>
        <xdr:sp>
          <xdr:nvSpPr>
            <xdr:cNvPr id="9232" name="Spinner 16" hidden="1">
              <a:extLst>
                <a:ext uri="{63B3BB69-23CF-44E3-9099-C40C66FF867C}">
                  <a14:compatExt spid="_x0000_s9232"/>
                </a:ext>
              </a:extLst>
            </xdr:cNvPr>
            <xdr:cNvSpPr/>
          </xdr:nvSpPr>
          <xdr:spPr>
            <a:xfrm>
              <a:off x="11445240" y="51054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914400</xdr:colOff>
          <xdr:row>25</xdr:row>
          <xdr:rowOff>190500</xdr:rowOff>
        </xdr:from>
        <xdr:to>
          <xdr:col>10</xdr:col>
          <xdr:colOff>1041400</xdr:colOff>
          <xdr:row>26</xdr:row>
          <xdr:rowOff>184150</xdr:rowOff>
        </xdr:to>
        <xdr:sp>
          <xdr:nvSpPr>
            <xdr:cNvPr id="9233" name="Spinner 17" hidden="1">
              <a:extLst>
                <a:ext uri="{63B3BB69-23CF-44E3-9099-C40C66FF867C}">
                  <a14:compatExt spid="_x0000_s9233"/>
                </a:ext>
              </a:extLst>
            </xdr:cNvPr>
            <xdr:cNvSpPr/>
          </xdr:nvSpPr>
          <xdr:spPr>
            <a:xfrm>
              <a:off x="10299065" y="527050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977900</xdr:colOff>
          <xdr:row>26</xdr:row>
          <xdr:rowOff>12700</xdr:rowOff>
        </xdr:from>
        <xdr:to>
          <xdr:col>11</xdr:col>
          <xdr:colOff>1098550</xdr:colOff>
          <xdr:row>27</xdr:row>
          <xdr:rowOff>12700</xdr:rowOff>
        </xdr:to>
        <xdr:sp>
          <xdr:nvSpPr>
            <xdr:cNvPr id="9234" name="Spinner 18" hidden="1">
              <a:extLst>
                <a:ext uri="{63B3BB69-23CF-44E3-9099-C40C66FF867C}">
                  <a14:compatExt spid="_x0000_s9234"/>
                </a:ext>
              </a:extLst>
            </xdr:cNvPr>
            <xdr:cNvSpPr/>
          </xdr:nvSpPr>
          <xdr:spPr>
            <a:xfrm>
              <a:off x="11445240" y="5295900"/>
              <a:ext cx="120650" cy="2032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914400</xdr:colOff>
          <xdr:row>26</xdr:row>
          <xdr:rowOff>203200</xdr:rowOff>
        </xdr:from>
        <xdr:to>
          <xdr:col>10</xdr:col>
          <xdr:colOff>1041400</xdr:colOff>
          <xdr:row>27</xdr:row>
          <xdr:rowOff>184150</xdr:rowOff>
        </xdr:to>
        <xdr:sp>
          <xdr:nvSpPr>
            <xdr:cNvPr id="9235" name="Spinner 19" hidden="1">
              <a:extLst>
                <a:ext uri="{63B3BB69-23CF-44E3-9099-C40C66FF867C}">
                  <a14:compatExt spid="_x0000_s9235"/>
                </a:ext>
              </a:extLst>
            </xdr:cNvPr>
            <xdr:cNvSpPr/>
          </xdr:nvSpPr>
          <xdr:spPr>
            <a:xfrm>
              <a:off x="10299065" y="5486400"/>
              <a:ext cx="12700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977900</xdr:colOff>
          <xdr:row>27</xdr:row>
          <xdr:rowOff>25400</xdr:rowOff>
        </xdr:from>
        <xdr:to>
          <xdr:col>11</xdr:col>
          <xdr:colOff>1098550</xdr:colOff>
          <xdr:row>28</xdr:row>
          <xdr:rowOff>12700</xdr:rowOff>
        </xdr:to>
        <xdr:sp>
          <xdr:nvSpPr>
            <xdr:cNvPr id="9236" name="Spinner 20" hidden="1">
              <a:extLst>
                <a:ext uri="{63B3BB69-23CF-44E3-9099-C40C66FF867C}">
                  <a14:compatExt spid="_x0000_s9236"/>
                </a:ext>
              </a:extLst>
            </xdr:cNvPr>
            <xdr:cNvSpPr/>
          </xdr:nvSpPr>
          <xdr:spPr>
            <a:xfrm>
              <a:off x="11445240" y="55118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869950</xdr:colOff>
          <xdr:row>62</xdr:row>
          <xdr:rowOff>12700</xdr:rowOff>
        </xdr:from>
        <xdr:to>
          <xdr:col>8</xdr:col>
          <xdr:colOff>984250</xdr:colOff>
          <xdr:row>63</xdr:row>
          <xdr:rowOff>0</xdr:rowOff>
        </xdr:to>
        <xdr:sp>
          <xdr:nvSpPr>
            <xdr:cNvPr id="9237" name="Spinner 21" hidden="1">
              <a:extLst>
                <a:ext uri="{63B3BB69-23CF-44E3-9099-C40C66FF867C}">
                  <a14:compatExt spid="_x0000_s9237"/>
                </a:ext>
              </a:extLst>
            </xdr:cNvPr>
            <xdr:cNvSpPr/>
          </xdr:nvSpPr>
          <xdr:spPr>
            <a:xfrm>
              <a:off x="8272145" y="126111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62</xdr:row>
          <xdr:rowOff>12700</xdr:rowOff>
        </xdr:from>
        <xdr:to>
          <xdr:col>9</xdr:col>
          <xdr:colOff>914400</xdr:colOff>
          <xdr:row>63</xdr:row>
          <xdr:rowOff>0</xdr:rowOff>
        </xdr:to>
        <xdr:sp>
          <xdr:nvSpPr>
            <xdr:cNvPr id="9238" name="Spinner 22" hidden="1">
              <a:extLst>
                <a:ext uri="{63B3BB69-23CF-44E3-9099-C40C66FF867C}">
                  <a14:compatExt spid="_x0000_s9238"/>
                </a:ext>
              </a:extLst>
            </xdr:cNvPr>
            <xdr:cNvSpPr/>
          </xdr:nvSpPr>
          <xdr:spPr>
            <a:xfrm>
              <a:off x="9232900" y="126111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908050</xdr:colOff>
          <xdr:row>62</xdr:row>
          <xdr:rowOff>12700</xdr:rowOff>
        </xdr:from>
        <xdr:to>
          <xdr:col>10</xdr:col>
          <xdr:colOff>1041400</xdr:colOff>
          <xdr:row>63</xdr:row>
          <xdr:rowOff>0</xdr:rowOff>
        </xdr:to>
        <xdr:sp>
          <xdr:nvSpPr>
            <xdr:cNvPr id="9239" name="Spinner 23" hidden="1">
              <a:extLst>
                <a:ext uri="{63B3BB69-23CF-44E3-9099-C40C66FF867C}">
                  <a14:compatExt spid="_x0000_s9239"/>
                </a:ext>
              </a:extLst>
            </xdr:cNvPr>
            <xdr:cNvSpPr/>
          </xdr:nvSpPr>
          <xdr:spPr>
            <a:xfrm>
              <a:off x="10292715" y="12611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965200</xdr:colOff>
          <xdr:row>62</xdr:row>
          <xdr:rowOff>0</xdr:rowOff>
        </xdr:from>
        <xdr:to>
          <xdr:col>11</xdr:col>
          <xdr:colOff>1098550</xdr:colOff>
          <xdr:row>62</xdr:row>
          <xdr:rowOff>190500</xdr:rowOff>
        </xdr:to>
        <xdr:sp>
          <xdr:nvSpPr>
            <xdr:cNvPr id="9240" name="Spinner 24" hidden="1">
              <a:extLst>
                <a:ext uri="{63B3BB69-23CF-44E3-9099-C40C66FF867C}">
                  <a14:compatExt spid="_x0000_s9240"/>
                </a:ext>
              </a:extLst>
            </xdr:cNvPr>
            <xdr:cNvSpPr/>
          </xdr:nvSpPr>
          <xdr:spPr>
            <a:xfrm>
              <a:off x="11432540" y="125984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869950</xdr:colOff>
          <xdr:row>63</xdr:row>
          <xdr:rowOff>12700</xdr:rowOff>
        </xdr:from>
        <xdr:to>
          <xdr:col>8</xdr:col>
          <xdr:colOff>984250</xdr:colOff>
          <xdr:row>64</xdr:row>
          <xdr:rowOff>0</xdr:rowOff>
        </xdr:to>
        <xdr:sp>
          <xdr:nvSpPr>
            <xdr:cNvPr id="9241" name="Spinner 25" hidden="1">
              <a:extLst>
                <a:ext uri="{63B3BB69-23CF-44E3-9099-C40C66FF867C}">
                  <a14:compatExt spid="_x0000_s9241"/>
                </a:ext>
              </a:extLst>
            </xdr:cNvPr>
            <xdr:cNvSpPr/>
          </xdr:nvSpPr>
          <xdr:spPr>
            <a:xfrm>
              <a:off x="8272145" y="128143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63</xdr:row>
          <xdr:rowOff>12700</xdr:rowOff>
        </xdr:from>
        <xdr:to>
          <xdr:col>9</xdr:col>
          <xdr:colOff>914400</xdr:colOff>
          <xdr:row>64</xdr:row>
          <xdr:rowOff>0</xdr:rowOff>
        </xdr:to>
        <xdr:sp>
          <xdr:nvSpPr>
            <xdr:cNvPr id="9242" name="Spinner 26" hidden="1">
              <a:extLst>
                <a:ext uri="{63B3BB69-23CF-44E3-9099-C40C66FF867C}">
                  <a14:compatExt spid="_x0000_s9242"/>
                </a:ext>
              </a:extLst>
            </xdr:cNvPr>
            <xdr:cNvSpPr/>
          </xdr:nvSpPr>
          <xdr:spPr>
            <a:xfrm>
              <a:off x="9232900" y="128143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908050</xdr:colOff>
          <xdr:row>63</xdr:row>
          <xdr:rowOff>12700</xdr:rowOff>
        </xdr:from>
        <xdr:to>
          <xdr:col>10</xdr:col>
          <xdr:colOff>1041400</xdr:colOff>
          <xdr:row>64</xdr:row>
          <xdr:rowOff>0</xdr:rowOff>
        </xdr:to>
        <xdr:sp>
          <xdr:nvSpPr>
            <xdr:cNvPr id="9243" name="Spinner 27" hidden="1">
              <a:extLst>
                <a:ext uri="{63B3BB69-23CF-44E3-9099-C40C66FF867C}">
                  <a14:compatExt spid="_x0000_s9243"/>
                </a:ext>
              </a:extLst>
            </xdr:cNvPr>
            <xdr:cNvSpPr/>
          </xdr:nvSpPr>
          <xdr:spPr>
            <a:xfrm>
              <a:off x="10292715" y="128143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965200</xdr:colOff>
          <xdr:row>63</xdr:row>
          <xdr:rowOff>0</xdr:rowOff>
        </xdr:from>
        <xdr:to>
          <xdr:col>11</xdr:col>
          <xdr:colOff>1098550</xdr:colOff>
          <xdr:row>63</xdr:row>
          <xdr:rowOff>190500</xdr:rowOff>
        </xdr:to>
        <xdr:sp>
          <xdr:nvSpPr>
            <xdr:cNvPr id="9244" name="Spinner 28" hidden="1">
              <a:extLst>
                <a:ext uri="{63B3BB69-23CF-44E3-9099-C40C66FF867C}">
                  <a14:compatExt spid="_x0000_s9244"/>
                </a:ext>
              </a:extLst>
            </xdr:cNvPr>
            <xdr:cNvSpPr/>
          </xdr:nvSpPr>
          <xdr:spPr>
            <a:xfrm>
              <a:off x="11432540" y="128016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869950</xdr:colOff>
          <xdr:row>64</xdr:row>
          <xdr:rowOff>12700</xdr:rowOff>
        </xdr:from>
        <xdr:to>
          <xdr:col>8</xdr:col>
          <xdr:colOff>984250</xdr:colOff>
          <xdr:row>65</xdr:row>
          <xdr:rowOff>0</xdr:rowOff>
        </xdr:to>
        <xdr:sp>
          <xdr:nvSpPr>
            <xdr:cNvPr id="9245" name="Spinner 29" hidden="1">
              <a:extLst>
                <a:ext uri="{63B3BB69-23CF-44E3-9099-C40C66FF867C}">
                  <a14:compatExt spid="_x0000_s9245"/>
                </a:ext>
              </a:extLst>
            </xdr:cNvPr>
            <xdr:cNvSpPr/>
          </xdr:nvSpPr>
          <xdr:spPr>
            <a:xfrm>
              <a:off x="8272145" y="130175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64</xdr:row>
          <xdr:rowOff>12700</xdr:rowOff>
        </xdr:from>
        <xdr:to>
          <xdr:col>9</xdr:col>
          <xdr:colOff>914400</xdr:colOff>
          <xdr:row>65</xdr:row>
          <xdr:rowOff>0</xdr:rowOff>
        </xdr:to>
        <xdr:sp>
          <xdr:nvSpPr>
            <xdr:cNvPr id="9246" name="Spinner 30" hidden="1">
              <a:extLst>
                <a:ext uri="{63B3BB69-23CF-44E3-9099-C40C66FF867C}">
                  <a14:compatExt spid="_x0000_s9246"/>
                </a:ext>
              </a:extLst>
            </xdr:cNvPr>
            <xdr:cNvSpPr/>
          </xdr:nvSpPr>
          <xdr:spPr>
            <a:xfrm>
              <a:off x="9232900" y="130175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908050</xdr:colOff>
          <xdr:row>64</xdr:row>
          <xdr:rowOff>12700</xdr:rowOff>
        </xdr:from>
        <xdr:to>
          <xdr:col>10</xdr:col>
          <xdr:colOff>1041400</xdr:colOff>
          <xdr:row>65</xdr:row>
          <xdr:rowOff>0</xdr:rowOff>
        </xdr:to>
        <xdr:sp>
          <xdr:nvSpPr>
            <xdr:cNvPr id="9247" name="Spinner 31" hidden="1">
              <a:extLst>
                <a:ext uri="{63B3BB69-23CF-44E3-9099-C40C66FF867C}">
                  <a14:compatExt spid="_x0000_s9247"/>
                </a:ext>
              </a:extLst>
            </xdr:cNvPr>
            <xdr:cNvSpPr/>
          </xdr:nvSpPr>
          <xdr:spPr>
            <a:xfrm>
              <a:off x="10292715" y="130175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965200</xdr:colOff>
          <xdr:row>64</xdr:row>
          <xdr:rowOff>0</xdr:rowOff>
        </xdr:from>
        <xdr:to>
          <xdr:col>11</xdr:col>
          <xdr:colOff>1098550</xdr:colOff>
          <xdr:row>64</xdr:row>
          <xdr:rowOff>190500</xdr:rowOff>
        </xdr:to>
        <xdr:sp>
          <xdr:nvSpPr>
            <xdr:cNvPr id="9248" name="Spinner 32" hidden="1">
              <a:extLst>
                <a:ext uri="{63B3BB69-23CF-44E3-9099-C40C66FF867C}">
                  <a14:compatExt spid="_x0000_s9248"/>
                </a:ext>
              </a:extLst>
            </xdr:cNvPr>
            <xdr:cNvSpPr/>
          </xdr:nvSpPr>
          <xdr:spPr>
            <a:xfrm>
              <a:off x="11432540" y="130048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869950</xdr:colOff>
          <xdr:row>65</xdr:row>
          <xdr:rowOff>12700</xdr:rowOff>
        </xdr:from>
        <xdr:to>
          <xdr:col>8</xdr:col>
          <xdr:colOff>984250</xdr:colOff>
          <xdr:row>66</xdr:row>
          <xdr:rowOff>0</xdr:rowOff>
        </xdr:to>
        <xdr:sp>
          <xdr:nvSpPr>
            <xdr:cNvPr id="9249" name="Spinner 33" hidden="1">
              <a:extLst>
                <a:ext uri="{63B3BB69-23CF-44E3-9099-C40C66FF867C}">
                  <a14:compatExt spid="_x0000_s9249"/>
                </a:ext>
              </a:extLst>
            </xdr:cNvPr>
            <xdr:cNvSpPr/>
          </xdr:nvSpPr>
          <xdr:spPr>
            <a:xfrm>
              <a:off x="8272145" y="132207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65</xdr:row>
          <xdr:rowOff>12700</xdr:rowOff>
        </xdr:from>
        <xdr:to>
          <xdr:col>9</xdr:col>
          <xdr:colOff>914400</xdr:colOff>
          <xdr:row>66</xdr:row>
          <xdr:rowOff>0</xdr:rowOff>
        </xdr:to>
        <xdr:sp>
          <xdr:nvSpPr>
            <xdr:cNvPr id="9250" name="Spinner 34" hidden="1">
              <a:extLst>
                <a:ext uri="{63B3BB69-23CF-44E3-9099-C40C66FF867C}">
                  <a14:compatExt spid="_x0000_s9250"/>
                </a:ext>
              </a:extLst>
            </xdr:cNvPr>
            <xdr:cNvSpPr/>
          </xdr:nvSpPr>
          <xdr:spPr>
            <a:xfrm>
              <a:off x="9232900" y="132207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908050</xdr:colOff>
          <xdr:row>65</xdr:row>
          <xdr:rowOff>12700</xdr:rowOff>
        </xdr:from>
        <xdr:to>
          <xdr:col>10</xdr:col>
          <xdr:colOff>1041400</xdr:colOff>
          <xdr:row>66</xdr:row>
          <xdr:rowOff>0</xdr:rowOff>
        </xdr:to>
        <xdr:sp>
          <xdr:nvSpPr>
            <xdr:cNvPr id="9251" name="Spinner 35" hidden="1">
              <a:extLst>
                <a:ext uri="{63B3BB69-23CF-44E3-9099-C40C66FF867C}">
                  <a14:compatExt spid="_x0000_s9251"/>
                </a:ext>
              </a:extLst>
            </xdr:cNvPr>
            <xdr:cNvSpPr/>
          </xdr:nvSpPr>
          <xdr:spPr>
            <a:xfrm>
              <a:off x="10292715" y="13220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965200</xdr:colOff>
          <xdr:row>65</xdr:row>
          <xdr:rowOff>0</xdr:rowOff>
        </xdr:from>
        <xdr:to>
          <xdr:col>11</xdr:col>
          <xdr:colOff>1098550</xdr:colOff>
          <xdr:row>65</xdr:row>
          <xdr:rowOff>190500</xdr:rowOff>
        </xdr:to>
        <xdr:sp>
          <xdr:nvSpPr>
            <xdr:cNvPr id="9252" name="Spinner 36" hidden="1">
              <a:extLst>
                <a:ext uri="{63B3BB69-23CF-44E3-9099-C40C66FF867C}">
                  <a14:compatExt spid="_x0000_s9252"/>
                </a:ext>
              </a:extLst>
            </xdr:cNvPr>
            <xdr:cNvSpPr/>
          </xdr:nvSpPr>
          <xdr:spPr>
            <a:xfrm>
              <a:off x="11432540" y="13208000"/>
              <a:ext cx="133350" cy="190500"/>
            </a:xfrm>
            <a:prstGeom prst="rect">
              <a:avLst/>
            </a:prstGeom>
          </xdr:spPr>
        </xdr:sp>
        <xdr:clientData/>
      </xdr:twoCellAnchor>
    </mc:Choice>
    <mc:Fallback/>
  </mc:AlternateContent>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12</xdr:col>
      <xdr:colOff>1295</xdr:colOff>
      <xdr:row>4</xdr:row>
      <xdr:rowOff>148692</xdr:rowOff>
    </xdr:from>
    <xdr:to>
      <xdr:col>13</xdr:col>
      <xdr:colOff>2166</xdr:colOff>
      <xdr:row>5</xdr:row>
      <xdr:rowOff>153547</xdr:rowOff>
    </xdr:to>
    <xdr:sp macro="[0]!研发A">
      <xdr:nvSpPr>
        <xdr:cNvPr id="2" name="AutoShape 1025"/>
        <xdr:cNvSpPr>
          <a:spLocks noChangeArrowheads="1"/>
        </xdr:cNvSpPr>
      </xdr:nvSpPr>
      <xdr:spPr>
        <a:xfrm>
          <a:off x="11428095" y="961390"/>
          <a:ext cx="854710" cy="20764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A</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1295</xdr:colOff>
      <xdr:row>5</xdr:row>
      <xdr:rowOff>151947</xdr:rowOff>
    </xdr:from>
    <xdr:to>
      <xdr:col>13</xdr:col>
      <xdr:colOff>2166</xdr:colOff>
      <xdr:row>6</xdr:row>
      <xdr:rowOff>165287</xdr:rowOff>
    </xdr:to>
    <xdr:sp macro="[0]!研发B">
      <xdr:nvSpPr>
        <xdr:cNvPr id="3" name="AutoShape 1026"/>
        <xdr:cNvSpPr>
          <a:spLocks noChangeArrowheads="1"/>
        </xdr:cNvSpPr>
      </xdr:nvSpPr>
      <xdr:spPr>
        <a:xfrm>
          <a:off x="11428095" y="1167765"/>
          <a:ext cx="854710" cy="21653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B</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1295</xdr:colOff>
      <xdr:row>6</xdr:row>
      <xdr:rowOff>172233</xdr:rowOff>
    </xdr:from>
    <xdr:to>
      <xdr:col>13</xdr:col>
      <xdr:colOff>2166</xdr:colOff>
      <xdr:row>8</xdr:row>
      <xdr:rowOff>1467</xdr:rowOff>
    </xdr:to>
    <xdr:sp macro="[0]!研发C">
      <xdr:nvSpPr>
        <xdr:cNvPr id="4" name="AutoShape 1027"/>
        <xdr:cNvSpPr>
          <a:spLocks noChangeArrowheads="1"/>
        </xdr:cNvSpPr>
      </xdr:nvSpPr>
      <xdr:spPr>
        <a:xfrm>
          <a:off x="11428095" y="1391285"/>
          <a:ext cx="854710" cy="23558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C</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1295</xdr:colOff>
      <xdr:row>8</xdr:row>
      <xdr:rowOff>1467</xdr:rowOff>
    </xdr:from>
    <xdr:to>
      <xdr:col>13</xdr:col>
      <xdr:colOff>2166</xdr:colOff>
      <xdr:row>9</xdr:row>
      <xdr:rowOff>14806</xdr:rowOff>
    </xdr:to>
    <xdr:sp macro="[0]!研发D">
      <xdr:nvSpPr>
        <xdr:cNvPr id="5" name="AutoShape 1028"/>
        <xdr:cNvSpPr>
          <a:spLocks noChangeArrowheads="1"/>
        </xdr:cNvSpPr>
      </xdr:nvSpPr>
      <xdr:spPr>
        <a:xfrm>
          <a:off x="11428095" y="1626870"/>
          <a:ext cx="854710" cy="21653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D</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1295</xdr:colOff>
      <xdr:row>9</xdr:row>
      <xdr:rowOff>28733</xdr:rowOff>
    </xdr:from>
    <xdr:to>
      <xdr:col>13</xdr:col>
      <xdr:colOff>2166</xdr:colOff>
      <xdr:row>10</xdr:row>
      <xdr:rowOff>61765</xdr:rowOff>
    </xdr:to>
    <xdr:sp macro="[0]!清除研发">
      <xdr:nvSpPr>
        <xdr:cNvPr id="6" name="AutoShape 1029"/>
        <xdr:cNvSpPr>
          <a:spLocks noChangeArrowheads="1"/>
        </xdr:cNvSpPr>
      </xdr:nvSpPr>
      <xdr:spPr>
        <a:xfrm>
          <a:off x="11428095" y="1857375"/>
          <a:ext cx="854710" cy="23622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清除研发</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80720</xdr:colOff>
      <xdr:row>17</xdr:row>
      <xdr:rowOff>46446</xdr:rowOff>
    </xdr:from>
    <xdr:to>
      <xdr:col>11</xdr:col>
      <xdr:colOff>795095</xdr:colOff>
      <xdr:row>18</xdr:row>
      <xdr:rowOff>67630</xdr:rowOff>
    </xdr:to>
    <xdr:sp macro="[0]!必要辞退">
      <xdr:nvSpPr>
        <xdr:cNvPr id="7" name="AutoShape 1030"/>
        <xdr:cNvSpPr>
          <a:spLocks noChangeArrowheads="1"/>
        </xdr:cNvSpPr>
      </xdr:nvSpPr>
      <xdr:spPr>
        <a:xfrm>
          <a:off x="10183495" y="3500755"/>
          <a:ext cx="714375" cy="22415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必要辞退</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80720</xdr:colOff>
      <xdr:row>18</xdr:row>
      <xdr:rowOff>67630</xdr:rowOff>
    </xdr:from>
    <xdr:to>
      <xdr:col>11</xdr:col>
      <xdr:colOff>795095</xdr:colOff>
      <xdr:row>19</xdr:row>
      <xdr:rowOff>96539</xdr:rowOff>
    </xdr:to>
    <xdr:sp macro="[0]!最大雇佣">
      <xdr:nvSpPr>
        <xdr:cNvPr id="8" name="AutoShape 1031"/>
        <xdr:cNvSpPr>
          <a:spLocks noChangeArrowheads="1"/>
        </xdr:cNvSpPr>
      </xdr:nvSpPr>
      <xdr:spPr>
        <a:xfrm>
          <a:off x="10183495" y="3724910"/>
          <a:ext cx="714375" cy="23241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最大雇佣</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109662</xdr:colOff>
      <xdr:row>62</xdr:row>
      <xdr:rowOff>118457</xdr:rowOff>
    </xdr:from>
    <xdr:to>
      <xdr:col>12</xdr:col>
      <xdr:colOff>770344</xdr:colOff>
      <xdr:row>65</xdr:row>
      <xdr:rowOff>115335</xdr:rowOff>
    </xdr:to>
    <xdr:sp macro="[0]!按配货比例自动运输">
      <xdr:nvSpPr>
        <xdr:cNvPr id="9" name="AutoShape 1066"/>
        <xdr:cNvSpPr>
          <a:spLocks noChangeArrowheads="1"/>
        </xdr:cNvSpPr>
      </xdr:nvSpPr>
      <xdr:spPr>
        <a:xfrm>
          <a:off x="11536045" y="12716510"/>
          <a:ext cx="661035" cy="606425"/>
        </a:xfrm>
        <a:prstGeom prst="roundRect">
          <a:avLst>
            <a:gd name="adj" fmla="val 0"/>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3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按配货比例自动运输</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77945</xdr:colOff>
      <xdr:row>27</xdr:row>
      <xdr:rowOff>48329</xdr:rowOff>
    </xdr:from>
    <xdr:to>
      <xdr:col>18</xdr:col>
      <xdr:colOff>826792</xdr:colOff>
      <xdr:row>29</xdr:row>
      <xdr:rowOff>52599</xdr:rowOff>
    </xdr:to>
    <xdr:sp macro="[0]!粘贴广促费用">
      <xdr:nvSpPr>
        <xdr:cNvPr id="10" name="AutoShape 1068"/>
        <xdr:cNvSpPr>
          <a:spLocks noChangeArrowheads="1"/>
        </xdr:cNvSpPr>
      </xdr:nvSpPr>
      <xdr:spPr>
        <a:xfrm>
          <a:off x="17386300" y="5534660"/>
          <a:ext cx="749300" cy="41021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2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粘贴广促费用</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6</xdr:col>
      <xdr:colOff>4269</xdr:colOff>
      <xdr:row>9</xdr:row>
      <xdr:rowOff>19209</xdr:rowOff>
    </xdr:from>
    <xdr:to>
      <xdr:col>7</xdr:col>
      <xdr:colOff>119529</xdr:colOff>
      <xdr:row>10</xdr:row>
      <xdr:rowOff>67234</xdr:rowOff>
    </xdr:to>
    <xdr:sp macro="[0]!自动提交决策">
      <xdr:nvSpPr>
        <xdr:cNvPr id="11" name="AutoShape 1049"/>
        <xdr:cNvSpPr>
          <a:spLocks noChangeArrowheads="1"/>
        </xdr:cNvSpPr>
      </xdr:nvSpPr>
      <xdr:spPr>
        <a:xfrm>
          <a:off x="5632450" y="1847850"/>
          <a:ext cx="767715" cy="25082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提交决策</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932383</xdr:colOff>
      <xdr:row>43</xdr:row>
      <xdr:rowOff>28282</xdr:rowOff>
    </xdr:from>
    <xdr:to>
      <xdr:col>9</xdr:col>
      <xdr:colOff>641755</xdr:colOff>
      <xdr:row>44</xdr:row>
      <xdr:rowOff>19210</xdr:rowOff>
    </xdr:to>
    <xdr:sp macro="[0]!推荐购入">
      <xdr:nvSpPr>
        <xdr:cNvPr id="12" name="AutoShape 1036"/>
        <xdr:cNvSpPr>
          <a:spLocks noChangeArrowheads="1"/>
        </xdr:cNvSpPr>
      </xdr:nvSpPr>
      <xdr:spPr>
        <a:xfrm>
          <a:off x="8067040" y="8765540"/>
          <a:ext cx="713740" cy="19431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推荐购入</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220169</xdr:colOff>
      <xdr:row>43</xdr:row>
      <xdr:rowOff>28282</xdr:rowOff>
    </xdr:from>
    <xdr:to>
      <xdr:col>8</xdr:col>
      <xdr:colOff>945989</xdr:colOff>
      <xdr:row>44</xdr:row>
      <xdr:rowOff>19210</xdr:rowOff>
    </xdr:to>
    <xdr:sp macro="[0]!必要购入">
      <xdr:nvSpPr>
        <xdr:cNvPr id="13" name="AutoShape 1036"/>
        <xdr:cNvSpPr>
          <a:spLocks noChangeArrowheads="1"/>
        </xdr:cNvSpPr>
      </xdr:nvSpPr>
      <xdr:spPr>
        <a:xfrm>
          <a:off x="7354570" y="8765540"/>
          <a:ext cx="725805" cy="19431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必要购入</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31</xdr:col>
      <xdr:colOff>655809</xdr:colOff>
      <xdr:row>13</xdr:row>
      <xdr:rowOff>74102</xdr:rowOff>
    </xdr:from>
    <xdr:to>
      <xdr:col>33</xdr:col>
      <xdr:colOff>612588</xdr:colOff>
      <xdr:row>14</xdr:row>
      <xdr:rowOff>147811</xdr:rowOff>
    </xdr:to>
    <xdr:sp macro="[0]!粘贴报表">
      <xdr:nvSpPr>
        <xdr:cNvPr id="14" name="AutoShape 1037"/>
        <xdr:cNvSpPr>
          <a:spLocks noChangeArrowheads="1"/>
        </xdr:cNvSpPr>
      </xdr:nvSpPr>
      <xdr:spPr>
        <a:xfrm>
          <a:off x="28863925" y="2715260"/>
          <a:ext cx="1339850" cy="27686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粘贴报表</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61978</xdr:colOff>
      <xdr:row>42</xdr:row>
      <xdr:rowOff>84609</xdr:rowOff>
    </xdr:from>
    <xdr:to>
      <xdr:col>19</xdr:col>
      <xdr:colOff>62511</xdr:colOff>
      <xdr:row>43</xdr:row>
      <xdr:rowOff>158911</xdr:rowOff>
    </xdr:to>
    <xdr:sp macro="[0]!记录工资系数">
      <xdr:nvSpPr>
        <xdr:cNvPr id="15" name="AutoShape 1068"/>
        <xdr:cNvSpPr>
          <a:spLocks noChangeArrowheads="1"/>
        </xdr:cNvSpPr>
      </xdr:nvSpPr>
      <xdr:spPr>
        <a:xfrm>
          <a:off x="17370425" y="8618855"/>
          <a:ext cx="998220" cy="27749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ctr" upright="1"/>
        <a:lstStyle/>
        <a:p>
          <a:pPr algn="ctr" rtl="0">
            <a:lnSpc>
              <a:spcPts val="1200"/>
            </a:lnSpc>
            <a:defRPr sz="1000"/>
          </a:pPr>
          <a:r>
            <a:rPr lang="zh-CN" altLang="en-US" sz="1200" b="1" i="0" u="none" strike="noStrike" baseline="0">
              <a:solidFill>
                <a:schemeClr val="bg1"/>
              </a:solidFill>
              <a:latin typeface="宋体" panose="02010600030101010101" pitchFamily="7" charset="-122"/>
              <a:ea typeface="宋体" panose="02010600030101010101" pitchFamily="7" charset="-122"/>
            </a:rPr>
            <a:t>记录工资系数</a:t>
          </a:r>
          <a:endParaRPr lang="zh-CN" altLang="en-US" sz="12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mc:AlternateContent xmlns:mc="http://schemas.openxmlformats.org/markup-compatibility/2006">
    <mc:Choice xmlns:a14="http://schemas.microsoft.com/office/drawing/2010/main" Requires="a14">
      <xdr:twoCellAnchor>
        <xdr:from>
          <xdr:col>8</xdr:col>
          <xdr:colOff>850900</xdr:colOff>
          <xdr:row>23</xdr:row>
          <xdr:rowOff>203200</xdr:rowOff>
        </xdr:from>
        <xdr:to>
          <xdr:col>8</xdr:col>
          <xdr:colOff>965200</xdr:colOff>
          <xdr:row>24</xdr:row>
          <xdr:rowOff>184150</xdr:rowOff>
        </xdr:to>
        <xdr:sp>
          <xdr:nvSpPr>
            <xdr:cNvPr id="10263" name="Spinner 23" hidden="1">
              <a:extLst>
                <a:ext uri="{63B3BB69-23CF-44E3-9099-C40C66FF867C}">
                  <a14:compatExt spid="_x0000_s10263"/>
                </a:ext>
              </a:extLst>
            </xdr:cNvPr>
            <xdr:cNvSpPr/>
          </xdr:nvSpPr>
          <xdr:spPr>
            <a:xfrm>
              <a:off x="7985760" y="4876800"/>
              <a:ext cx="11430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762000</xdr:colOff>
          <xdr:row>24</xdr:row>
          <xdr:rowOff>12700</xdr:rowOff>
        </xdr:from>
        <xdr:to>
          <xdr:col>9</xdr:col>
          <xdr:colOff>901700</xdr:colOff>
          <xdr:row>25</xdr:row>
          <xdr:rowOff>0</xdr:rowOff>
        </xdr:to>
        <xdr:sp>
          <xdr:nvSpPr>
            <xdr:cNvPr id="10264" name="Spinner 24" hidden="1">
              <a:extLst>
                <a:ext uri="{63B3BB69-23CF-44E3-9099-C40C66FF867C}">
                  <a14:compatExt spid="_x0000_s10264"/>
                </a:ext>
              </a:extLst>
            </xdr:cNvPr>
            <xdr:cNvSpPr/>
          </xdr:nvSpPr>
          <xdr:spPr>
            <a:xfrm>
              <a:off x="8901430" y="48895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850900</xdr:colOff>
          <xdr:row>24</xdr:row>
          <xdr:rowOff>203200</xdr:rowOff>
        </xdr:from>
        <xdr:to>
          <xdr:col>8</xdr:col>
          <xdr:colOff>965200</xdr:colOff>
          <xdr:row>25</xdr:row>
          <xdr:rowOff>184150</xdr:rowOff>
        </xdr:to>
        <xdr:sp>
          <xdr:nvSpPr>
            <xdr:cNvPr id="10265" name="Spinner 25" hidden="1">
              <a:extLst>
                <a:ext uri="{63B3BB69-23CF-44E3-9099-C40C66FF867C}">
                  <a14:compatExt spid="_x0000_s10265"/>
                </a:ext>
              </a:extLst>
            </xdr:cNvPr>
            <xdr:cNvSpPr/>
          </xdr:nvSpPr>
          <xdr:spPr>
            <a:xfrm>
              <a:off x="7985760" y="5080000"/>
              <a:ext cx="11430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762000</xdr:colOff>
          <xdr:row>25</xdr:row>
          <xdr:rowOff>12700</xdr:rowOff>
        </xdr:from>
        <xdr:to>
          <xdr:col>9</xdr:col>
          <xdr:colOff>901700</xdr:colOff>
          <xdr:row>26</xdr:row>
          <xdr:rowOff>0</xdr:rowOff>
        </xdr:to>
        <xdr:sp>
          <xdr:nvSpPr>
            <xdr:cNvPr id="10266" name="Spinner 26" hidden="1">
              <a:extLst>
                <a:ext uri="{63B3BB69-23CF-44E3-9099-C40C66FF867C}">
                  <a14:compatExt spid="_x0000_s10266"/>
                </a:ext>
              </a:extLst>
            </xdr:cNvPr>
            <xdr:cNvSpPr/>
          </xdr:nvSpPr>
          <xdr:spPr>
            <a:xfrm>
              <a:off x="8901430" y="50927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850900</xdr:colOff>
          <xdr:row>25</xdr:row>
          <xdr:rowOff>203200</xdr:rowOff>
        </xdr:from>
        <xdr:to>
          <xdr:col>8</xdr:col>
          <xdr:colOff>965200</xdr:colOff>
          <xdr:row>26</xdr:row>
          <xdr:rowOff>184150</xdr:rowOff>
        </xdr:to>
        <xdr:sp>
          <xdr:nvSpPr>
            <xdr:cNvPr id="10267" name="Spinner 27" hidden="1">
              <a:extLst>
                <a:ext uri="{63B3BB69-23CF-44E3-9099-C40C66FF867C}">
                  <a14:compatExt spid="_x0000_s10267"/>
                </a:ext>
              </a:extLst>
            </xdr:cNvPr>
            <xdr:cNvSpPr/>
          </xdr:nvSpPr>
          <xdr:spPr>
            <a:xfrm>
              <a:off x="7985760" y="5283200"/>
              <a:ext cx="11430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762000</xdr:colOff>
          <xdr:row>26</xdr:row>
          <xdr:rowOff>12700</xdr:rowOff>
        </xdr:from>
        <xdr:to>
          <xdr:col>9</xdr:col>
          <xdr:colOff>901700</xdr:colOff>
          <xdr:row>27</xdr:row>
          <xdr:rowOff>0</xdr:rowOff>
        </xdr:to>
        <xdr:sp>
          <xdr:nvSpPr>
            <xdr:cNvPr id="10268" name="Spinner 28" hidden="1">
              <a:extLst>
                <a:ext uri="{63B3BB69-23CF-44E3-9099-C40C66FF867C}">
                  <a14:compatExt spid="_x0000_s10268"/>
                </a:ext>
              </a:extLst>
            </xdr:cNvPr>
            <xdr:cNvSpPr/>
          </xdr:nvSpPr>
          <xdr:spPr>
            <a:xfrm>
              <a:off x="8901430" y="52959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850900</xdr:colOff>
          <xdr:row>26</xdr:row>
          <xdr:rowOff>203200</xdr:rowOff>
        </xdr:from>
        <xdr:to>
          <xdr:col>8</xdr:col>
          <xdr:colOff>965200</xdr:colOff>
          <xdr:row>27</xdr:row>
          <xdr:rowOff>184150</xdr:rowOff>
        </xdr:to>
        <xdr:sp>
          <xdr:nvSpPr>
            <xdr:cNvPr id="10269" name="Spinner 29" hidden="1">
              <a:extLst>
                <a:ext uri="{63B3BB69-23CF-44E3-9099-C40C66FF867C}">
                  <a14:compatExt spid="_x0000_s10269"/>
                </a:ext>
              </a:extLst>
            </xdr:cNvPr>
            <xdr:cNvSpPr/>
          </xdr:nvSpPr>
          <xdr:spPr>
            <a:xfrm>
              <a:off x="7985760" y="5486400"/>
              <a:ext cx="11430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762000</xdr:colOff>
          <xdr:row>27</xdr:row>
          <xdr:rowOff>12700</xdr:rowOff>
        </xdr:from>
        <xdr:to>
          <xdr:col>9</xdr:col>
          <xdr:colOff>901700</xdr:colOff>
          <xdr:row>28</xdr:row>
          <xdr:rowOff>0</xdr:rowOff>
        </xdr:to>
        <xdr:sp>
          <xdr:nvSpPr>
            <xdr:cNvPr id="10270" name="Spinner 30" hidden="1">
              <a:extLst>
                <a:ext uri="{63B3BB69-23CF-44E3-9099-C40C66FF867C}">
                  <a14:compatExt spid="_x0000_s10270"/>
                </a:ext>
              </a:extLst>
            </xdr:cNvPr>
            <xdr:cNvSpPr/>
          </xdr:nvSpPr>
          <xdr:spPr>
            <a:xfrm>
              <a:off x="8901430" y="54991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869950</xdr:colOff>
          <xdr:row>24</xdr:row>
          <xdr:rowOff>12700</xdr:rowOff>
        </xdr:from>
        <xdr:to>
          <xdr:col>10</xdr:col>
          <xdr:colOff>984250</xdr:colOff>
          <xdr:row>25</xdr:row>
          <xdr:rowOff>0</xdr:rowOff>
        </xdr:to>
        <xdr:sp>
          <xdr:nvSpPr>
            <xdr:cNvPr id="10271" name="Spinner 31" hidden="1">
              <a:extLst>
                <a:ext uri="{63B3BB69-23CF-44E3-9099-C40C66FF867C}">
                  <a14:compatExt spid="_x0000_s10271"/>
                </a:ext>
              </a:extLst>
            </xdr:cNvPr>
            <xdr:cNvSpPr/>
          </xdr:nvSpPr>
          <xdr:spPr>
            <a:xfrm>
              <a:off x="9942195" y="48895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1155700</xdr:colOff>
          <xdr:row>24</xdr:row>
          <xdr:rowOff>12700</xdr:rowOff>
        </xdr:from>
        <xdr:to>
          <xdr:col>11</xdr:col>
          <xdr:colOff>1282700</xdr:colOff>
          <xdr:row>25</xdr:row>
          <xdr:rowOff>0</xdr:rowOff>
        </xdr:to>
        <xdr:sp>
          <xdr:nvSpPr>
            <xdr:cNvPr id="10272" name="Spinner 32" hidden="1">
              <a:extLst>
                <a:ext uri="{63B3BB69-23CF-44E3-9099-C40C66FF867C}">
                  <a14:compatExt spid="_x0000_s10272"/>
                </a:ext>
              </a:extLst>
            </xdr:cNvPr>
            <xdr:cNvSpPr/>
          </xdr:nvSpPr>
          <xdr:spPr>
            <a:xfrm>
              <a:off x="11258550" y="4889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869950</xdr:colOff>
          <xdr:row>25</xdr:row>
          <xdr:rowOff>12700</xdr:rowOff>
        </xdr:from>
        <xdr:to>
          <xdr:col>10</xdr:col>
          <xdr:colOff>990600</xdr:colOff>
          <xdr:row>26</xdr:row>
          <xdr:rowOff>0</xdr:rowOff>
        </xdr:to>
        <xdr:sp>
          <xdr:nvSpPr>
            <xdr:cNvPr id="10273" name="Spinner 33" hidden="1">
              <a:extLst>
                <a:ext uri="{63B3BB69-23CF-44E3-9099-C40C66FF867C}">
                  <a14:compatExt spid="_x0000_s10273"/>
                </a:ext>
              </a:extLst>
            </xdr:cNvPr>
            <xdr:cNvSpPr/>
          </xdr:nvSpPr>
          <xdr:spPr>
            <a:xfrm>
              <a:off x="9942195" y="50927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1155700</xdr:colOff>
          <xdr:row>25</xdr:row>
          <xdr:rowOff>12700</xdr:rowOff>
        </xdr:from>
        <xdr:to>
          <xdr:col>11</xdr:col>
          <xdr:colOff>1289050</xdr:colOff>
          <xdr:row>26</xdr:row>
          <xdr:rowOff>0</xdr:rowOff>
        </xdr:to>
        <xdr:sp>
          <xdr:nvSpPr>
            <xdr:cNvPr id="10274" name="Spinner 34" hidden="1">
              <a:extLst>
                <a:ext uri="{63B3BB69-23CF-44E3-9099-C40C66FF867C}">
                  <a14:compatExt spid="_x0000_s10274"/>
                </a:ext>
              </a:extLst>
            </xdr:cNvPr>
            <xdr:cNvSpPr/>
          </xdr:nvSpPr>
          <xdr:spPr>
            <a:xfrm>
              <a:off x="11258550" y="5092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869950</xdr:colOff>
          <xdr:row>26</xdr:row>
          <xdr:rowOff>12700</xdr:rowOff>
        </xdr:from>
        <xdr:to>
          <xdr:col>10</xdr:col>
          <xdr:colOff>990600</xdr:colOff>
          <xdr:row>27</xdr:row>
          <xdr:rowOff>0</xdr:rowOff>
        </xdr:to>
        <xdr:sp>
          <xdr:nvSpPr>
            <xdr:cNvPr id="10275" name="Spinner 35" hidden="1">
              <a:extLst>
                <a:ext uri="{63B3BB69-23CF-44E3-9099-C40C66FF867C}">
                  <a14:compatExt spid="_x0000_s10275"/>
                </a:ext>
              </a:extLst>
            </xdr:cNvPr>
            <xdr:cNvSpPr/>
          </xdr:nvSpPr>
          <xdr:spPr>
            <a:xfrm>
              <a:off x="9942195" y="52959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1155700</xdr:colOff>
          <xdr:row>26</xdr:row>
          <xdr:rowOff>12700</xdr:rowOff>
        </xdr:from>
        <xdr:to>
          <xdr:col>11</xdr:col>
          <xdr:colOff>1289050</xdr:colOff>
          <xdr:row>27</xdr:row>
          <xdr:rowOff>0</xdr:rowOff>
        </xdr:to>
        <xdr:sp>
          <xdr:nvSpPr>
            <xdr:cNvPr id="10276" name="Spinner 36" hidden="1">
              <a:extLst>
                <a:ext uri="{63B3BB69-23CF-44E3-9099-C40C66FF867C}">
                  <a14:compatExt spid="_x0000_s10276"/>
                </a:ext>
              </a:extLst>
            </xdr:cNvPr>
            <xdr:cNvSpPr/>
          </xdr:nvSpPr>
          <xdr:spPr>
            <a:xfrm>
              <a:off x="11258550" y="52959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869950</xdr:colOff>
          <xdr:row>27</xdr:row>
          <xdr:rowOff>12700</xdr:rowOff>
        </xdr:from>
        <xdr:to>
          <xdr:col>10</xdr:col>
          <xdr:colOff>990600</xdr:colOff>
          <xdr:row>28</xdr:row>
          <xdr:rowOff>0</xdr:rowOff>
        </xdr:to>
        <xdr:sp>
          <xdr:nvSpPr>
            <xdr:cNvPr id="10277" name="Spinner 37" hidden="1">
              <a:extLst>
                <a:ext uri="{63B3BB69-23CF-44E3-9099-C40C66FF867C}">
                  <a14:compatExt spid="_x0000_s10277"/>
                </a:ext>
              </a:extLst>
            </xdr:cNvPr>
            <xdr:cNvSpPr/>
          </xdr:nvSpPr>
          <xdr:spPr>
            <a:xfrm>
              <a:off x="9942195" y="54991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1155700</xdr:colOff>
          <xdr:row>27</xdr:row>
          <xdr:rowOff>12700</xdr:rowOff>
        </xdr:from>
        <xdr:to>
          <xdr:col>11</xdr:col>
          <xdr:colOff>1289050</xdr:colOff>
          <xdr:row>28</xdr:row>
          <xdr:rowOff>0</xdr:rowOff>
        </xdr:to>
        <xdr:sp>
          <xdr:nvSpPr>
            <xdr:cNvPr id="10278" name="Spinner 38" hidden="1">
              <a:extLst>
                <a:ext uri="{63B3BB69-23CF-44E3-9099-C40C66FF867C}">
                  <a14:compatExt spid="_x0000_s10278"/>
                </a:ext>
              </a:extLst>
            </xdr:cNvPr>
            <xdr:cNvSpPr/>
          </xdr:nvSpPr>
          <xdr:spPr>
            <a:xfrm>
              <a:off x="11258550" y="5499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838200</xdr:colOff>
          <xdr:row>62</xdr:row>
          <xdr:rowOff>12700</xdr:rowOff>
        </xdr:from>
        <xdr:to>
          <xdr:col>8</xdr:col>
          <xdr:colOff>965200</xdr:colOff>
          <xdr:row>63</xdr:row>
          <xdr:rowOff>0</xdr:rowOff>
        </xdr:to>
        <xdr:sp>
          <xdr:nvSpPr>
            <xdr:cNvPr id="10279" name="Spinner 39" hidden="1">
              <a:extLst>
                <a:ext uri="{63B3BB69-23CF-44E3-9099-C40C66FF867C}">
                  <a14:compatExt spid="_x0000_s10279"/>
                </a:ext>
              </a:extLst>
            </xdr:cNvPr>
            <xdr:cNvSpPr/>
          </xdr:nvSpPr>
          <xdr:spPr>
            <a:xfrm>
              <a:off x="7973060" y="12611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62</xdr:row>
          <xdr:rowOff>12700</xdr:rowOff>
        </xdr:from>
        <xdr:to>
          <xdr:col>9</xdr:col>
          <xdr:colOff>889000</xdr:colOff>
          <xdr:row>63</xdr:row>
          <xdr:rowOff>0</xdr:rowOff>
        </xdr:to>
        <xdr:sp>
          <xdr:nvSpPr>
            <xdr:cNvPr id="10280" name="Spinner 40" hidden="1">
              <a:extLst>
                <a:ext uri="{63B3BB69-23CF-44E3-9099-C40C66FF867C}">
                  <a14:compatExt spid="_x0000_s10280"/>
                </a:ext>
              </a:extLst>
            </xdr:cNvPr>
            <xdr:cNvSpPr/>
          </xdr:nvSpPr>
          <xdr:spPr>
            <a:xfrm>
              <a:off x="8914130" y="126111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850900</xdr:colOff>
          <xdr:row>62</xdr:row>
          <xdr:rowOff>12700</xdr:rowOff>
        </xdr:from>
        <xdr:to>
          <xdr:col>10</xdr:col>
          <xdr:colOff>984250</xdr:colOff>
          <xdr:row>63</xdr:row>
          <xdr:rowOff>0</xdr:rowOff>
        </xdr:to>
        <xdr:sp>
          <xdr:nvSpPr>
            <xdr:cNvPr id="10281" name="Spinner 41" hidden="1">
              <a:extLst>
                <a:ext uri="{63B3BB69-23CF-44E3-9099-C40C66FF867C}">
                  <a14:compatExt spid="_x0000_s10281"/>
                </a:ext>
              </a:extLst>
            </xdr:cNvPr>
            <xdr:cNvSpPr/>
          </xdr:nvSpPr>
          <xdr:spPr>
            <a:xfrm>
              <a:off x="9923145" y="12611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1136650</xdr:colOff>
          <xdr:row>62</xdr:row>
          <xdr:rowOff>0</xdr:rowOff>
        </xdr:from>
        <xdr:to>
          <xdr:col>11</xdr:col>
          <xdr:colOff>1270000</xdr:colOff>
          <xdr:row>62</xdr:row>
          <xdr:rowOff>190500</xdr:rowOff>
        </xdr:to>
        <xdr:sp>
          <xdr:nvSpPr>
            <xdr:cNvPr id="10282" name="Spinner 42" hidden="1">
              <a:extLst>
                <a:ext uri="{63B3BB69-23CF-44E3-9099-C40C66FF867C}">
                  <a14:compatExt spid="_x0000_s10282"/>
                </a:ext>
              </a:extLst>
            </xdr:cNvPr>
            <xdr:cNvSpPr/>
          </xdr:nvSpPr>
          <xdr:spPr>
            <a:xfrm>
              <a:off x="11239500" y="125984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838200</xdr:colOff>
          <xdr:row>63</xdr:row>
          <xdr:rowOff>12700</xdr:rowOff>
        </xdr:from>
        <xdr:to>
          <xdr:col>8</xdr:col>
          <xdr:colOff>965200</xdr:colOff>
          <xdr:row>64</xdr:row>
          <xdr:rowOff>0</xdr:rowOff>
        </xdr:to>
        <xdr:sp>
          <xdr:nvSpPr>
            <xdr:cNvPr id="10283" name="Spinner 43" hidden="1">
              <a:extLst>
                <a:ext uri="{63B3BB69-23CF-44E3-9099-C40C66FF867C}">
                  <a14:compatExt spid="_x0000_s10283"/>
                </a:ext>
              </a:extLst>
            </xdr:cNvPr>
            <xdr:cNvSpPr/>
          </xdr:nvSpPr>
          <xdr:spPr>
            <a:xfrm>
              <a:off x="7973060" y="128143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63</xdr:row>
          <xdr:rowOff>12700</xdr:rowOff>
        </xdr:from>
        <xdr:to>
          <xdr:col>9</xdr:col>
          <xdr:colOff>889000</xdr:colOff>
          <xdr:row>64</xdr:row>
          <xdr:rowOff>0</xdr:rowOff>
        </xdr:to>
        <xdr:sp>
          <xdr:nvSpPr>
            <xdr:cNvPr id="10284" name="Spinner 44" hidden="1">
              <a:extLst>
                <a:ext uri="{63B3BB69-23CF-44E3-9099-C40C66FF867C}">
                  <a14:compatExt spid="_x0000_s10284"/>
                </a:ext>
              </a:extLst>
            </xdr:cNvPr>
            <xdr:cNvSpPr/>
          </xdr:nvSpPr>
          <xdr:spPr>
            <a:xfrm>
              <a:off x="8914130" y="128143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850900</xdr:colOff>
          <xdr:row>63</xdr:row>
          <xdr:rowOff>12700</xdr:rowOff>
        </xdr:from>
        <xdr:to>
          <xdr:col>10</xdr:col>
          <xdr:colOff>984250</xdr:colOff>
          <xdr:row>64</xdr:row>
          <xdr:rowOff>0</xdr:rowOff>
        </xdr:to>
        <xdr:sp>
          <xdr:nvSpPr>
            <xdr:cNvPr id="10285" name="Spinner 45" hidden="1">
              <a:extLst>
                <a:ext uri="{63B3BB69-23CF-44E3-9099-C40C66FF867C}">
                  <a14:compatExt spid="_x0000_s10285"/>
                </a:ext>
              </a:extLst>
            </xdr:cNvPr>
            <xdr:cNvSpPr/>
          </xdr:nvSpPr>
          <xdr:spPr>
            <a:xfrm>
              <a:off x="9923145" y="128143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1136650</xdr:colOff>
          <xdr:row>63</xdr:row>
          <xdr:rowOff>0</xdr:rowOff>
        </xdr:from>
        <xdr:to>
          <xdr:col>11</xdr:col>
          <xdr:colOff>1270000</xdr:colOff>
          <xdr:row>63</xdr:row>
          <xdr:rowOff>190500</xdr:rowOff>
        </xdr:to>
        <xdr:sp>
          <xdr:nvSpPr>
            <xdr:cNvPr id="10286" name="Spinner 46" hidden="1">
              <a:extLst>
                <a:ext uri="{63B3BB69-23CF-44E3-9099-C40C66FF867C}">
                  <a14:compatExt spid="_x0000_s10286"/>
                </a:ext>
              </a:extLst>
            </xdr:cNvPr>
            <xdr:cNvSpPr/>
          </xdr:nvSpPr>
          <xdr:spPr>
            <a:xfrm>
              <a:off x="11239500" y="128016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838200</xdr:colOff>
          <xdr:row>64</xdr:row>
          <xdr:rowOff>12700</xdr:rowOff>
        </xdr:from>
        <xdr:to>
          <xdr:col>8</xdr:col>
          <xdr:colOff>965200</xdr:colOff>
          <xdr:row>65</xdr:row>
          <xdr:rowOff>0</xdr:rowOff>
        </xdr:to>
        <xdr:sp>
          <xdr:nvSpPr>
            <xdr:cNvPr id="10287" name="Spinner 47" hidden="1">
              <a:extLst>
                <a:ext uri="{63B3BB69-23CF-44E3-9099-C40C66FF867C}">
                  <a14:compatExt spid="_x0000_s10287"/>
                </a:ext>
              </a:extLst>
            </xdr:cNvPr>
            <xdr:cNvSpPr/>
          </xdr:nvSpPr>
          <xdr:spPr>
            <a:xfrm>
              <a:off x="7973060" y="13017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64</xdr:row>
          <xdr:rowOff>12700</xdr:rowOff>
        </xdr:from>
        <xdr:to>
          <xdr:col>9</xdr:col>
          <xdr:colOff>889000</xdr:colOff>
          <xdr:row>65</xdr:row>
          <xdr:rowOff>0</xdr:rowOff>
        </xdr:to>
        <xdr:sp>
          <xdr:nvSpPr>
            <xdr:cNvPr id="10288" name="Spinner 48" hidden="1">
              <a:extLst>
                <a:ext uri="{63B3BB69-23CF-44E3-9099-C40C66FF867C}">
                  <a14:compatExt spid="_x0000_s10288"/>
                </a:ext>
              </a:extLst>
            </xdr:cNvPr>
            <xdr:cNvSpPr/>
          </xdr:nvSpPr>
          <xdr:spPr>
            <a:xfrm>
              <a:off x="8914130" y="130175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850900</xdr:colOff>
          <xdr:row>64</xdr:row>
          <xdr:rowOff>12700</xdr:rowOff>
        </xdr:from>
        <xdr:to>
          <xdr:col>10</xdr:col>
          <xdr:colOff>984250</xdr:colOff>
          <xdr:row>65</xdr:row>
          <xdr:rowOff>0</xdr:rowOff>
        </xdr:to>
        <xdr:sp>
          <xdr:nvSpPr>
            <xdr:cNvPr id="10289" name="Spinner 49" hidden="1">
              <a:extLst>
                <a:ext uri="{63B3BB69-23CF-44E3-9099-C40C66FF867C}">
                  <a14:compatExt spid="_x0000_s10289"/>
                </a:ext>
              </a:extLst>
            </xdr:cNvPr>
            <xdr:cNvSpPr/>
          </xdr:nvSpPr>
          <xdr:spPr>
            <a:xfrm>
              <a:off x="9923145" y="130175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1136650</xdr:colOff>
          <xdr:row>64</xdr:row>
          <xdr:rowOff>0</xdr:rowOff>
        </xdr:from>
        <xdr:to>
          <xdr:col>11</xdr:col>
          <xdr:colOff>1270000</xdr:colOff>
          <xdr:row>64</xdr:row>
          <xdr:rowOff>190500</xdr:rowOff>
        </xdr:to>
        <xdr:sp>
          <xdr:nvSpPr>
            <xdr:cNvPr id="10290" name="Spinner 50" hidden="1">
              <a:extLst>
                <a:ext uri="{63B3BB69-23CF-44E3-9099-C40C66FF867C}">
                  <a14:compatExt spid="_x0000_s10290"/>
                </a:ext>
              </a:extLst>
            </xdr:cNvPr>
            <xdr:cNvSpPr/>
          </xdr:nvSpPr>
          <xdr:spPr>
            <a:xfrm>
              <a:off x="11239500" y="130048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838200</xdr:colOff>
          <xdr:row>65</xdr:row>
          <xdr:rowOff>12700</xdr:rowOff>
        </xdr:from>
        <xdr:to>
          <xdr:col>8</xdr:col>
          <xdr:colOff>965200</xdr:colOff>
          <xdr:row>66</xdr:row>
          <xdr:rowOff>0</xdr:rowOff>
        </xdr:to>
        <xdr:sp>
          <xdr:nvSpPr>
            <xdr:cNvPr id="10291" name="Spinner 51" hidden="1">
              <a:extLst>
                <a:ext uri="{63B3BB69-23CF-44E3-9099-C40C66FF867C}">
                  <a14:compatExt spid="_x0000_s10291"/>
                </a:ext>
              </a:extLst>
            </xdr:cNvPr>
            <xdr:cNvSpPr/>
          </xdr:nvSpPr>
          <xdr:spPr>
            <a:xfrm>
              <a:off x="7973060" y="13220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65</xdr:row>
          <xdr:rowOff>12700</xdr:rowOff>
        </xdr:from>
        <xdr:to>
          <xdr:col>9</xdr:col>
          <xdr:colOff>889000</xdr:colOff>
          <xdr:row>66</xdr:row>
          <xdr:rowOff>0</xdr:rowOff>
        </xdr:to>
        <xdr:sp>
          <xdr:nvSpPr>
            <xdr:cNvPr id="10292" name="Spinner 52" hidden="1">
              <a:extLst>
                <a:ext uri="{63B3BB69-23CF-44E3-9099-C40C66FF867C}">
                  <a14:compatExt spid="_x0000_s10292"/>
                </a:ext>
              </a:extLst>
            </xdr:cNvPr>
            <xdr:cNvSpPr/>
          </xdr:nvSpPr>
          <xdr:spPr>
            <a:xfrm>
              <a:off x="8914130" y="132207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850900</xdr:colOff>
          <xdr:row>65</xdr:row>
          <xdr:rowOff>12700</xdr:rowOff>
        </xdr:from>
        <xdr:to>
          <xdr:col>10</xdr:col>
          <xdr:colOff>984250</xdr:colOff>
          <xdr:row>66</xdr:row>
          <xdr:rowOff>0</xdr:rowOff>
        </xdr:to>
        <xdr:sp>
          <xdr:nvSpPr>
            <xdr:cNvPr id="10293" name="Spinner 53" hidden="1">
              <a:extLst>
                <a:ext uri="{63B3BB69-23CF-44E3-9099-C40C66FF867C}">
                  <a14:compatExt spid="_x0000_s10293"/>
                </a:ext>
              </a:extLst>
            </xdr:cNvPr>
            <xdr:cNvSpPr/>
          </xdr:nvSpPr>
          <xdr:spPr>
            <a:xfrm>
              <a:off x="9923145" y="13220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1136650</xdr:colOff>
          <xdr:row>65</xdr:row>
          <xdr:rowOff>0</xdr:rowOff>
        </xdr:from>
        <xdr:to>
          <xdr:col>11</xdr:col>
          <xdr:colOff>1270000</xdr:colOff>
          <xdr:row>65</xdr:row>
          <xdr:rowOff>190500</xdr:rowOff>
        </xdr:to>
        <xdr:sp>
          <xdr:nvSpPr>
            <xdr:cNvPr id="10294" name="Spinner 54" hidden="1">
              <a:extLst>
                <a:ext uri="{63B3BB69-23CF-44E3-9099-C40C66FF867C}">
                  <a14:compatExt spid="_x0000_s10294"/>
                </a:ext>
              </a:extLst>
            </xdr:cNvPr>
            <xdr:cNvSpPr/>
          </xdr:nvSpPr>
          <xdr:spPr>
            <a:xfrm>
              <a:off x="11239500" y="13208000"/>
              <a:ext cx="133350" cy="19050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11</xdr:col>
      <xdr:colOff>1143225</xdr:colOff>
      <xdr:row>4</xdr:row>
      <xdr:rowOff>154881</xdr:rowOff>
    </xdr:from>
    <xdr:to>
      <xdr:col>13</xdr:col>
      <xdr:colOff>6168</xdr:colOff>
      <xdr:row>5</xdr:row>
      <xdr:rowOff>169176</xdr:rowOff>
    </xdr:to>
    <xdr:sp macro="[0]!研发A">
      <xdr:nvSpPr>
        <xdr:cNvPr id="2" name="AutoShape 1025"/>
        <xdr:cNvSpPr>
          <a:spLocks noChangeArrowheads="1"/>
        </xdr:cNvSpPr>
      </xdr:nvSpPr>
      <xdr:spPr>
        <a:xfrm>
          <a:off x="11304270" y="967105"/>
          <a:ext cx="917575" cy="21780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A</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1140169</xdr:colOff>
      <xdr:row>5</xdr:row>
      <xdr:rowOff>166086</xdr:rowOff>
    </xdr:from>
    <xdr:to>
      <xdr:col>13</xdr:col>
      <xdr:colOff>6168</xdr:colOff>
      <xdr:row>6</xdr:row>
      <xdr:rowOff>180380</xdr:rowOff>
    </xdr:to>
    <xdr:sp macro="[0]!研发B">
      <xdr:nvSpPr>
        <xdr:cNvPr id="3" name="AutoShape 1026"/>
        <xdr:cNvSpPr>
          <a:spLocks noChangeArrowheads="1"/>
        </xdr:cNvSpPr>
      </xdr:nvSpPr>
      <xdr:spPr>
        <a:xfrm>
          <a:off x="11301095" y="1181735"/>
          <a:ext cx="920750" cy="21780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B</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1140170</xdr:colOff>
      <xdr:row>6</xdr:row>
      <xdr:rowOff>173035</xdr:rowOff>
    </xdr:from>
    <xdr:to>
      <xdr:col>13</xdr:col>
      <xdr:colOff>6168</xdr:colOff>
      <xdr:row>7</xdr:row>
      <xdr:rowOff>187329</xdr:rowOff>
    </xdr:to>
    <xdr:sp macro="[0]!研发C">
      <xdr:nvSpPr>
        <xdr:cNvPr id="4" name="AutoShape 1027"/>
        <xdr:cNvSpPr>
          <a:spLocks noChangeArrowheads="1"/>
        </xdr:cNvSpPr>
      </xdr:nvSpPr>
      <xdr:spPr>
        <a:xfrm>
          <a:off x="11301095" y="1391920"/>
          <a:ext cx="920750" cy="21780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C</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1140169</xdr:colOff>
      <xdr:row>7</xdr:row>
      <xdr:rowOff>188501</xdr:rowOff>
    </xdr:from>
    <xdr:to>
      <xdr:col>13</xdr:col>
      <xdr:colOff>6168</xdr:colOff>
      <xdr:row>9</xdr:row>
      <xdr:rowOff>5491</xdr:rowOff>
    </xdr:to>
    <xdr:sp macro="[0]!研发D">
      <xdr:nvSpPr>
        <xdr:cNvPr id="5" name="AutoShape 1028"/>
        <xdr:cNvSpPr>
          <a:spLocks noChangeArrowheads="1"/>
        </xdr:cNvSpPr>
      </xdr:nvSpPr>
      <xdr:spPr>
        <a:xfrm>
          <a:off x="11301095" y="1610360"/>
          <a:ext cx="920750" cy="22352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D</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1136023</xdr:colOff>
      <xdr:row>9</xdr:row>
      <xdr:rowOff>13608</xdr:rowOff>
    </xdr:from>
    <xdr:to>
      <xdr:col>13</xdr:col>
      <xdr:colOff>6168</xdr:colOff>
      <xdr:row>10</xdr:row>
      <xdr:rowOff>23500</xdr:rowOff>
    </xdr:to>
    <xdr:sp macro="[0]!清除研发">
      <xdr:nvSpPr>
        <xdr:cNvPr id="6" name="AutoShape 1029"/>
        <xdr:cNvSpPr>
          <a:spLocks noChangeArrowheads="1"/>
        </xdr:cNvSpPr>
      </xdr:nvSpPr>
      <xdr:spPr>
        <a:xfrm>
          <a:off x="11297285" y="1842135"/>
          <a:ext cx="924560" cy="21336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清除研发</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86360</xdr:colOff>
      <xdr:row>16</xdr:row>
      <xdr:rowOff>189865</xdr:rowOff>
    </xdr:from>
    <xdr:to>
      <xdr:col>11</xdr:col>
      <xdr:colOff>787114</xdr:colOff>
      <xdr:row>18</xdr:row>
      <xdr:rowOff>14933</xdr:rowOff>
    </xdr:to>
    <xdr:sp macro="[0]!必要辞退">
      <xdr:nvSpPr>
        <xdr:cNvPr id="7" name="AutoShape 1030"/>
        <xdr:cNvSpPr>
          <a:spLocks noChangeArrowheads="1"/>
        </xdr:cNvSpPr>
      </xdr:nvSpPr>
      <xdr:spPr>
        <a:xfrm>
          <a:off x="10247630" y="3441065"/>
          <a:ext cx="700405" cy="23114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必要辞退</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105140</xdr:colOff>
      <xdr:row>18</xdr:row>
      <xdr:rowOff>92075</xdr:rowOff>
    </xdr:from>
    <xdr:to>
      <xdr:col>11</xdr:col>
      <xdr:colOff>805894</xdr:colOff>
      <xdr:row>19</xdr:row>
      <xdr:rowOff>111125</xdr:rowOff>
    </xdr:to>
    <xdr:sp macro="[0]!最大雇佣">
      <xdr:nvSpPr>
        <xdr:cNvPr id="8" name="AutoShape 1031"/>
        <xdr:cNvSpPr>
          <a:spLocks noChangeArrowheads="1"/>
        </xdr:cNvSpPr>
      </xdr:nvSpPr>
      <xdr:spPr>
        <a:xfrm>
          <a:off x="10266045" y="3749675"/>
          <a:ext cx="701040" cy="22225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最大雇佣</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98424</xdr:colOff>
      <xdr:row>62</xdr:row>
      <xdr:rowOff>134982</xdr:rowOff>
    </xdr:from>
    <xdr:to>
      <xdr:col>12</xdr:col>
      <xdr:colOff>737344</xdr:colOff>
      <xdr:row>65</xdr:row>
      <xdr:rowOff>125457</xdr:rowOff>
    </xdr:to>
    <xdr:sp macro="[0]!按配货比例自动运输">
      <xdr:nvSpPr>
        <xdr:cNvPr id="9" name="AutoShape 1066"/>
        <xdr:cNvSpPr>
          <a:spLocks noChangeArrowheads="1"/>
        </xdr:cNvSpPr>
      </xdr:nvSpPr>
      <xdr:spPr>
        <a:xfrm>
          <a:off x="11452860" y="12733020"/>
          <a:ext cx="639445" cy="600075"/>
        </a:xfrm>
        <a:prstGeom prst="roundRect">
          <a:avLst>
            <a:gd name="adj" fmla="val 0"/>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3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按配货比例自动运输</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222069</xdr:colOff>
      <xdr:row>26</xdr:row>
      <xdr:rowOff>190137</xdr:rowOff>
    </xdr:from>
    <xdr:to>
      <xdr:col>18</xdr:col>
      <xdr:colOff>811426</xdr:colOff>
      <xdr:row>28</xdr:row>
      <xdr:rowOff>190137</xdr:rowOff>
    </xdr:to>
    <xdr:sp macro="[0]!粘贴广促费用">
      <xdr:nvSpPr>
        <xdr:cNvPr id="10" name="AutoShape 1068"/>
        <xdr:cNvSpPr>
          <a:spLocks noChangeArrowheads="1"/>
        </xdr:cNvSpPr>
      </xdr:nvSpPr>
      <xdr:spPr>
        <a:xfrm>
          <a:off x="17432655" y="5473065"/>
          <a:ext cx="589280" cy="4064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2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粘贴广促费用</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5</xdr:col>
      <xdr:colOff>1020884</xdr:colOff>
      <xdr:row>9</xdr:row>
      <xdr:rowOff>17318</xdr:rowOff>
    </xdr:from>
    <xdr:to>
      <xdr:col>7</xdr:col>
      <xdr:colOff>0</xdr:colOff>
      <xdr:row>10</xdr:row>
      <xdr:rowOff>23132</xdr:rowOff>
    </xdr:to>
    <xdr:sp macro="[0]!自动提交决策">
      <xdr:nvSpPr>
        <xdr:cNvPr id="11" name="AutoShape 1049"/>
        <xdr:cNvSpPr>
          <a:spLocks noChangeArrowheads="1"/>
        </xdr:cNvSpPr>
      </xdr:nvSpPr>
      <xdr:spPr>
        <a:xfrm>
          <a:off x="5598795" y="1845945"/>
          <a:ext cx="773430" cy="20891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提交决策</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769586</xdr:colOff>
      <xdr:row>42</xdr:row>
      <xdr:rowOff>196850</xdr:rowOff>
    </xdr:from>
    <xdr:to>
      <xdr:col>9</xdr:col>
      <xdr:colOff>541258</xdr:colOff>
      <xdr:row>43</xdr:row>
      <xdr:rowOff>184150</xdr:rowOff>
    </xdr:to>
    <xdr:sp macro="[0]!推荐购入">
      <xdr:nvSpPr>
        <xdr:cNvPr id="12" name="AutoShape 1036"/>
        <xdr:cNvSpPr>
          <a:spLocks noChangeArrowheads="1"/>
        </xdr:cNvSpPr>
      </xdr:nvSpPr>
      <xdr:spPr>
        <a:xfrm>
          <a:off x="7995285" y="8731250"/>
          <a:ext cx="730885" cy="1905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推荐购入</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0</xdr:colOff>
      <xdr:row>43</xdr:row>
      <xdr:rowOff>0</xdr:rowOff>
    </xdr:from>
    <xdr:to>
      <xdr:col>8</xdr:col>
      <xdr:colOff>717550</xdr:colOff>
      <xdr:row>43</xdr:row>
      <xdr:rowOff>190500</xdr:rowOff>
    </xdr:to>
    <xdr:sp macro="[0]!必要购入">
      <xdr:nvSpPr>
        <xdr:cNvPr id="13" name="AutoShape 1036"/>
        <xdr:cNvSpPr>
          <a:spLocks noChangeArrowheads="1"/>
        </xdr:cNvSpPr>
      </xdr:nvSpPr>
      <xdr:spPr>
        <a:xfrm>
          <a:off x="7226300" y="8737600"/>
          <a:ext cx="717550" cy="1905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必要购入</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31</xdr:col>
      <xdr:colOff>627109</xdr:colOff>
      <xdr:row>13</xdr:row>
      <xdr:rowOff>83366</xdr:rowOff>
    </xdr:from>
    <xdr:to>
      <xdr:col>33</xdr:col>
      <xdr:colOff>564390</xdr:colOff>
      <xdr:row>14</xdr:row>
      <xdr:rowOff>83366</xdr:rowOff>
    </xdr:to>
    <xdr:sp macro="[0]!粘贴报表">
      <xdr:nvSpPr>
        <xdr:cNvPr id="14" name="AutoShape 1037"/>
        <xdr:cNvSpPr>
          <a:spLocks noChangeArrowheads="1"/>
        </xdr:cNvSpPr>
      </xdr:nvSpPr>
      <xdr:spPr>
        <a:xfrm>
          <a:off x="28952190" y="2724785"/>
          <a:ext cx="1320165" cy="2032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粘贴报表</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185965</xdr:colOff>
      <xdr:row>42</xdr:row>
      <xdr:rowOff>45992</xdr:rowOff>
    </xdr:from>
    <xdr:to>
      <xdr:col>19</xdr:col>
      <xdr:colOff>216405</xdr:colOff>
      <xdr:row>43</xdr:row>
      <xdr:rowOff>106334</xdr:rowOff>
    </xdr:to>
    <xdr:sp macro="[0]!记录工资系数">
      <xdr:nvSpPr>
        <xdr:cNvPr id="15" name="AutoShape 1068"/>
        <xdr:cNvSpPr>
          <a:spLocks noChangeArrowheads="1"/>
        </xdr:cNvSpPr>
      </xdr:nvSpPr>
      <xdr:spPr>
        <a:xfrm>
          <a:off x="17396460" y="8580120"/>
          <a:ext cx="1028065" cy="26352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ctr" upright="1"/>
        <a:lstStyle/>
        <a:p>
          <a:pPr algn="ctr" rtl="0">
            <a:lnSpc>
              <a:spcPts val="1200"/>
            </a:lnSpc>
            <a:defRPr sz="1000"/>
          </a:pPr>
          <a:r>
            <a:rPr lang="zh-CN" altLang="en-US" sz="1200" b="1" i="0" u="none" strike="noStrike" baseline="0">
              <a:solidFill>
                <a:schemeClr val="bg1"/>
              </a:solidFill>
              <a:latin typeface="宋体" panose="02010600030101010101" pitchFamily="7" charset="-122"/>
              <a:ea typeface="宋体" panose="02010600030101010101" pitchFamily="7" charset="-122"/>
            </a:rPr>
            <a:t>记录工资系数</a:t>
          </a:r>
          <a:endParaRPr lang="zh-CN" altLang="en-US" sz="12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mc:AlternateContent xmlns:mc="http://schemas.openxmlformats.org/markup-compatibility/2006">
    <mc:Choice xmlns:a14="http://schemas.microsoft.com/office/drawing/2010/main" Requires="a14">
      <xdr:twoCellAnchor>
        <xdr:from>
          <xdr:col>8</xdr:col>
          <xdr:colOff>793750</xdr:colOff>
          <xdr:row>24</xdr:row>
          <xdr:rowOff>12700</xdr:rowOff>
        </xdr:from>
        <xdr:to>
          <xdr:col>8</xdr:col>
          <xdr:colOff>927100</xdr:colOff>
          <xdr:row>25</xdr:row>
          <xdr:rowOff>0</xdr:rowOff>
        </xdr:to>
        <xdr:sp>
          <xdr:nvSpPr>
            <xdr:cNvPr id="11271" name="Spinner 7" hidden="1">
              <a:extLst>
                <a:ext uri="{63B3BB69-23CF-44E3-9099-C40C66FF867C}">
                  <a14:compatExt spid="_x0000_s11271"/>
                </a:ext>
              </a:extLst>
            </xdr:cNvPr>
            <xdr:cNvSpPr/>
          </xdr:nvSpPr>
          <xdr:spPr>
            <a:xfrm>
              <a:off x="8020050" y="48895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755650</xdr:colOff>
          <xdr:row>24</xdr:row>
          <xdr:rowOff>12700</xdr:rowOff>
        </xdr:from>
        <xdr:to>
          <xdr:col>9</xdr:col>
          <xdr:colOff>889000</xdr:colOff>
          <xdr:row>25</xdr:row>
          <xdr:rowOff>0</xdr:rowOff>
        </xdr:to>
        <xdr:sp>
          <xdr:nvSpPr>
            <xdr:cNvPr id="11272" name="Spinner 8" hidden="1">
              <a:extLst>
                <a:ext uri="{63B3BB69-23CF-44E3-9099-C40C66FF867C}">
                  <a14:compatExt spid="_x0000_s11272"/>
                </a:ext>
              </a:extLst>
            </xdr:cNvPr>
            <xdr:cNvSpPr/>
          </xdr:nvSpPr>
          <xdr:spPr>
            <a:xfrm>
              <a:off x="8940800" y="48895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793750</xdr:colOff>
          <xdr:row>25</xdr:row>
          <xdr:rowOff>12700</xdr:rowOff>
        </xdr:from>
        <xdr:to>
          <xdr:col>8</xdr:col>
          <xdr:colOff>927100</xdr:colOff>
          <xdr:row>26</xdr:row>
          <xdr:rowOff>0</xdr:rowOff>
        </xdr:to>
        <xdr:sp>
          <xdr:nvSpPr>
            <xdr:cNvPr id="11273" name="Spinner 9" hidden="1">
              <a:extLst>
                <a:ext uri="{63B3BB69-23CF-44E3-9099-C40C66FF867C}">
                  <a14:compatExt spid="_x0000_s11273"/>
                </a:ext>
              </a:extLst>
            </xdr:cNvPr>
            <xdr:cNvSpPr/>
          </xdr:nvSpPr>
          <xdr:spPr>
            <a:xfrm>
              <a:off x="8020050" y="5092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755650</xdr:colOff>
          <xdr:row>25</xdr:row>
          <xdr:rowOff>12700</xdr:rowOff>
        </xdr:from>
        <xdr:to>
          <xdr:col>9</xdr:col>
          <xdr:colOff>889000</xdr:colOff>
          <xdr:row>26</xdr:row>
          <xdr:rowOff>0</xdr:rowOff>
        </xdr:to>
        <xdr:sp>
          <xdr:nvSpPr>
            <xdr:cNvPr id="11274" name="Spinner 10" hidden="1">
              <a:extLst>
                <a:ext uri="{63B3BB69-23CF-44E3-9099-C40C66FF867C}">
                  <a14:compatExt spid="_x0000_s11274"/>
                </a:ext>
              </a:extLst>
            </xdr:cNvPr>
            <xdr:cNvSpPr/>
          </xdr:nvSpPr>
          <xdr:spPr>
            <a:xfrm>
              <a:off x="8940800" y="5092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793750</xdr:colOff>
          <xdr:row>26</xdr:row>
          <xdr:rowOff>12700</xdr:rowOff>
        </xdr:from>
        <xdr:to>
          <xdr:col>8</xdr:col>
          <xdr:colOff>927100</xdr:colOff>
          <xdr:row>27</xdr:row>
          <xdr:rowOff>0</xdr:rowOff>
        </xdr:to>
        <xdr:sp>
          <xdr:nvSpPr>
            <xdr:cNvPr id="11275" name="Spinner 11" hidden="1">
              <a:extLst>
                <a:ext uri="{63B3BB69-23CF-44E3-9099-C40C66FF867C}">
                  <a14:compatExt spid="_x0000_s11275"/>
                </a:ext>
              </a:extLst>
            </xdr:cNvPr>
            <xdr:cNvSpPr/>
          </xdr:nvSpPr>
          <xdr:spPr>
            <a:xfrm>
              <a:off x="8020050" y="52959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755650</xdr:colOff>
          <xdr:row>26</xdr:row>
          <xdr:rowOff>12700</xdr:rowOff>
        </xdr:from>
        <xdr:to>
          <xdr:col>9</xdr:col>
          <xdr:colOff>889000</xdr:colOff>
          <xdr:row>27</xdr:row>
          <xdr:rowOff>0</xdr:rowOff>
        </xdr:to>
        <xdr:sp>
          <xdr:nvSpPr>
            <xdr:cNvPr id="11276" name="Spinner 12" hidden="1">
              <a:extLst>
                <a:ext uri="{63B3BB69-23CF-44E3-9099-C40C66FF867C}">
                  <a14:compatExt spid="_x0000_s11276"/>
                </a:ext>
              </a:extLst>
            </xdr:cNvPr>
            <xdr:cNvSpPr/>
          </xdr:nvSpPr>
          <xdr:spPr>
            <a:xfrm>
              <a:off x="8940800" y="52959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793750</xdr:colOff>
          <xdr:row>27</xdr:row>
          <xdr:rowOff>12700</xdr:rowOff>
        </xdr:from>
        <xdr:to>
          <xdr:col>8</xdr:col>
          <xdr:colOff>927100</xdr:colOff>
          <xdr:row>28</xdr:row>
          <xdr:rowOff>0</xdr:rowOff>
        </xdr:to>
        <xdr:sp>
          <xdr:nvSpPr>
            <xdr:cNvPr id="11277" name="Spinner 13" hidden="1">
              <a:extLst>
                <a:ext uri="{63B3BB69-23CF-44E3-9099-C40C66FF867C}">
                  <a14:compatExt spid="_x0000_s11277"/>
                </a:ext>
              </a:extLst>
            </xdr:cNvPr>
            <xdr:cNvSpPr/>
          </xdr:nvSpPr>
          <xdr:spPr>
            <a:xfrm>
              <a:off x="8020050" y="5499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755650</xdr:colOff>
          <xdr:row>27</xdr:row>
          <xdr:rowOff>12700</xdr:rowOff>
        </xdr:from>
        <xdr:to>
          <xdr:col>9</xdr:col>
          <xdr:colOff>889000</xdr:colOff>
          <xdr:row>28</xdr:row>
          <xdr:rowOff>0</xdr:rowOff>
        </xdr:to>
        <xdr:sp>
          <xdr:nvSpPr>
            <xdr:cNvPr id="11278" name="Spinner 14" hidden="1">
              <a:extLst>
                <a:ext uri="{63B3BB69-23CF-44E3-9099-C40C66FF867C}">
                  <a14:compatExt spid="_x0000_s11278"/>
                </a:ext>
              </a:extLst>
            </xdr:cNvPr>
            <xdr:cNvSpPr/>
          </xdr:nvSpPr>
          <xdr:spPr>
            <a:xfrm>
              <a:off x="8940800" y="5499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889000</xdr:colOff>
          <xdr:row>23</xdr:row>
          <xdr:rowOff>184150</xdr:rowOff>
        </xdr:from>
        <xdr:to>
          <xdr:col>10</xdr:col>
          <xdr:colOff>1016000</xdr:colOff>
          <xdr:row>24</xdr:row>
          <xdr:rowOff>177800</xdr:rowOff>
        </xdr:to>
        <xdr:sp>
          <xdr:nvSpPr>
            <xdr:cNvPr id="11279" name="Spinner 15" hidden="1">
              <a:extLst>
                <a:ext uri="{63B3BB69-23CF-44E3-9099-C40C66FF867C}">
                  <a14:compatExt spid="_x0000_s11279"/>
                </a:ext>
              </a:extLst>
            </xdr:cNvPr>
            <xdr:cNvSpPr/>
          </xdr:nvSpPr>
          <xdr:spPr>
            <a:xfrm>
              <a:off x="9999980" y="485775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1022350</xdr:colOff>
          <xdr:row>24</xdr:row>
          <xdr:rowOff>12700</xdr:rowOff>
        </xdr:from>
        <xdr:to>
          <xdr:col>11</xdr:col>
          <xdr:colOff>1155700</xdr:colOff>
          <xdr:row>25</xdr:row>
          <xdr:rowOff>0</xdr:rowOff>
        </xdr:to>
        <xdr:sp>
          <xdr:nvSpPr>
            <xdr:cNvPr id="11280" name="Spinner 16" hidden="1">
              <a:extLst>
                <a:ext uri="{63B3BB69-23CF-44E3-9099-C40C66FF867C}">
                  <a14:compatExt spid="_x0000_s11280"/>
                </a:ext>
              </a:extLst>
            </xdr:cNvPr>
            <xdr:cNvSpPr/>
          </xdr:nvSpPr>
          <xdr:spPr>
            <a:xfrm>
              <a:off x="11183620" y="48895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889000</xdr:colOff>
          <xdr:row>24</xdr:row>
          <xdr:rowOff>184150</xdr:rowOff>
        </xdr:from>
        <xdr:to>
          <xdr:col>10</xdr:col>
          <xdr:colOff>1016000</xdr:colOff>
          <xdr:row>25</xdr:row>
          <xdr:rowOff>177800</xdr:rowOff>
        </xdr:to>
        <xdr:sp>
          <xdr:nvSpPr>
            <xdr:cNvPr id="11281" name="Spinner 17" hidden="1">
              <a:extLst>
                <a:ext uri="{63B3BB69-23CF-44E3-9099-C40C66FF867C}">
                  <a14:compatExt spid="_x0000_s11281"/>
                </a:ext>
              </a:extLst>
            </xdr:cNvPr>
            <xdr:cNvSpPr/>
          </xdr:nvSpPr>
          <xdr:spPr>
            <a:xfrm>
              <a:off x="9999980" y="506095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1028700</xdr:colOff>
          <xdr:row>25</xdr:row>
          <xdr:rowOff>12700</xdr:rowOff>
        </xdr:from>
        <xdr:to>
          <xdr:col>11</xdr:col>
          <xdr:colOff>1155700</xdr:colOff>
          <xdr:row>26</xdr:row>
          <xdr:rowOff>0</xdr:rowOff>
        </xdr:to>
        <xdr:sp>
          <xdr:nvSpPr>
            <xdr:cNvPr id="11282" name="Spinner 18" hidden="1">
              <a:extLst>
                <a:ext uri="{63B3BB69-23CF-44E3-9099-C40C66FF867C}">
                  <a14:compatExt spid="_x0000_s11282"/>
                </a:ext>
              </a:extLst>
            </xdr:cNvPr>
            <xdr:cNvSpPr/>
          </xdr:nvSpPr>
          <xdr:spPr>
            <a:xfrm>
              <a:off x="11189970" y="5092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889000</xdr:colOff>
          <xdr:row>25</xdr:row>
          <xdr:rowOff>184150</xdr:rowOff>
        </xdr:from>
        <xdr:to>
          <xdr:col>10</xdr:col>
          <xdr:colOff>1016000</xdr:colOff>
          <xdr:row>26</xdr:row>
          <xdr:rowOff>177800</xdr:rowOff>
        </xdr:to>
        <xdr:sp>
          <xdr:nvSpPr>
            <xdr:cNvPr id="11283" name="Spinner 19" hidden="1">
              <a:extLst>
                <a:ext uri="{63B3BB69-23CF-44E3-9099-C40C66FF867C}">
                  <a14:compatExt spid="_x0000_s11283"/>
                </a:ext>
              </a:extLst>
            </xdr:cNvPr>
            <xdr:cNvSpPr/>
          </xdr:nvSpPr>
          <xdr:spPr>
            <a:xfrm>
              <a:off x="9999980" y="526415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1028700</xdr:colOff>
          <xdr:row>26</xdr:row>
          <xdr:rowOff>12700</xdr:rowOff>
        </xdr:from>
        <xdr:to>
          <xdr:col>11</xdr:col>
          <xdr:colOff>1155700</xdr:colOff>
          <xdr:row>27</xdr:row>
          <xdr:rowOff>0</xdr:rowOff>
        </xdr:to>
        <xdr:sp>
          <xdr:nvSpPr>
            <xdr:cNvPr id="11284" name="Spinner 20" hidden="1">
              <a:extLst>
                <a:ext uri="{63B3BB69-23CF-44E3-9099-C40C66FF867C}">
                  <a14:compatExt spid="_x0000_s11284"/>
                </a:ext>
              </a:extLst>
            </xdr:cNvPr>
            <xdr:cNvSpPr/>
          </xdr:nvSpPr>
          <xdr:spPr>
            <a:xfrm>
              <a:off x="11189970" y="52959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889000</xdr:colOff>
          <xdr:row>26</xdr:row>
          <xdr:rowOff>184150</xdr:rowOff>
        </xdr:from>
        <xdr:to>
          <xdr:col>10</xdr:col>
          <xdr:colOff>1016000</xdr:colOff>
          <xdr:row>27</xdr:row>
          <xdr:rowOff>177800</xdr:rowOff>
        </xdr:to>
        <xdr:sp>
          <xdr:nvSpPr>
            <xdr:cNvPr id="11285" name="Spinner 21" hidden="1">
              <a:extLst>
                <a:ext uri="{63B3BB69-23CF-44E3-9099-C40C66FF867C}">
                  <a14:compatExt spid="_x0000_s11285"/>
                </a:ext>
              </a:extLst>
            </xdr:cNvPr>
            <xdr:cNvSpPr/>
          </xdr:nvSpPr>
          <xdr:spPr>
            <a:xfrm>
              <a:off x="9999980" y="546735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1028700</xdr:colOff>
          <xdr:row>27</xdr:row>
          <xdr:rowOff>12700</xdr:rowOff>
        </xdr:from>
        <xdr:to>
          <xdr:col>11</xdr:col>
          <xdr:colOff>1155700</xdr:colOff>
          <xdr:row>28</xdr:row>
          <xdr:rowOff>0</xdr:rowOff>
        </xdr:to>
        <xdr:sp>
          <xdr:nvSpPr>
            <xdr:cNvPr id="11286" name="Spinner 22" hidden="1">
              <a:extLst>
                <a:ext uri="{63B3BB69-23CF-44E3-9099-C40C66FF867C}">
                  <a14:compatExt spid="_x0000_s11286"/>
                </a:ext>
              </a:extLst>
            </xdr:cNvPr>
            <xdr:cNvSpPr/>
          </xdr:nvSpPr>
          <xdr:spPr>
            <a:xfrm>
              <a:off x="11189970" y="5499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62</xdr:row>
          <xdr:rowOff>0</xdr:rowOff>
        </xdr:from>
        <xdr:to>
          <xdr:col>8</xdr:col>
          <xdr:colOff>927100</xdr:colOff>
          <xdr:row>62</xdr:row>
          <xdr:rowOff>190500</xdr:rowOff>
        </xdr:to>
        <xdr:sp>
          <xdr:nvSpPr>
            <xdr:cNvPr id="11287" name="Spinner 23" hidden="1">
              <a:extLst>
                <a:ext uri="{63B3BB69-23CF-44E3-9099-C40C66FF867C}">
                  <a14:compatExt spid="_x0000_s11287"/>
                </a:ext>
              </a:extLst>
            </xdr:cNvPr>
            <xdr:cNvSpPr/>
          </xdr:nvSpPr>
          <xdr:spPr>
            <a:xfrm>
              <a:off x="8026400" y="125984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62</xdr:row>
          <xdr:rowOff>0</xdr:rowOff>
        </xdr:from>
        <xdr:to>
          <xdr:col>9</xdr:col>
          <xdr:colOff>889000</xdr:colOff>
          <xdr:row>62</xdr:row>
          <xdr:rowOff>190500</xdr:rowOff>
        </xdr:to>
        <xdr:sp>
          <xdr:nvSpPr>
            <xdr:cNvPr id="11288" name="Spinner 24" hidden="1">
              <a:extLst>
                <a:ext uri="{63B3BB69-23CF-44E3-9099-C40C66FF867C}">
                  <a14:compatExt spid="_x0000_s11288"/>
                </a:ext>
              </a:extLst>
            </xdr:cNvPr>
            <xdr:cNvSpPr/>
          </xdr:nvSpPr>
          <xdr:spPr>
            <a:xfrm>
              <a:off x="8959850" y="125984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876300</xdr:colOff>
          <xdr:row>62</xdr:row>
          <xdr:rowOff>0</xdr:rowOff>
        </xdr:from>
        <xdr:to>
          <xdr:col>10</xdr:col>
          <xdr:colOff>1016000</xdr:colOff>
          <xdr:row>62</xdr:row>
          <xdr:rowOff>190500</xdr:rowOff>
        </xdr:to>
        <xdr:sp>
          <xdr:nvSpPr>
            <xdr:cNvPr id="11289" name="Spinner 25" hidden="1">
              <a:extLst>
                <a:ext uri="{63B3BB69-23CF-44E3-9099-C40C66FF867C}">
                  <a14:compatExt spid="_x0000_s11289"/>
                </a:ext>
              </a:extLst>
            </xdr:cNvPr>
            <xdr:cNvSpPr/>
          </xdr:nvSpPr>
          <xdr:spPr>
            <a:xfrm>
              <a:off x="9987280" y="125984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1022350</xdr:colOff>
          <xdr:row>61</xdr:row>
          <xdr:rowOff>190500</xdr:rowOff>
        </xdr:from>
        <xdr:to>
          <xdr:col>11</xdr:col>
          <xdr:colOff>1143000</xdr:colOff>
          <xdr:row>62</xdr:row>
          <xdr:rowOff>184150</xdr:rowOff>
        </xdr:to>
        <xdr:sp>
          <xdr:nvSpPr>
            <xdr:cNvPr id="11290" name="Spinner 26" hidden="1">
              <a:extLst>
                <a:ext uri="{63B3BB69-23CF-44E3-9099-C40C66FF867C}">
                  <a14:compatExt spid="_x0000_s11290"/>
                </a:ext>
              </a:extLst>
            </xdr:cNvPr>
            <xdr:cNvSpPr/>
          </xdr:nvSpPr>
          <xdr:spPr>
            <a:xfrm>
              <a:off x="11183620" y="12585700"/>
              <a:ext cx="12065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63</xdr:row>
          <xdr:rowOff>0</xdr:rowOff>
        </xdr:from>
        <xdr:to>
          <xdr:col>8</xdr:col>
          <xdr:colOff>927100</xdr:colOff>
          <xdr:row>63</xdr:row>
          <xdr:rowOff>190500</xdr:rowOff>
        </xdr:to>
        <xdr:sp>
          <xdr:nvSpPr>
            <xdr:cNvPr id="11291" name="Spinner 27" hidden="1">
              <a:extLst>
                <a:ext uri="{63B3BB69-23CF-44E3-9099-C40C66FF867C}">
                  <a14:compatExt spid="_x0000_s11291"/>
                </a:ext>
              </a:extLst>
            </xdr:cNvPr>
            <xdr:cNvSpPr/>
          </xdr:nvSpPr>
          <xdr:spPr>
            <a:xfrm>
              <a:off x="8026400" y="128016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63</xdr:row>
          <xdr:rowOff>0</xdr:rowOff>
        </xdr:from>
        <xdr:to>
          <xdr:col>9</xdr:col>
          <xdr:colOff>889000</xdr:colOff>
          <xdr:row>63</xdr:row>
          <xdr:rowOff>190500</xdr:rowOff>
        </xdr:to>
        <xdr:sp>
          <xdr:nvSpPr>
            <xdr:cNvPr id="11292" name="Spinner 28" hidden="1">
              <a:extLst>
                <a:ext uri="{63B3BB69-23CF-44E3-9099-C40C66FF867C}">
                  <a14:compatExt spid="_x0000_s11292"/>
                </a:ext>
              </a:extLst>
            </xdr:cNvPr>
            <xdr:cNvSpPr/>
          </xdr:nvSpPr>
          <xdr:spPr>
            <a:xfrm>
              <a:off x="8959850" y="128016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876300</xdr:colOff>
          <xdr:row>63</xdr:row>
          <xdr:rowOff>0</xdr:rowOff>
        </xdr:from>
        <xdr:to>
          <xdr:col>10</xdr:col>
          <xdr:colOff>1016000</xdr:colOff>
          <xdr:row>63</xdr:row>
          <xdr:rowOff>190500</xdr:rowOff>
        </xdr:to>
        <xdr:sp>
          <xdr:nvSpPr>
            <xdr:cNvPr id="11293" name="Spinner 29" hidden="1">
              <a:extLst>
                <a:ext uri="{63B3BB69-23CF-44E3-9099-C40C66FF867C}">
                  <a14:compatExt spid="_x0000_s11293"/>
                </a:ext>
              </a:extLst>
            </xdr:cNvPr>
            <xdr:cNvSpPr/>
          </xdr:nvSpPr>
          <xdr:spPr>
            <a:xfrm>
              <a:off x="9987280" y="128016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1022350</xdr:colOff>
          <xdr:row>62</xdr:row>
          <xdr:rowOff>190500</xdr:rowOff>
        </xdr:from>
        <xdr:to>
          <xdr:col>11</xdr:col>
          <xdr:colOff>1143000</xdr:colOff>
          <xdr:row>63</xdr:row>
          <xdr:rowOff>184150</xdr:rowOff>
        </xdr:to>
        <xdr:sp>
          <xdr:nvSpPr>
            <xdr:cNvPr id="11294" name="Spinner 30" hidden="1">
              <a:extLst>
                <a:ext uri="{63B3BB69-23CF-44E3-9099-C40C66FF867C}">
                  <a14:compatExt spid="_x0000_s11294"/>
                </a:ext>
              </a:extLst>
            </xdr:cNvPr>
            <xdr:cNvSpPr/>
          </xdr:nvSpPr>
          <xdr:spPr>
            <a:xfrm>
              <a:off x="11183620" y="12788900"/>
              <a:ext cx="12065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64</xdr:row>
          <xdr:rowOff>0</xdr:rowOff>
        </xdr:from>
        <xdr:to>
          <xdr:col>8</xdr:col>
          <xdr:colOff>927100</xdr:colOff>
          <xdr:row>64</xdr:row>
          <xdr:rowOff>190500</xdr:rowOff>
        </xdr:to>
        <xdr:sp>
          <xdr:nvSpPr>
            <xdr:cNvPr id="11295" name="Spinner 31" hidden="1">
              <a:extLst>
                <a:ext uri="{63B3BB69-23CF-44E3-9099-C40C66FF867C}">
                  <a14:compatExt spid="_x0000_s11295"/>
                </a:ext>
              </a:extLst>
            </xdr:cNvPr>
            <xdr:cNvSpPr/>
          </xdr:nvSpPr>
          <xdr:spPr>
            <a:xfrm>
              <a:off x="8026400" y="130048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64</xdr:row>
          <xdr:rowOff>0</xdr:rowOff>
        </xdr:from>
        <xdr:to>
          <xdr:col>9</xdr:col>
          <xdr:colOff>889000</xdr:colOff>
          <xdr:row>64</xdr:row>
          <xdr:rowOff>190500</xdr:rowOff>
        </xdr:to>
        <xdr:sp>
          <xdr:nvSpPr>
            <xdr:cNvPr id="11296" name="Spinner 32" hidden="1">
              <a:extLst>
                <a:ext uri="{63B3BB69-23CF-44E3-9099-C40C66FF867C}">
                  <a14:compatExt spid="_x0000_s11296"/>
                </a:ext>
              </a:extLst>
            </xdr:cNvPr>
            <xdr:cNvSpPr/>
          </xdr:nvSpPr>
          <xdr:spPr>
            <a:xfrm>
              <a:off x="8959850" y="130048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876300</xdr:colOff>
          <xdr:row>64</xdr:row>
          <xdr:rowOff>0</xdr:rowOff>
        </xdr:from>
        <xdr:to>
          <xdr:col>10</xdr:col>
          <xdr:colOff>1016000</xdr:colOff>
          <xdr:row>64</xdr:row>
          <xdr:rowOff>190500</xdr:rowOff>
        </xdr:to>
        <xdr:sp>
          <xdr:nvSpPr>
            <xdr:cNvPr id="11297" name="Spinner 33" hidden="1">
              <a:extLst>
                <a:ext uri="{63B3BB69-23CF-44E3-9099-C40C66FF867C}">
                  <a14:compatExt spid="_x0000_s11297"/>
                </a:ext>
              </a:extLst>
            </xdr:cNvPr>
            <xdr:cNvSpPr/>
          </xdr:nvSpPr>
          <xdr:spPr>
            <a:xfrm>
              <a:off x="9987280" y="130048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1022350</xdr:colOff>
          <xdr:row>63</xdr:row>
          <xdr:rowOff>190500</xdr:rowOff>
        </xdr:from>
        <xdr:to>
          <xdr:col>11</xdr:col>
          <xdr:colOff>1143000</xdr:colOff>
          <xdr:row>64</xdr:row>
          <xdr:rowOff>184150</xdr:rowOff>
        </xdr:to>
        <xdr:sp>
          <xdr:nvSpPr>
            <xdr:cNvPr id="11298" name="Spinner 34" hidden="1">
              <a:extLst>
                <a:ext uri="{63B3BB69-23CF-44E3-9099-C40C66FF867C}">
                  <a14:compatExt spid="_x0000_s11298"/>
                </a:ext>
              </a:extLst>
            </xdr:cNvPr>
            <xdr:cNvSpPr/>
          </xdr:nvSpPr>
          <xdr:spPr>
            <a:xfrm>
              <a:off x="11183620" y="12992100"/>
              <a:ext cx="12065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800100</xdr:colOff>
          <xdr:row>65</xdr:row>
          <xdr:rowOff>0</xdr:rowOff>
        </xdr:from>
        <xdr:to>
          <xdr:col>8</xdr:col>
          <xdr:colOff>927100</xdr:colOff>
          <xdr:row>65</xdr:row>
          <xdr:rowOff>190500</xdr:rowOff>
        </xdr:to>
        <xdr:sp>
          <xdr:nvSpPr>
            <xdr:cNvPr id="11299" name="Spinner 35" hidden="1">
              <a:extLst>
                <a:ext uri="{63B3BB69-23CF-44E3-9099-C40C66FF867C}">
                  <a14:compatExt spid="_x0000_s11299"/>
                </a:ext>
              </a:extLst>
            </xdr:cNvPr>
            <xdr:cNvSpPr/>
          </xdr:nvSpPr>
          <xdr:spPr>
            <a:xfrm>
              <a:off x="8026400" y="132080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65</xdr:row>
          <xdr:rowOff>0</xdr:rowOff>
        </xdr:from>
        <xdr:to>
          <xdr:col>9</xdr:col>
          <xdr:colOff>889000</xdr:colOff>
          <xdr:row>65</xdr:row>
          <xdr:rowOff>190500</xdr:rowOff>
        </xdr:to>
        <xdr:sp>
          <xdr:nvSpPr>
            <xdr:cNvPr id="11300" name="Spinner 36" hidden="1">
              <a:extLst>
                <a:ext uri="{63B3BB69-23CF-44E3-9099-C40C66FF867C}">
                  <a14:compatExt spid="_x0000_s11300"/>
                </a:ext>
              </a:extLst>
            </xdr:cNvPr>
            <xdr:cNvSpPr/>
          </xdr:nvSpPr>
          <xdr:spPr>
            <a:xfrm>
              <a:off x="8959850" y="132080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876300</xdr:colOff>
          <xdr:row>65</xdr:row>
          <xdr:rowOff>0</xdr:rowOff>
        </xdr:from>
        <xdr:to>
          <xdr:col>10</xdr:col>
          <xdr:colOff>1016000</xdr:colOff>
          <xdr:row>65</xdr:row>
          <xdr:rowOff>190500</xdr:rowOff>
        </xdr:to>
        <xdr:sp>
          <xdr:nvSpPr>
            <xdr:cNvPr id="11301" name="Spinner 37" hidden="1">
              <a:extLst>
                <a:ext uri="{63B3BB69-23CF-44E3-9099-C40C66FF867C}">
                  <a14:compatExt spid="_x0000_s11301"/>
                </a:ext>
              </a:extLst>
            </xdr:cNvPr>
            <xdr:cNvSpPr/>
          </xdr:nvSpPr>
          <xdr:spPr>
            <a:xfrm>
              <a:off x="9987280" y="132080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1022350</xdr:colOff>
          <xdr:row>64</xdr:row>
          <xdr:rowOff>190500</xdr:rowOff>
        </xdr:from>
        <xdr:to>
          <xdr:col>11</xdr:col>
          <xdr:colOff>1143000</xdr:colOff>
          <xdr:row>65</xdr:row>
          <xdr:rowOff>184150</xdr:rowOff>
        </xdr:to>
        <xdr:sp>
          <xdr:nvSpPr>
            <xdr:cNvPr id="11302" name="Spinner 38" hidden="1">
              <a:extLst>
                <a:ext uri="{63B3BB69-23CF-44E3-9099-C40C66FF867C}">
                  <a14:compatExt spid="_x0000_s11302"/>
                </a:ext>
              </a:extLst>
            </xdr:cNvPr>
            <xdr:cNvSpPr/>
          </xdr:nvSpPr>
          <xdr:spPr>
            <a:xfrm>
              <a:off x="11183620" y="13195300"/>
              <a:ext cx="120650" cy="19685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12</xdr:col>
      <xdr:colOff>1947</xdr:colOff>
      <xdr:row>4</xdr:row>
      <xdr:rowOff>153761</xdr:rowOff>
    </xdr:from>
    <xdr:to>
      <xdr:col>12</xdr:col>
      <xdr:colOff>816429</xdr:colOff>
      <xdr:row>5</xdr:row>
      <xdr:rowOff>150949</xdr:rowOff>
    </xdr:to>
    <xdr:sp macro="[0]!研发A">
      <xdr:nvSpPr>
        <xdr:cNvPr id="2" name="AutoShape 1025"/>
        <xdr:cNvSpPr>
          <a:spLocks noChangeArrowheads="1"/>
        </xdr:cNvSpPr>
      </xdr:nvSpPr>
      <xdr:spPr>
        <a:xfrm>
          <a:off x="11212830" y="966470"/>
          <a:ext cx="814070" cy="20002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A</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1947</xdr:colOff>
      <xdr:row>5</xdr:row>
      <xdr:rowOff>172811</xdr:rowOff>
    </xdr:from>
    <xdr:to>
      <xdr:col>12</xdr:col>
      <xdr:colOff>816429</xdr:colOff>
      <xdr:row>6</xdr:row>
      <xdr:rowOff>169999</xdr:rowOff>
    </xdr:to>
    <xdr:sp macro="[0]!研发B">
      <xdr:nvSpPr>
        <xdr:cNvPr id="3" name="AutoShape 1026"/>
        <xdr:cNvSpPr>
          <a:spLocks noChangeArrowheads="1"/>
        </xdr:cNvSpPr>
      </xdr:nvSpPr>
      <xdr:spPr>
        <a:xfrm>
          <a:off x="11212830" y="1188720"/>
          <a:ext cx="814070" cy="20002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B</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1947</xdr:colOff>
      <xdr:row>6</xdr:row>
      <xdr:rowOff>184241</xdr:rowOff>
    </xdr:from>
    <xdr:to>
      <xdr:col>12</xdr:col>
      <xdr:colOff>816429</xdr:colOff>
      <xdr:row>7</xdr:row>
      <xdr:rowOff>181429</xdr:rowOff>
    </xdr:to>
    <xdr:sp macro="[0]!研发C">
      <xdr:nvSpPr>
        <xdr:cNvPr id="4" name="AutoShape 1027"/>
        <xdr:cNvSpPr>
          <a:spLocks noChangeArrowheads="1"/>
        </xdr:cNvSpPr>
      </xdr:nvSpPr>
      <xdr:spPr>
        <a:xfrm>
          <a:off x="11212830" y="1403350"/>
          <a:ext cx="814070" cy="20002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C</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214</xdr:colOff>
      <xdr:row>8</xdr:row>
      <xdr:rowOff>13610</xdr:rowOff>
    </xdr:from>
    <xdr:to>
      <xdr:col>13</xdr:col>
      <xdr:colOff>38100</xdr:colOff>
      <xdr:row>9</xdr:row>
      <xdr:rowOff>1</xdr:rowOff>
    </xdr:to>
    <xdr:sp macro="[0]!研发D">
      <xdr:nvSpPr>
        <xdr:cNvPr id="5" name="AutoShape 1028"/>
        <xdr:cNvSpPr>
          <a:spLocks noChangeArrowheads="1"/>
        </xdr:cNvSpPr>
      </xdr:nvSpPr>
      <xdr:spPr>
        <a:xfrm>
          <a:off x="11210925" y="1638935"/>
          <a:ext cx="892175" cy="18986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D</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1947</xdr:colOff>
      <xdr:row>9</xdr:row>
      <xdr:rowOff>29936</xdr:rowOff>
    </xdr:from>
    <xdr:to>
      <xdr:col>12</xdr:col>
      <xdr:colOff>816429</xdr:colOff>
      <xdr:row>10</xdr:row>
      <xdr:rowOff>27124</xdr:rowOff>
    </xdr:to>
    <xdr:sp macro="[0]!清除研发">
      <xdr:nvSpPr>
        <xdr:cNvPr id="6" name="AutoShape 1029"/>
        <xdr:cNvSpPr>
          <a:spLocks noChangeArrowheads="1"/>
        </xdr:cNvSpPr>
      </xdr:nvSpPr>
      <xdr:spPr>
        <a:xfrm>
          <a:off x="11212830" y="1858645"/>
          <a:ext cx="814070" cy="20002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清除研发</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158750</xdr:colOff>
      <xdr:row>17</xdr:row>
      <xdr:rowOff>6350</xdr:rowOff>
    </xdr:from>
    <xdr:to>
      <xdr:col>11</xdr:col>
      <xdr:colOff>866321</xdr:colOff>
      <xdr:row>18</xdr:row>
      <xdr:rowOff>32852</xdr:rowOff>
    </xdr:to>
    <xdr:sp macro="[0]!必要辞退">
      <xdr:nvSpPr>
        <xdr:cNvPr id="7" name="AutoShape 1030"/>
        <xdr:cNvSpPr>
          <a:spLocks noChangeArrowheads="1"/>
        </xdr:cNvSpPr>
      </xdr:nvSpPr>
      <xdr:spPr>
        <a:xfrm>
          <a:off x="10208895" y="3460750"/>
          <a:ext cx="707390" cy="22923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必要辞退</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168003</xdr:colOff>
      <xdr:row>62</xdr:row>
      <xdr:rowOff>183061</xdr:rowOff>
    </xdr:from>
    <xdr:to>
      <xdr:col>12</xdr:col>
      <xdr:colOff>800020</xdr:colOff>
      <xdr:row>65</xdr:row>
      <xdr:rowOff>173536</xdr:rowOff>
    </xdr:to>
    <xdr:sp macro="[0]!按配货比例自动运输">
      <xdr:nvSpPr>
        <xdr:cNvPr id="8" name="AutoShape 1066"/>
        <xdr:cNvSpPr>
          <a:spLocks noChangeArrowheads="1"/>
        </xdr:cNvSpPr>
      </xdr:nvSpPr>
      <xdr:spPr>
        <a:xfrm>
          <a:off x="11378565" y="12781280"/>
          <a:ext cx="631825" cy="600075"/>
        </a:xfrm>
        <a:prstGeom prst="roundRect">
          <a:avLst>
            <a:gd name="adj" fmla="val 0"/>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3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按配货比例自动运输</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175713</xdr:colOff>
      <xdr:row>26</xdr:row>
      <xdr:rowOff>146776</xdr:rowOff>
    </xdr:from>
    <xdr:to>
      <xdr:col>18</xdr:col>
      <xdr:colOff>759331</xdr:colOff>
      <xdr:row>28</xdr:row>
      <xdr:rowOff>154510</xdr:rowOff>
    </xdr:to>
    <xdr:sp macro="[0]!粘贴广促费用">
      <xdr:nvSpPr>
        <xdr:cNvPr id="9" name="AutoShape 1068"/>
        <xdr:cNvSpPr>
          <a:spLocks noChangeArrowheads="1"/>
        </xdr:cNvSpPr>
      </xdr:nvSpPr>
      <xdr:spPr>
        <a:xfrm>
          <a:off x="17235170" y="5429885"/>
          <a:ext cx="583565" cy="41402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2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粘贴广促费用</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6</xdr:col>
      <xdr:colOff>0</xdr:colOff>
      <xdr:row>9</xdr:row>
      <xdr:rowOff>27215</xdr:rowOff>
    </xdr:from>
    <xdr:to>
      <xdr:col>6</xdr:col>
      <xdr:colOff>693964</xdr:colOff>
      <xdr:row>10</xdr:row>
      <xdr:rowOff>68036</xdr:rowOff>
    </xdr:to>
    <xdr:sp macro="[0]!自动提交决策">
      <xdr:nvSpPr>
        <xdr:cNvPr id="10" name="AutoShape 1049"/>
        <xdr:cNvSpPr>
          <a:spLocks noChangeArrowheads="1"/>
        </xdr:cNvSpPr>
      </xdr:nvSpPr>
      <xdr:spPr>
        <a:xfrm>
          <a:off x="5628640" y="1855470"/>
          <a:ext cx="693420" cy="24447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提交决策</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796152</xdr:colOff>
      <xdr:row>43</xdr:row>
      <xdr:rowOff>0</xdr:rowOff>
    </xdr:from>
    <xdr:to>
      <xdr:col>9</xdr:col>
      <xdr:colOff>383674</xdr:colOff>
      <xdr:row>43</xdr:row>
      <xdr:rowOff>190500</xdr:rowOff>
    </xdr:to>
    <xdr:sp macro="[0]!推荐购入">
      <xdr:nvSpPr>
        <xdr:cNvPr id="11" name="AutoShape 1036"/>
        <xdr:cNvSpPr>
          <a:spLocks noChangeArrowheads="1"/>
        </xdr:cNvSpPr>
      </xdr:nvSpPr>
      <xdr:spPr>
        <a:xfrm>
          <a:off x="8002270" y="8737600"/>
          <a:ext cx="728980" cy="1905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推荐购入</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0</xdr:colOff>
      <xdr:row>43</xdr:row>
      <xdr:rowOff>0</xdr:rowOff>
    </xdr:from>
    <xdr:to>
      <xdr:col>8</xdr:col>
      <xdr:colOff>717550</xdr:colOff>
      <xdr:row>43</xdr:row>
      <xdr:rowOff>190500</xdr:rowOff>
    </xdr:to>
    <xdr:sp macro="[0]!必要购入">
      <xdr:nvSpPr>
        <xdr:cNvPr id="12" name="AutoShape 1036"/>
        <xdr:cNvSpPr>
          <a:spLocks noChangeArrowheads="1"/>
        </xdr:cNvSpPr>
      </xdr:nvSpPr>
      <xdr:spPr>
        <a:xfrm>
          <a:off x="7206615" y="8737600"/>
          <a:ext cx="717550" cy="1905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必要购入</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32</xdr:col>
      <xdr:colOff>8073</xdr:colOff>
      <xdr:row>13</xdr:row>
      <xdr:rowOff>55245</xdr:rowOff>
    </xdr:from>
    <xdr:to>
      <xdr:col>33</xdr:col>
      <xdr:colOff>609899</xdr:colOff>
      <xdr:row>14</xdr:row>
      <xdr:rowOff>57646</xdr:rowOff>
    </xdr:to>
    <xdr:sp macro="[0]!粘贴报表">
      <xdr:nvSpPr>
        <xdr:cNvPr id="13" name="AutoShape 1037"/>
        <xdr:cNvSpPr>
          <a:spLocks noChangeArrowheads="1"/>
        </xdr:cNvSpPr>
      </xdr:nvSpPr>
      <xdr:spPr>
        <a:xfrm>
          <a:off x="28658185" y="2696845"/>
          <a:ext cx="1293495" cy="20510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粘贴报表</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94343</xdr:colOff>
      <xdr:row>42</xdr:row>
      <xdr:rowOff>32657</xdr:rowOff>
    </xdr:from>
    <xdr:to>
      <xdr:col>19</xdr:col>
      <xdr:colOff>94343</xdr:colOff>
      <xdr:row>43</xdr:row>
      <xdr:rowOff>100693</xdr:rowOff>
    </xdr:to>
    <xdr:sp macro="[0]!记录工资系数">
      <xdr:nvSpPr>
        <xdr:cNvPr id="14" name="AutoShape 1068"/>
        <xdr:cNvSpPr>
          <a:spLocks noChangeArrowheads="1"/>
        </xdr:cNvSpPr>
      </xdr:nvSpPr>
      <xdr:spPr>
        <a:xfrm>
          <a:off x="17153890" y="8566785"/>
          <a:ext cx="997585" cy="27114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ctr" upright="1"/>
        <a:lstStyle/>
        <a:p>
          <a:pPr algn="ctr" rtl="0">
            <a:lnSpc>
              <a:spcPts val="1200"/>
            </a:lnSpc>
            <a:defRPr sz="1000"/>
          </a:pPr>
          <a:r>
            <a:rPr lang="zh-CN" altLang="en-US" sz="1200" b="1" i="0" u="none" strike="noStrike" baseline="0">
              <a:solidFill>
                <a:schemeClr val="bg1"/>
              </a:solidFill>
              <a:latin typeface="宋体" panose="02010600030101010101" pitchFamily="7" charset="-122"/>
              <a:ea typeface="宋体" panose="02010600030101010101" pitchFamily="7" charset="-122"/>
            </a:rPr>
            <a:t>记录工资系数</a:t>
          </a:r>
          <a:endParaRPr lang="zh-CN" altLang="en-US" sz="12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mc:AlternateContent xmlns:mc="http://schemas.openxmlformats.org/markup-compatibility/2006">
    <mc:Choice xmlns:a14="http://schemas.microsoft.com/office/drawing/2010/main" Requires="a14">
      <xdr:twoCellAnchor>
        <xdr:from>
          <xdr:col>8</xdr:col>
          <xdr:colOff>977900</xdr:colOff>
          <xdr:row>24</xdr:row>
          <xdr:rowOff>12700</xdr:rowOff>
        </xdr:from>
        <xdr:to>
          <xdr:col>8</xdr:col>
          <xdr:colOff>1098550</xdr:colOff>
          <xdr:row>25</xdr:row>
          <xdr:rowOff>0</xdr:rowOff>
        </xdr:to>
        <xdr:sp>
          <xdr:nvSpPr>
            <xdr:cNvPr id="12295" name="Spinner 7" hidden="1">
              <a:extLst>
                <a:ext uri="{63B3BB69-23CF-44E3-9099-C40C66FF867C}">
                  <a14:compatExt spid="_x0000_s12295"/>
                </a:ext>
              </a:extLst>
            </xdr:cNvPr>
            <xdr:cNvSpPr/>
          </xdr:nvSpPr>
          <xdr:spPr>
            <a:xfrm>
              <a:off x="8184515" y="48895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673100</xdr:colOff>
          <xdr:row>24</xdr:row>
          <xdr:rowOff>12700</xdr:rowOff>
        </xdr:from>
        <xdr:to>
          <xdr:col>9</xdr:col>
          <xdr:colOff>787400</xdr:colOff>
          <xdr:row>25</xdr:row>
          <xdr:rowOff>0</xdr:rowOff>
        </xdr:to>
        <xdr:sp>
          <xdr:nvSpPr>
            <xdr:cNvPr id="12296" name="Spinner 8" hidden="1">
              <a:extLst>
                <a:ext uri="{63B3BB69-23CF-44E3-9099-C40C66FF867C}">
                  <a14:compatExt spid="_x0000_s12296"/>
                </a:ext>
              </a:extLst>
            </xdr:cNvPr>
            <xdr:cNvSpPr/>
          </xdr:nvSpPr>
          <xdr:spPr>
            <a:xfrm>
              <a:off x="9020810" y="48895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977900</xdr:colOff>
          <xdr:row>25</xdr:row>
          <xdr:rowOff>12700</xdr:rowOff>
        </xdr:from>
        <xdr:to>
          <xdr:col>8</xdr:col>
          <xdr:colOff>1098550</xdr:colOff>
          <xdr:row>26</xdr:row>
          <xdr:rowOff>0</xdr:rowOff>
        </xdr:to>
        <xdr:sp>
          <xdr:nvSpPr>
            <xdr:cNvPr id="12297" name="Spinner 9" hidden="1">
              <a:extLst>
                <a:ext uri="{63B3BB69-23CF-44E3-9099-C40C66FF867C}">
                  <a14:compatExt spid="_x0000_s12297"/>
                </a:ext>
              </a:extLst>
            </xdr:cNvPr>
            <xdr:cNvSpPr/>
          </xdr:nvSpPr>
          <xdr:spPr>
            <a:xfrm>
              <a:off x="8184515" y="50927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673100</xdr:colOff>
          <xdr:row>25</xdr:row>
          <xdr:rowOff>12700</xdr:rowOff>
        </xdr:from>
        <xdr:to>
          <xdr:col>9</xdr:col>
          <xdr:colOff>787400</xdr:colOff>
          <xdr:row>26</xdr:row>
          <xdr:rowOff>0</xdr:rowOff>
        </xdr:to>
        <xdr:sp>
          <xdr:nvSpPr>
            <xdr:cNvPr id="12298" name="Spinner 10" hidden="1">
              <a:extLst>
                <a:ext uri="{63B3BB69-23CF-44E3-9099-C40C66FF867C}">
                  <a14:compatExt spid="_x0000_s12298"/>
                </a:ext>
              </a:extLst>
            </xdr:cNvPr>
            <xdr:cNvSpPr/>
          </xdr:nvSpPr>
          <xdr:spPr>
            <a:xfrm>
              <a:off x="9020810" y="50927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977900</xdr:colOff>
          <xdr:row>26</xdr:row>
          <xdr:rowOff>12700</xdr:rowOff>
        </xdr:from>
        <xdr:to>
          <xdr:col>8</xdr:col>
          <xdr:colOff>1098550</xdr:colOff>
          <xdr:row>27</xdr:row>
          <xdr:rowOff>0</xdr:rowOff>
        </xdr:to>
        <xdr:sp>
          <xdr:nvSpPr>
            <xdr:cNvPr id="12299" name="Spinner 11" hidden="1">
              <a:extLst>
                <a:ext uri="{63B3BB69-23CF-44E3-9099-C40C66FF867C}">
                  <a14:compatExt spid="_x0000_s12299"/>
                </a:ext>
              </a:extLst>
            </xdr:cNvPr>
            <xdr:cNvSpPr/>
          </xdr:nvSpPr>
          <xdr:spPr>
            <a:xfrm>
              <a:off x="8184515" y="52959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673100</xdr:colOff>
          <xdr:row>26</xdr:row>
          <xdr:rowOff>12700</xdr:rowOff>
        </xdr:from>
        <xdr:to>
          <xdr:col>9</xdr:col>
          <xdr:colOff>787400</xdr:colOff>
          <xdr:row>27</xdr:row>
          <xdr:rowOff>0</xdr:rowOff>
        </xdr:to>
        <xdr:sp>
          <xdr:nvSpPr>
            <xdr:cNvPr id="12300" name="Spinner 12" hidden="1">
              <a:extLst>
                <a:ext uri="{63B3BB69-23CF-44E3-9099-C40C66FF867C}">
                  <a14:compatExt spid="_x0000_s12300"/>
                </a:ext>
              </a:extLst>
            </xdr:cNvPr>
            <xdr:cNvSpPr/>
          </xdr:nvSpPr>
          <xdr:spPr>
            <a:xfrm>
              <a:off x="9020810" y="52959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977900</xdr:colOff>
          <xdr:row>27</xdr:row>
          <xdr:rowOff>12700</xdr:rowOff>
        </xdr:from>
        <xdr:to>
          <xdr:col>8</xdr:col>
          <xdr:colOff>1098550</xdr:colOff>
          <xdr:row>28</xdr:row>
          <xdr:rowOff>0</xdr:rowOff>
        </xdr:to>
        <xdr:sp>
          <xdr:nvSpPr>
            <xdr:cNvPr id="12301" name="Spinner 13" hidden="1">
              <a:extLst>
                <a:ext uri="{63B3BB69-23CF-44E3-9099-C40C66FF867C}">
                  <a14:compatExt spid="_x0000_s12301"/>
                </a:ext>
              </a:extLst>
            </xdr:cNvPr>
            <xdr:cNvSpPr/>
          </xdr:nvSpPr>
          <xdr:spPr>
            <a:xfrm>
              <a:off x="8184515" y="54991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673100</xdr:colOff>
          <xdr:row>27</xdr:row>
          <xdr:rowOff>12700</xdr:rowOff>
        </xdr:from>
        <xdr:to>
          <xdr:col>9</xdr:col>
          <xdr:colOff>787400</xdr:colOff>
          <xdr:row>28</xdr:row>
          <xdr:rowOff>0</xdr:rowOff>
        </xdr:to>
        <xdr:sp>
          <xdr:nvSpPr>
            <xdr:cNvPr id="12302" name="Spinner 14" hidden="1">
              <a:extLst>
                <a:ext uri="{63B3BB69-23CF-44E3-9099-C40C66FF867C}">
                  <a14:compatExt spid="_x0000_s12302"/>
                </a:ext>
              </a:extLst>
            </xdr:cNvPr>
            <xdr:cNvSpPr/>
          </xdr:nvSpPr>
          <xdr:spPr>
            <a:xfrm>
              <a:off x="9020810" y="54991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723900</xdr:colOff>
          <xdr:row>24</xdr:row>
          <xdr:rowOff>12700</xdr:rowOff>
        </xdr:from>
        <xdr:to>
          <xdr:col>10</xdr:col>
          <xdr:colOff>850900</xdr:colOff>
          <xdr:row>25</xdr:row>
          <xdr:rowOff>0</xdr:rowOff>
        </xdr:to>
        <xdr:sp>
          <xdr:nvSpPr>
            <xdr:cNvPr id="12303" name="Spinner 15" hidden="1">
              <a:extLst>
                <a:ext uri="{63B3BB69-23CF-44E3-9099-C40C66FF867C}">
                  <a14:compatExt spid="_x0000_s12303"/>
                </a:ext>
              </a:extLst>
            </xdr:cNvPr>
            <xdr:cNvSpPr/>
          </xdr:nvSpPr>
          <xdr:spPr>
            <a:xfrm>
              <a:off x="9886950" y="4889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1003300</xdr:colOff>
          <xdr:row>24</xdr:row>
          <xdr:rowOff>12700</xdr:rowOff>
        </xdr:from>
        <xdr:to>
          <xdr:col>11</xdr:col>
          <xdr:colOff>1130300</xdr:colOff>
          <xdr:row>25</xdr:row>
          <xdr:rowOff>0</xdr:rowOff>
        </xdr:to>
        <xdr:sp>
          <xdr:nvSpPr>
            <xdr:cNvPr id="12304" name="Spinner 16" hidden="1">
              <a:extLst>
                <a:ext uri="{63B3BB69-23CF-44E3-9099-C40C66FF867C}">
                  <a14:compatExt spid="_x0000_s12304"/>
                </a:ext>
              </a:extLst>
            </xdr:cNvPr>
            <xdr:cNvSpPr/>
          </xdr:nvSpPr>
          <xdr:spPr>
            <a:xfrm>
              <a:off x="11053445" y="48895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717550</xdr:colOff>
          <xdr:row>25</xdr:row>
          <xdr:rowOff>12700</xdr:rowOff>
        </xdr:from>
        <xdr:to>
          <xdr:col>10</xdr:col>
          <xdr:colOff>850900</xdr:colOff>
          <xdr:row>26</xdr:row>
          <xdr:rowOff>0</xdr:rowOff>
        </xdr:to>
        <xdr:sp>
          <xdr:nvSpPr>
            <xdr:cNvPr id="12305" name="Spinner 17" hidden="1">
              <a:extLst>
                <a:ext uri="{63B3BB69-23CF-44E3-9099-C40C66FF867C}">
                  <a14:compatExt spid="_x0000_s12305"/>
                </a:ext>
              </a:extLst>
            </xdr:cNvPr>
            <xdr:cNvSpPr/>
          </xdr:nvSpPr>
          <xdr:spPr>
            <a:xfrm>
              <a:off x="9880600" y="5092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1003300</xdr:colOff>
          <xdr:row>25</xdr:row>
          <xdr:rowOff>12700</xdr:rowOff>
        </xdr:from>
        <xdr:to>
          <xdr:col>11</xdr:col>
          <xdr:colOff>1136650</xdr:colOff>
          <xdr:row>26</xdr:row>
          <xdr:rowOff>0</xdr:rowOff>
        </xdr:to>
        <xdr:sp>
          <xdr:nvSpPr>
            <xdr:cNvPr id="12306" name="Spinner 18" hidden="1">
              <a:extLst>
                <a:ext uri="{63B3BB69-23CF-44E3-9099-C40C66FF867C}">
                  <a14:compatExt spid="_x0000_s12306"/>
                </a:ext>
              </a:extLst>
            </xdr:cNvPr>
            <xdr:cNvSpPr/>
          </xdr:nvSpPr>
          <xdr:spPr>
            <a:xfrm>
              <a:off x="11053445" y="5092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717550</xdr:colOff>
          <xdr:row>26</xdr:row>
          <xdr:rowOff>12700</xdr:rowOff>
        </xdr:from>
        <xdr:to>
          <xdr:col>10</xdr:col>
          <xdr:colOff>850900</xdr:colOff>
          <xdr:row>27</xdr:row>
          <xdr:rowOff>0</xdr:rowOff>
        </xdr:to>
        <xdr:sp>
          <xdr:nvSpPr>
            <xdr:cNvPr id="12307" name="Spinner 19" hidden="1">
              <a:extLst>
                <a:ext uri="{63B3BB69-23CF-44E3-9099-C40C66FF867C}">
                  <a14:compatExt spid="_x0000_s12307"/>
                </a:ext>
              </a:extLst>
            </xdr:cNvPr>
            <xdr:cNvSpPr/>
          </xdr:nvSpPr>
          <xdr:spPr>
            <a:xfrm>
              <a:off x="9880600" y="52959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1003300</xdr:colOff>
          <xdr:row>26</xdr:row>
          <xdr:rowOff>12700</xdr:rowOff>
        </xdr:from>
        <xdr:to>
          <xdr:col>11</xdr:col>
          <xdr:colOff>1136650</xdr:colOff>
          <xdr:row>27</xdr:row>
          <xdr:rowOff>0</xdr:rowOff>
        </xdr:to>
        <xdr:sp>
          <xdr:nvSpPr>
            <xdr:cNvPr id="12308" name="Spinner 20" hidden="1">
              <a:extLst>
                <a:ext uri="{63B3BB69-23CF-44E3-9099-C40C66FF867C}">
                  <a14:compatExt spid="_x0000_s12308"/>
                </a:ext>
              </a:extLst>
            </xdr:cNvPr>
            <xdr:cNvSpPr/>
          </xdr:nvSpPr>
          <xdr:spPr>
            <a:xfrm>
              <a:off x="11053445" y="52959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717550</xdr:colOff>
          <xdr:row>27</xdr:row>
          <xdr:rowOff>12700</xdr:rowOff>
        </xdr:from>
        <xdr:to>
          <xdr:col>10</xdr:col>
          <xdr:colOff>850900</xdr:colOff>
          <xdr:row>28</xdr:row>
          <xdr:rowOff>0</xdr:rowOff>
        </xdr:to>
        <xdr:sp>
          <xdr:nvSpPr>
            <xdr:cNvPr id="12309" name="Spinner 21" hidden="1">
              <a:extLst>
                <a:ext uri="{63B3BB69-23CF-44E3-9099-C40C66FF867C}">
                  <a14:compatExt spid="_x0000_s12309"/>
                </a:ext>
              </a:extLst>
            </xdr:cNvPr>
            <xdr:cNvSpPr/>
          </xdr:nvSpPr>
          <xdr:spPr>
            <a:xfrm>
              <a:off x="9880600" y="5499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1003300</xdr:colOff>
          <xdr:row>27</xdr:row>
          <xdr:rowOff>12700</xdr:rowOff>
        </xdr:from>
        <xdr:to>
          <xdr:col>11</xdr:col>
          <xdr:colOff>1136650</xdr:colOff>
          <xdr:row>28</xdr:row>
          <xdr:rowOff>0</xdr:rowOff>
        </xdr:to>
        <xdr:sp>
          <xdr:nvSpPr>
            <xdr:cNvPr id="12310" name="Spinner 22" hidden="1">
              <a:extLst>
                <a:ext uri="{63B3BB69-23CF-44E3-9099-C40C66FF867C}">
                  <a14:compatExt spid="_x0000_s12310"/>
                </a:ext>
              </a:extLst>
            </xdr:cNvPr>
            <xdr:cNvSpPr/>
          </xdr:nvSpPr>
          <xdr:spPr>
            <a:xfrm>
              <a:off x="11053445" y="5499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977900</xdr:colOff>
          <xdr:row>62</xdr:row>
          <xdr:rowOff>0</xdr:rowOff>
        </xdr:from>
        <xdr:to>
          <xdr:col>8</xdr:col>
          <xdr:colOff>1098550</xdr:colOff>
          <xdr:row>62</xdr:row>
          <xdr:rowOff>190500</xdr:rowOff>
        </xdr:to>
        <xdr:sp>
          <xdr:nvSpPr>
            <xdr:cNvPr id="12311" name="Spinner 23" hidden="1">
              <a:extLst>
                <a:ext uri="{63B3BB69-23CF-44E3-9099-C40C66FF867C}">
                  <a14:compatExt spid="_x0000_s12311"/>
                </a:ext>
              </a:extLst>
            </xdr:cNvPr>
            <xdr:cNvSpPr/>
          </xdr:nvSpPr>
          <xdr:spPr>
            <a:xfrm>
              <a:off x="8184515" y="125984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673100</xdr:colOff>
          <xdr:row>62</xdr:row>
          <xdr:rowOff>0</xdr:rowOff>
        </xdr:from>
        <xdr:to>
          <xdr:col>9</xdr:col>
          <xdr:colOff>793750</xdr:colOff>
          <xdr:row>62</xdr:row>
          <xdr:rowOff>190500</xdr:rowOff>
        </xdr:to>
        <xdr:sp>
          <xdr:nvSpPr>
            <xdr:cNvPr id="12312" name="Spinner 24" hidden="1">
              <a:extLst>
                <a:ext uri="{63B3BB69-23CF-44E3-9099-C40C66FF867C}">
                  <a14:compatExt spid="_x0000_s12312"/>
                </a:ext>
              </a:extLst>
            </xdr:cNvPr>
            <xdr:cNvSpPr/>
          </xdr:nvSpPr>
          <xdr:spPr>
            <a:xfrm>
              <a:off x="9020810" y="125984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717550</xdr:colOff>
          <xdr:row>62</xdr:row>
          <xdr:rowOff>0</xdr:rowOff>
        </xdr:from>
        <xdr:to>
          <xdr:col>10</xdr:col>
          <xdr:colOff>850900</xdr:colOff>
          <xdr:row>62</xdr:row>
          <xdr:rowOff>190500</xdr:rowOff>
        </xdr:to>
        <xdr:sp>
          <xdr:nvSpPr>
            <xdr:cNvPr id="12313" name="Spinner 25" hidden="1">
              <a:extLst>
                <a:ext uri="{63B3BB69-23CF-44E3-9099-C40C66FF867C}">
                  <a14:compatExt spid="_x0000_s12313"/>
                </a:ext>
              </a:extLst>
            </xdr:cNvPr>
            <xdr:cNvSpPr/>
          </xdr:nvSpPr>
          <xdr:spPr>
            <a:xfrm>
              <a:off x="9880600" y="125984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990600</xdr:colOff>
          <xdr:row>61</xdr:row>
          <xdr:rowOff>190500</xdr:rowOff>
        </xdr:from>
        <xdr:to>
          <xdr:col>11</xdr:col>
          <xdr:colOff>1117600</xdr:colOff>
          <xdr:row>62</xdr:row>
          <xdr:rowOff>184150</xdr:rowOff>
        </xdr:to>
        <xdr:sp>
          <xdr:nvSpPr>
            <xdr:cNvPr id="12314" name="Spinner 26" hidden="1">
              <a:extLst>
                <a:ext uri="{63B3BB69-23CF-44E3-9099-C40C66FF867C}">
                  <a14:compatExt spid="_x0000_s12314"/>
                </a:ext>
              </a:extLst>
            </xdr:cNvPr>
            <xdr:cNvSpPr/>
          </xdr:nvSpPr>
          <xdr:spPr>
            <a:xfrm>
              <a:off x="11040745" y="1258570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977900</xdr:colOff>
          <xdr:row>63</xdr:row>
          <xdr:rowOff>0</xdr:rowOff>
        </xdr:from>
        <xdr:to>
          <xdr:col>8</xdr:col>
          <xdr:colOff>1098550</xdr:colOff>
          <xdr:row>63</xdr:row>
          <xdr:rowOff>190500</xdr:rowOff>
        </xdr:to>
        <xdr:sp>
          <xdr:nvSpPr>
            <xdr:cNvPr id="12315" name="Spinner 27" hidden="1">
              <a:extLst>
                <a:ext uri="{63B3BB69-23CF-44E3-9099-C40C66FF867C}">
                  <a14:compatExt spid="_x0000_s12315"/>
                </a:ext>
              </a:extLst>
            </xdr:cNvPr>
            <xdr:cNvSpPr/>
          </xdr:nvSpPr>
          <xdr:spPr>
            <a:xfrm>
              <a:off x="8184515" y="128016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673100</xdr:colOff>
          <xdr:row>63</xdr:row>
          <xdr:rowOff>0</xdr:rowOff>
        </xdr:from>
        <xdr:to>
          <xdr:col>9</xdr:col>
          <xdr:colOff>793750</xdr:colOff>
          <xdr:row>63</xdr:row>
          <xdr:rowOff>190500</xdr:rowOff>
        </xdr:to>
        <xdr:sp>
          <xdr:nvSpPr>
            <xdr:cNvPr id="12316" name="Spinner 28" hidden="1">
              <a:extLst>
                <a:ext uri="{63B3BB69-23CF-44E3-9099-C40C66FF867C}">
                  <a14:compatExt spid="_x0000_s12316"/>
                </a:ext>
              </a:extLst>
            </xdr:cNvPr>
            <xdr:cNvSpPr/>
          </xdr:nvSpPr>
          <xdr:spPr>
            <a:xfrm>
              <a:off x="9020810" y="128016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717550</xdr:colOff>
          <xdr:row>63</xdr:row>
          <xdr:rowOff>0</xdr:rowOff>
        </xdr:from>
        <xdr:to>
          <xdr:col>10</xdr:col>
          <xdr:colOff>850900</xdr:colOff>
          <xdr:row>63</xdr:row>
          <xdr:rowOff>190500</xdr:rowOff>
        </xdr:to>
        <xdr:sp>
          <xdr:nvSpPr>
            <xdr:cNvPr id="12317" name="Spinner 29" hidden="1">
              <a:extLst>
                <a:ext uri="{63B3BB69-23CF-44E3-9099-C40C66FF867C}">
                  <a14:compatExt spid="_x0000_s12317"/>
                </a:ext>
              </a:extLst>
            </xdr:cNvPr>
            <xdr:cNvSpPr/>
          </xdr:nvSpPr>
          <xdr:spPr>
            <a:xfrm>
              <a:off x="9880600" y="128016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990600</xdr:colOff>
          <xdr:row>62</xdr:row>
          <xdr:rowOff>190500</xdr:rowOff>
        </xdr:from>
        <xdr:to>
          <xdr:col>11</xdr:col>
          <xdr:colOff>1117600</xdr:colOff>
          <xdr:row>63</xdr:row>
          <xdr:rowOff>184150</xdr:rowOff>
        </xdr:to>
        <xdr:sp>
          <xdr:nvSpPr>
            <xdr:cNvPr id="12318" name="Spinner 30" hidden="1">
              <a:extLst>
                <a:ext uri="{63B3BB69-23CF-44E3-9099-C40C66FF867C}">
                  <a14:compatExt spid="_x0000_s12318"/>
                </a:ext>
              </a:extLst>
            </xdr:cNvPr>
            <xdr:cNvSpPr/>
          </xdr:nvSpPr>
          <xdr:spPr>
            <a:xfrm>
              <a:off x="11040745" y="1278890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977900</xdr:colOff>
          <xdr:row>64</xdr:row>
          <xdr:rowOff>0</xdr:rowOff>
        </xdr:from>
        <xdr:to>
          <xdr:col>8</xdr:col>
          <xdr:colOff>1098550</xdr:colOff>
          <xdr:row>64</xdr:row>
          <xdr:rowOff>190500</xdr:rowOff>
        </xdr:to>
        <xdr:sp>
          <xdr:nvSpPr>
            <xdr:cNvPr id="12319" name="Spinner 31" hidden="1">
              <a:extLst>
                <a:ext uri="{63B3BB69-23CF-44E3-9099-C40C66FF867C}">
                  <a14:compatExt spid="_x0000_s12319"/>
                </a:ext>
              </a:extLst>
            </xdr:cNvPr>
            <xdr:cNvSpPr/>
          </xdr:nvSpPr>
          <xdr:spPr>
            <a:xfrm>
              <a:off x="8184515" y="130048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673100</xdr:colOff>
          <xdr:row>64</xdr:row>
          <xdr:rowOff>0</xdr:rowOff>
        </xdr:from>
        <xdr:to>
          <xdr:col>9</xdr:col>
          <xdr:colOff>793750</xdr:colOff>
          <xdr:row>64</xdr:row>
          <xdr:rowOff>190500</xdr:rowOff>
        </xdr:to>
        <xdr:sp>
          <xdr:nvSpPr>
            <xdr:cNvPr id="12320" name="Spinner 32" hidden="1">
              <a:extLst>
                <a:ext uri="{63B3BB69-23CF-44E3-9099-C40C66FF867C}">
                  <a14:compatExt spid="_x0000_s12320"/>
                </a:ext>
              </a:extLst>
            </xdr:cNvPr>
            <xdr:cNvSpPr/>
          </xdr:nvSpPr>
          <xdr:spPr>
            <a:xfrm>
              <a:off x="9020810" y="130048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717550</xdr:colOff>
          <xdr:row>64</xdr:row>
          <xdr:rowOff>0</xdr:rowOff>
        </xdr:from>
        <xdr:to>
          <xdr:col>10</xdr:col>
          <xdr:colOff>850900</xdr:colOff>
          <xdr:row>64</xdr:row>
          <xdr:rowOff>190500</xdr:rowOff>
        </xdr:to>
        <xdr:sp>
          <xdr:nvSpPr>
            <xdr:cNvPr id="12321" name="Spinner 33" hidden="1">
              <a:extLst>
                <a:ext uri="{63B3BB69-23CF-44E3-9099-C40C66FF867C}">
                  <a14:compatExt spid="_x0000_s12321"/>
                </a:ext>
              </a:extLst>
            </xdr:cNvPr>
            <xdr:cNvSpPr/>
          </xdr:nvSpPr>
          <xdr:spPr>
            <a:xfrm>
              <a:off x="9880600" y="130048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990600</xdr:colOff>
          <xdr:row>63</xdr:row>
          <xdr:rowOff>190500</xdr:rowOff>
        </xdr:from>
        <xdr:to>
          <xdr:col>11</xdr:col>
          <xdr:colOff>1117600</xdr:colOff>
          <xdr:row>64</xdr:row>
          <xdr:rowOff>184150</xdr:rowOff>
        </xdr:to>
        <xdr:sp>
          <xdr:nvSpPr>
            <xdr:cNvPr id="12322" name="Spinner 34" hidden="1">
              <a:extLst>
                <a:ext uri="{63B3BB69-23CF-44E3-9099-C40C66FF867C}">
                  <a14:compatExt spid="_x0000_s12322"/>
                </a:ext>
              </a:extLst>
            </xdr:cNvPr>
            <xdr:cNvSpPr/>
          </xdr:nvSpPr>
          <xdr:spPr>
            <a:xfrm>
              <a:off x="11040745" y="1299210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977900</xdr:colOff>
          <xdr:row>65</xdr:row>
          <xdr:rowOff>0</xdr:rowOff>
        </xdr:from>
        <xdr:to>
          <xdr:col>8</xdr:col>
          <xdr:colOff>1098550</xdr:colOff>
          <xdr:row>65</xdr:row>
          <xdr:rowOff>190500</xdr:rowOff>
        </xdr:to>
        <xdr:sp>
          <xdr:nvSpPr>
            <xdr:cNvPr id="12323" name="Spinner 35" hidden="1">
              <a:extLst>
                <a:ext uri="{63B3BB69-23CF-44E3-9099-C40C66FF867C}">
                  <a14:compatExt spid="_x0000_s12323"/>
                </a:ext>
              </a:extLst>
            </xdr:cNvPr>
            <xdr:cNvSpPr/>
          </xdr:nvSpPr>
          <xdr:spPr>
            <a:xfrm>
              <a:off x="8184515" y="132080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673100</xdr:colOff>
          <xdr:row>65</xdr:row>
          <xdr:rowOff>0</xdr:rowOff>
        </xdr:from>
        <xdr:to>
          <xdr:col>9</xdr:col>
          <xdr:colOff>793750</xdr:colOff>
          <xdr:row>65</xdr:row>
          <xdr:rowOff>190500</xdr:rowOff>
        </xdr:to>
        <xdr:sp>
          <xdr:nvSpPr>
            <xdr:cNvPr id="12324" name="Spinner 36" hidden="1">
              <a:extLst>
                <a:ext uri="{63B3BB69-23CF-44E3-9099-C40C66FF867C}">
                  <a14:compatExt spid="_x0000_s12324"/>
                </a:ext>
              </a:extLst>
            </xdr:cNvPr>
            <xdr:cNvSpPr/>
          </xdr:nvSpPr>
          <xdr:spPr>
            <a:xfrm>
              <a:off x="9020810" y="132080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717550</xdr:colOff>
          <xdr:row>65</xdr:row>
          <xdr:rowOff>0</xdr:rowOff>
        </xdr:from>
        <xdr:to>
          <xdr:col>10</xdr:col>
          <xdr:colOff>850900</xdr:colOff>
          <xdr:row>65</xdr:row>
          <xdr:rowOff>190500</xdr:rowOff>
        </xdr:to>
        <xdr:sp>
          <xdr:nvSpPr>
            <xdr:cNvPr id="12325" name="Spinner 37" hidden="1">
              <a:extLst>
                <a:ext uri="{63B3BB69-23CF-44E3-9099-C40C66FF867C}">
                  <a14:compatExt spid="_x0000_s12325"/>
                </a:ext>
              </a:extLst>
            </xdr:cNvPr>
            <xdr:cNvSpPr/>
          </xdr:nvSpPr>
          <xdr:spPr>
            <a:xfrm>
              <a:off x="9880600" y="132080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990600</xdr:colOff>
          <xdr:row>64</xdr:row>
          <xdr:rowOff>190500</xdr:rowOff>
        </xdr:from>
        <xdr:to>
          <xdr:col>11</xdr:col>
          <xdr:colOff>1117600</xdr:colOff>
          <xdr:row>65</xdr:row>
          <xdr:rowOff>184150</xdr:rowOff>
        </xdr:to>
        <xdr:sp>
          <xdr:nvSpPr>
            <xdr:cNvPr id="12326" name="Spinner 38" hidden="1">
              <a:extLst>
                <a:ext uri="{63B3BB69-23CF-44E3-9099-C40C66FF867C}">
                  <a14:compatExt spid="_x0000_s12326"/>
                </a:ext>
              </a:extLst>
            </xdr:cNvPr>
            <xdr:cNvSpPr/>
          </xdr:nvSpPr>
          <xdr:spPr>
            <a:xfrm>
              <a:off x="11040745" y="13195300"/>
              <a:ext cx="127000" cy="19685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12</xdr:col>
      <xdr:colOff>18143</xdr:colOff>
      <xdr:row>4</xdr:row>
      <xdr:rowOff>167367</xdr:rowOff>
    </xdr:from>
    <xdr:to>
      <xdr:col>12</xdr:col>
      <xdr:colOff>809000</xdr:colOff>
      <xdr:row>5</xdr:row>
      <xdr:rowOff>187549</xdr:rowOff>
    </xdr:to>
    <xdr:sp macro="[0]!研发A">
      <xdr:nvSpPr>
        <xdr:cNvPr id="2" name="AutoShape 1025"/>
        <xdr:cNvSpPr>
          <a:spLocks noChangeArrowheads="1"/>
        </xdr:cNvSpPr>
      </xdr:nvSpPr>
      <xdr:spPr>
        <a:xfrm>
          <a:off x="11313795" y="979805"/>
          <a:ext cx="791210" cy="22352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A</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18143</xdr:colOff>
      <xdr:row>5</xdr:row>
      <xdr:rowOff>186418</xdr:rowOff>
    </xdr:from>
    <xdr:to>
      <xdr:col>12</xdr:col>
      <xdr:colOff>809000</xdr:colOff>
      <xdr:row>7</xdr:row>
      <xdr:rowOff>9071</xdr:rowOff>
    </xdr:to>
    <xdr:sp macro="[0]!研发B">
      <xdr:nvSpPr>
        <xdr:cNvPr id="3" name="AutoShape 1026"/>
        <xdr:cNvSpPr>
          <a:spLocks noChangeArrowheads="1"/>
        </xdr:cNvSpPr>
      </xdr:nvSpPr>
      <xdr:spPr>
        <a:xfrm>
          <a:off x="11313795" y="1202055"/>
          <a:ext cx="791210" cy="22923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B</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18143</xdr:colOff>
      <xdr:row>7</xdr:row>
      <xdr:rowOff>542</xdr:rowOff>
    </xdr:from>
    <xdr:to>
      <xdr:col>12</xdr:col>
      <xdr:colOff>809000</xdr:colOff>
      <xdr:row>8</xdr:row>
      <xdr:rowOff>20726</xdr:rowOff>
    </xdr:to>
    <xdr:sp macro="[0]!研发C">
      <xdr:nvSpPr>
        <xdr:cNvPr id="4" name="AutoShape 1027"/>
        <xdr:cNvSpPr>
          <a:spLocks noChangeArrowheads="1"/>
        </xdr:cNvSpPr>
      </xdr:nvSpPr>
      <xdr:spPr>
        <a:xfrm>
          <a:off x="11313795" y="1422400"/>
          <a:ext cx="791210" cy="22352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C</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18142</xdr:colOff>
      <xdr:row>8</xdr:row>
      <xdr:rowOff>13607</xdr:rowOff>
    </xdr:from>
    <xdr:to>
      <xdr:col>12</xdr:col>
      <xdr:colOff>808999</xdr:colOff>
      <xdr:row>9</xdr:row>
      <xdr:rowOff>33788</xdr:rowOff>
    </xdr:to>
    <xdr:sp macro="[0]!研发D">
      <xdr:nvSpPr>
        <xdr:cNvPr id="5" name="AutoShape 1028"/>
        <xdr:cNvSpPr>
          <a:spLocks noChangeArrowheads="1"/>
        </xdr:cNvSpPr>
      </xdr:nvSpPr>
      <xdr:spPr>
        <a:xfrm>
          <a:off x="11313795" y="1638935"/>
          <a:ext cx="791210" cy="22352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研发</a:t>
          </a:r>
          <a:r>
            <a:rPr lang="en-US" altLang="zh-CN" sz="1100" b="1" i="0" u="none" strike="noStrike" baseline="0">
              <a:solidFill>
                <a:schemeClr val="bg1"/>
              </a:solidFill>
              <a:latin typeface="宋体" panose="02010600030101010101" pitchFamily="7" charset="-122"/>
              <a:ea typeface="宋体" panose="02010600030101010101" pitchFamily="7" charset="-122"/>
            </a:rPr>
            <a:t>D</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18143</xdr:colOff>
      <xdr:row>9</xdr:row>
      <xdr:rowOff>23131</xdr:rowOff>
    </xdr:from>
    <xdr:to>
      <xdr:col>12</xdr:col>
      <xdr:colOff>809000</xdr:colOff>
      <xdr:row>10</xdr:row>
      <xdr:rowOff>42268</xdr:rowOff>
    </xdr:to>
    <xdr:sp macro="[0]!清除研发">
      <xdr:nvSpPr>
        <xdr:cNvPr id="6" name="AutoShape 1029"/>
        <xdr:cNvSpPr>
          <a:spLocks noChangeArrowheads="1"/>
        </xdr:cNvSpPr>
      </xdr:nvSpPr>
      <xdr:spPr>
        <a:xfrm>
          <a:off x="11313795" y="1851660"/>
          <a:ext cx="791210" cy="22225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清除研发</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11</xdr:col>
      <xdr:colOff>1345</xdr:colOff>
      <xdr:row>16</xdr:row>
      <xdr:rowOff>189230</xdr:rowOff>
    </xdr:from>
    <xdr:to>
      <xdr:col>11</xdr:col>
      <xdr:colOff>681900</xdr:colOff>
      <xdr:row>18</xdr:row>
      <xdr:rowOff>12608</xdr:rowOff>
    </xdr:to>
    <xdr:sp macro="[0]!必要辞退">
      <xdr:nvSpPr>
        <xdr:cNvPr id="7" name="AutoShape 1030"/>
        <xdr:cNvSpPr>
          <a:spLocks noChangeArrowheads="1"/>
        </xdr:cNvSpPr>
      </xdr:nvSpPr>
      <xdr:spPr>
        <a:xfrm>
          <a:off x="10162540" y="3440430"/>
          <a:ext cx="680085" cy="22923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必要辞退</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90533</xdr:colOff>
      <xdr:row>62</xdr:row>
      <xdr:rowOff>108313</xdr:rowOff>
    </xdr:from>
    <xdr:to>
      <xdr:col>12</xdr:col>
      <xdr:colOff>729453</xdr:colOff>
      <xdr:row>65</xdr:row>
      <xdr:rowOff>98788</xdr:rowOff>
    </xdr:to>
    <xdr:sp macro="[0]!按配货比例自动运输">
      <xdr:nvSpPr>
        <xdr:cNvPr id="8" name="AutoShape 1066"/>
        <xdr:cNvSpPr>
          <a:spLocks noChangeArrowheads="1"/>
        </xdr:cNvSpPr>
      </xdr:nvSpPr>
      <xdr:spPr>
        <a:xfrm>
          <a:off x="11386185" y="12706350"/>
          <a:ext cx="638810" cy="600075"/>
        </a:xfrm>
        <a:prstGeom prst="roundRect">
          <a:avLst>
            <a:gd name="adj" fmla="val 0"/>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3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按配货比例自动运输</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133260</xdr:colOff>
      <xdr:row>27</xdr:row>
      <xdr:rowOff>19867</xdr:rowOff>
    </xdr:from>
    <xdr:to>
      <xdr:col>18</xdr:col>
      <xdr:colOff>700870</xdr:colOff>
      <xdr:row>29</xdr:row>
      <xdr:rowOff>19867</xdr:rowOff>
    </xdr:to>
    <xdr:sp macro="[0]!粘贴广促费用">
      <xdr:nvSpPr>
        <xdr:cNvPr id="9" name="AutoShape 1068"/>
        <xdr:cNvSpPr>
          <a:spLocks noChangeArrowheads="1"/>
        </xdr:cNvSpPr>
      </xdr:nvSpPr>
      <xdr:spPr>
        <a:xfrm>
          <a:off x="17258665" y="5506085"/>
          <a:ext cx="567690" cy="4064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2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粘贴广促费用</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6</xdr:col>
      <xdr:colOff>0</xdr:colOff>
      <xdr:row>8</xdr:row>
      <xdr:rowOff>176893</xdr:rowOff>
    </xdr:from>
    <xdr:to>
      <xdr:col>7</xdr:col>
      <xdr:colOff>0</xdr:colOff>
      <xdr:row>9</xdr:row>
      <xdr:rowOff>195943</xdr:rowOff>
    </xdr:to>
    <xdr:sp macro="[0]!自动提交决策">
      <xdr:nvSpPr>
        <xdr:cNvPr id="10" name="AutoShape 1049"/>
        <xdr:cNvSpPr>
          <a:spLocks noChangeArrowheads="1"/>
        </xdr:cNvSpPr>
      </xdr:nvSpPr>
      <xdr:spPr>
        <a:xfrm>
          <a:off x="5628640" y="1802130"/>
          <a:ext cx="743585" cy="22225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提交决策</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811892</xdr:colOff>
      <xdr:row>43</xdr:row>
      <xdr:rowOff>0</xdr:rowOff>
    </xdr:from>
    <xdr:to>
      <xdr:col>9</xdr:col>
      <xdr:colOff>562609</xdr:colOff>
      <xdr:row>43</xdr:row>
      <xdr:rowOff>190500</xdr:rowOff>
    </xdr:to>
    <xdr:sp macro="[0]!推荐购入">
      <xdr:nvSpPr>
        <xdr:cNvPr id="11" name="AutoShape 1036"/>
        <xdr:cNvSpPr>
          <a:spLocks noChangeArrowheads="1"/>
        </xdr:cNvSpPr>
      </xdr:nvSpPr>
      <xdr:spPr>
        <a:xfrm>
          <a:off x="8037830" y="8737600"/>
          <a:ext cx="728980" cy="1905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推荐购入</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7</xdr:col>
      <xdr:colOff>802821</xdr:colOff>
      <xdr:row>43</xdr:row>
      <xdr:rowOff>0</xdr:rowOff>
    </xdr:from>
    <xdr:to>
      <xdr:col>8</xdr:col>
      <xdr:colOff>717550</xdr:colOff>
      <xdr:row>43</xdr:row>
      <xdr:rowOff>190500</xdr:rowOff>
    </xdr:to>
    <xdr:sp macro="[0]!必要购入">
      <xdr:nvSpPr>
        <xdr:cNvPr id="12" name="AutoShape 1036"/>
        <xdr:cNvSpPr>
          <a:spLocks noChangeArrowheads="1"/>
        </xdr:cNvSpPr>
      </xdr:nvSpPr>
      <xdr:spPr>
        <a:xfrm>
          <a:off x="7174865" y="8737600"/>
          <a:ext cx="768985" cy="1905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必要购入</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31</xdr:col>
      <xdr:colOff>668838</xdr:colOff>
      <xdr:row>13</xdr:row>
      <xdr:rowOff>64407</xdr:rowOff>
    </xdr:from>
    <xdr:to>
      <xdr:col>33</xdr:col>
      <xdr:colOff>608222</xdr:colOff>
      <xdr:row>14</xdr:row>
      <xdr:rowOff>64407</xdr:rowOff>
    </xdr:to>
    <xdr:sp macro="[0]!粘贴报表">
      <xdr:nvSpPr>
        <xdr:cNvPr id="13" name="AutoShape 1037"/>
        <xdr:cNvSpPr>
          <a:spLocks noChangeArrowheads="1"/>
        </xdr:cNvSpPr>
      </xdr:nvSpPr>
      <xdr:spPr>
        <a:xfrm>
          <a:off x="28693745" y="2705735"/>
          <a:ext cx="1322070" cy="2032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粘贴报表</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69306</xdr:colOff>
      <xdr:row>42</xdr:row>
      <xdr:rowOff>12610</xdr:rowOff>
    </xdr:from>
    <xdr:to>
      <xdr:col>19</xdr:col>
      <xdr:colOff>125458</xdr:colOff>
      <xdr:row>43</xdr:row>
      <xdr:rowOff>80374</xdr:rowOff>
    </xdr:to>
    <xdr:sp macro="[0]!记录工资系数">
      <xdr:nvSpPr>
        <xdr:cNvPr id="14" name="AutoShape 1068"/>
        <xdr:cNvSpPr>
          <a:spLocks noChangeArrowheads="1"/>
        </xdr:cNvSpPr>
      </xdr:nvSpPr>
      <xdr:spPr>
        <a:xfrm>
          <a:off x="17195165" y="8546465"/>
          <a:ext cx="1053465" cy="271145"/>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ctr" upright="1"/>
        <a:lstStyle/>
        <a:p>
          <a:pPr algn="ctr" rtl="0">
            <a:lnSpc>
              <a:spcPts val="1200"/>
            </a:lnSpc>
            <a:defRPr sz="1000"/>
          </a:pPr>
          <a:r>
            <a:rPr lang="zh-CN" altLang="en-US" sz="1200" b="1" i="0" u="none" strike="noStrike" baseline="0">
              <a:solidFill>
                <a:schemeClr val="bg1"/>
              </a:solidFill>
              <a:latin typeface="宋体" panose="02010600030101010101" pitchFamily="7" charset="-122"/>
              <a:ea typeface="宋体" panose="02010600030101010101" pitchFamily="7" charset="-122"/>
            </a:rPr>
            <a:t>记录工资系数</a:t>
          </a:r>
          <a:endParaRPr lang="zh-CN" altLang="en-US" sz="12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mc:AlternateContent xmlns:mc="http://schemas.openxmlformats.org/markup-compatibility/2006">
    <mc:Choice xmlns:a14="http://schemas.microsoft.com/office/drawing/2010/main" Requires="a14">
      <xdr:twoCellAnchor>
        <xdr:from>
          <xdr:col>9</xdr:col>
          <xdr:colOff>793750</xdr:colOff>
          <xdr:row>24</xdr:row>
          <xdr:rowOff>12700</xdr:rowOff>
        </xdr:from>
        <xdr:to>
          <xdr:col>9</xdr:col>
          <xdr:colOff>927100</xdr:colOff>
          <xdr:row>25</xdr:row>
          <xdr:rowOff>0</xdr:rowOff>
        </xdr:to>
        <xdr:sp>
          <xdr:nvSpPr>
            <xdr:cNvPr id="13325" name="Spinner 13" hidden="1">
              <a:extLst>
                <a:ext uri="{63B3BB69-23CF-44E3-9099-C40C66FF867C}">
                  <a14:compatExt spid="_x0000_s13325"/>
                </a:ext>
              </a:extLst>
            </xdr:cNvPr>
            <xdr:cNvSpPr/>
          </xdr:nvSpPr>
          <xdr:spPr>
            <a:xfrm>
              <a:off x="8998585" y="48895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25</xdr:row>
          <xdr:rowOff>12700</xdr:rowOff>
        </xdr:from>
        <xdr:to>
          <xdr:col>9</xdr:col>
          <xdr:colOff>927100</xdr:colOff>
          <xdr:row>26</xdr:row>
          <xdr:rowOff>0</xdr:rowOff>
        </xdr:to>
        <xdr:sp>
          <xdr:nvSpPr>
            <xdr:cNvPr id="13327" name="Spinner 15" hidden="1">
              <a:extLst>
                <a:ext uri="{63B3BB69-23CF-44E3-9099-C40C66FF867C}">
                  <a14:compatExt spid="_x0000_s13327"/>
                </a:ext>
              </a:extLst>
            </xdr:cNvPr>
            <xdr:cNvSpPr/>
          </xdr:nvSpPr>
          <xdr:spPr>
            <a:xfrm>
              <a:off x="8998585" y="50927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26</xdr:row>
          <xdr:rowOff>12700</xdr:rowOff>
        </xdr:from>
        <xdr:to>
          <xdr:col>9</xdr:col>
          <xdr:colOff>927100</xdr:colOff>
          <xdr:row>27</xdr:row>
          <xdr:rowOff>0</xdr:rowOff>
        </xdr:to>
        <xdr:sp>
          <xdr:nvSpPr>
            <xdr:cNvPr id="13329" name="Spinner 17" hidden="1">
              <a:extLst>
                <a:ext uri="{63B3BB69-23CF-44E3-9099-C40C66FF867C}">
                  <a14:compatExt spid="_x0000_s13329"/>
                </a:ext>
              </a:extLst>
            </xdr:cNvPr>
            <xdr:cNvSpPr/>
          </xdr:nvSpPr>
          <xdr:spPr>
            <a:xfrm>
              <a:off x="8998585" y="52959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27</xdr:row>
          <xdr:rowOff>12700</xdr:rowOff>
        </xdr:from>
        <xdr:to>
          <xdr:col>9</xdr:col>
          <xdr:colOff>927100</xdr:colOff>
          <xdr:row>28</xdr:row>
          <xdr:rowOff>0</xdr:rowOff>
        </xdr:to>
        <xdr:sp>
          <xdr:nvSpPr>
            <xdr:cNvPr id="13331" name="Spinner 19" hidden="1">
              <a:extLst>
                <a:ext uri="{63B3BB69-23CF-44E3-9099-C40C66FF867C}">
                  <a14:compatExt spid="_x0000_s13331"/>
                </a:ext>
              </a:extLst>
            </xdr:cNvPr>
            <xdr:cNvSpPr/>
          </xdr:nvSpPr>
          <xdr:spPr>
            <a:xfrm>
              <a:off x="8998585" y="54991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952500</xdr:colOff>
          <xdr:row>25</xdr:row>
          <xdr:rowOff>12700</xdr:rowOff>
        </xdr:from>
        <xdr:to>
          <xdr:col>11</xdr:col>
          <xdr:colOff>1079500</xdr:colOff>
          <xdr:row>26</xdr:row>
          <xdr:rowOff>0</xdr:rowOff>
        </xdr:to>
        <xdr:sp>
          <xdr:nvSpPr>
            <xdr:cNvPr id="13335" name="Spinner 23" hidden="1">
              <a:extLst>
                <a:ext uri="{63B3BB69-23CF-44E3-9099-C40C66FF867C}">
                  <a14:compatExt spid="_x0000_s13335"/>
                </a:ext>
              </a:extLst>
            </xdr:cNvPr>
            <xdr:cNvSpPr/>
          </xdr:nvSpPr>
          <xdr:spPr>
            <a:xfrm>
              <a:off x="11113770" y="50927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952500</xdr:colOff>
          <xdr:row>27</xdr:row>
          <xdr:rowOff>12700</xdr:rowOff>
        </xdr:from>
        <xdr:to>
          <xdr:col>11</xdr:col>
          <xdr:colOff>1079500</xdr:colOff>
          <xdr:row>28</xdr:row>
          <xdr:rowOff>0</xdr:rowOff>
        </xdr:to>
        <xdr:sp>
          <xdr:nvSpPr>
            <xdr:cNvPr id="13339" name="Spinner 27" hidden="1">
              <a:extLst>
                <a:ext uri="{63B3BB69-23CF-44E3-9099-C40C66FF867C}">
                  <a14:compatExt spid="_x0000_s13339"/>
                </a:ext>
              </a:extLst>
            </xdr:cNvPr>
            <xdr:cNvSpPr/>
          </xdr:nvSpPr>
          <xdr:spPr>
            <a:xfrm>
              <a:off x="11113770" y="54991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800100</xdr:colOff>
          <xdr:row>24</xdr:row>
          <xdr:rowOff>12700</xdr:rowOff>
        </xdr:from>
        <xdr:to>
          <xdr:col>10</xdr:col>
          <xdr:colOff>952500</xdr:colOff>
          <xdr:row>25</xdr:row>
          <xdr:rowOff>12700</xdr:rowOff>
        </xdr:to>
        <xdr:sp>
          <xdr:nvSpPr>
            <xdr:cNvPr id="13348" name="Spinner 36" hidden="1">
              <a:extLst>
                <a:ext uri="{63B3BB69-23CF-44E3-9099-C40C66FF867C}">
                  <a14:compatExt spid="_x0000_s13348"/>
                </a:ext>
              </a:extLst>
            </xdr:cNvPr>
            <xdr:cNvSpPr/>
          </xdr:nvSpPr>
          <xdr:spPr>
            <a:xfrm>
              <a:off x="9970135" y="4889500"/>
              <a:ext cx="152400" cy="2032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952500</xdr:colOff>
          <xdr:row>24</xdr:row>
          <xdr:rowOff>12700</xdr:rowOff>
        </xdr:from>
        <xdr:to>
          <xdr:col>11</xdr:col>
          <xdr:colOff>1092200</xdr:colOff>
          <xdr:row>25</xdr:row>
          <xdr:rowOff>0</xdr:rowOff>
        </xdr:to>
        <xdr:sp>
          <xdr:nvSpPr>
            <xdr:cNvPr id="13349" name="Spinner 37" hidden="1">
              <a:extLst>
                <a:ext uri="{63B3BB69-23CF-44E3-9099-C40C66FF867C}">
                  <a14:compatExt spid="_x0000_s13349"/>
                </a:ext>
              </a:extLst>
            </xdr:cNvPr>
            <xdr:cNvSpPr/>
          </xdr:nvSpPr>
          <xdr:spPr>
            <a:xfrm>
              <a:off x="11113770" y="48895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800100</xdr:colOff>
          <xdr:row>25</xdr:row>
          <xdr:rowOff>31750</xdr:rowOff>
        </xdr:from>
        <xdr:to>
          <xdr:col>10</xdr:col>
          <xdr:colOff>946150</xdr:colOff>
          <xdr:row>26</xdr:row>
          <xdr:rowOff>12700</xdr:rowOff>
        </xdr:to>
        <xdr:sp>
          <xdr:nvSpPr>
            <xdr:cNvPr id="13350" name="Spinner 38" hidden="1">
              <a:extLst>
                <a:ext uri="{63B3BB69-23CF-44E3-9099-C40C66FF867C}">
                  <a14:compatExt spid="_x0000_s13350"/>
                </a:ext>
              </a:extLst>
            </xdr:cNvPr>
            <xdr:cNvSpPr/>
          </xdr:nvSpPr>
          <xdr:spPr>
            <a:xfrm>
              <a:off x="9970135" y="5111750"/>
              <a:ext cx="14605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800100</xdr:colOff>
          <xdr:row>26</xdr:row>
          <xdr:rowOff>31750</xdr:rowOff>
        </xdr:from>
        <xdr:to>
          <xdr:col>10</xdr:col>
          <xdr:colOff>946150</xdr:colOff>
          <xdr:row>27</xdr:row>
          <xdr:rowOff>12700</xdr:rowOff>
        </xdr:to>
        <xdr:sp>
          <xdr:nvSpPr>
            <xdr:cNvPr id="13352" name="Spinner 40" hidden="1">
              <a:extLst>
                <a:ext uri="{63B3BB69-23CF-44E3-9099-C40C66FF867C}">
                  <a14:compatExt spid="_x0000_s13352"/>
                </a:ext>
              </a:extLst>
            </xdr:cNvPr>
            <xdr:cNvSpPr/>
          </xdr:nvSpPr>
          <xdr:spPr>
            <a:xfrm>
              <a:off x="9970135" y="5314950"/>
              <a:ext cx="14605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965200</xdr:colOff>
          <xdr:row>26</xdr:row>
          <xdr:rowOff>12700</xdr:rowOff>
        </xdr:from>
        <xdr:to>
          <xdr:col>11</xdr:col>
          <xdr:colOff>1092200</xdr:colOff>
          <xdr:row>27</xdr:row>
          <xdr:rowOff>12700</xdr:rowOff>
        </xdr:to>
        <xdr:sp>
          <xdr:nvSpPr>
            <xdr:cNvPr id="13353" name="Spinner 41" hidden="1">
              <a:extLst>
                <a:ext uri="{63B3BB69-23CF-44E3-9099-C40C66FF867C}">
                  <a14:compatExt spid="_x0000_s13353"/>
                </a:ext>
              </a:extLst>
            </xdr:cNvPr>
            <xdr:cNvSpPr/>
          </xdr:nvSpPr>
          <xdr:spPr>
            <a:xfrm>
              <a:off x="11126470" y="5295900"/>
              <a:ext cx="127000" cy="2032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800100</xdr:colOff>
          <xdr:row>27</xdr:row>
          <xdr:rowOff>31750</xdr:rowOff>
        </xdr:from>
        <xdr:to>
          <xdr:col>10</xdr:col>
          <xdr:colOff>946150</xdr:colOff>
          <xdr:row>28</xdr:row>
          <xdr:rowOff>12700</xdr:rowOff>
        </xdr:to>
        <xdr:sp>
          <xdr:nvSpPr>
            <xdr:cNvPr id="13354" name="Spinner 42" hidden="1">
              <a:extLst>
                <a:ext uri="{63B3BB69-23CF-44E3-9099-C40C66FF867C}">
                  <a14:compatExt spid="_x0000_s13354"/>
                </a:ext>
              </a:extLst>
            </xdr:cNvPr>
            <xdr:cNvSpPr/>
          </xdr:nvSpPr>
          <xdr:spPr>
            <a:xfrm>
              <a:off x="9970135" y="5518150"/>
              <a:ext cx="14605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812800</xdr:colOff>
          <xdr:row>24</xdr:row>
          <xdr:rowOff>0</xdr:rowOff>
        </xdr:from>
        <xdr:to>
          <xdr:col>8</xdr:col>
          <xdr:colOff>927100</xdr:colOff>
          <xdr:row>24</xdr:row>
          <xdr:rowOff>190500</xdr:rowOff>
        </xdr:to>
        <xdr:sp>
          <xdr:nvSpPr>
            <xdr:cNvPr id="13356" name="Spinner 44" hidden="1">
              <a:extLst>
                <a:ext uri="{63B3BB69-23CF-44E3-9099-C40C66FF867C}">
                  <a14:compatExt spid="_x0000_s13356"/>
                </a:ext>
              </a:extLst>
            </xdr:cNvPr>
            <xdr:cNvSpPr/>
          </xdr:nvSpPr>
          <xdr:spPr>
            <a:xfrm>
              <a:off x="8039100" y="48768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812800</xdr:colOff>
          <xdr:row>25</xdr:row>
          <xdr:rowOff>0</xdr:rowOff>
        </xdr:from>
        <xdr:to>
          <xdr:col>8</xdr:col>
          <xdr:colOff>927100</xdr:colOff>
          <xdr:row>25</xdr:row>
          <xdr:rowOff>190500</xdr:rowOff>
        </xdr:to>
        <xdr:sp>
          <xdr:nvSpPr>
            <xdr:cNvPr id="13357" name="Spinner 45" hidden="1">
              <a:extLst>
                <a:ext uri="{63B3BB69-23CF-44E3-9099-C40C66FF867C}">
                  <a14:compatExt spid="_x0000_s13357"/>
                </a:ext>
              </a:extLst>
            </xdr:cNvPr>
            <xdr:cNvSpPr/>
          </xdr:nvSpPr>
          <xdr:spPr>
            <a:xfrm>
              <a:off x="8039100" y="50800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812800</xdr:colOff>
          <xdr:row>26</xdr:row>
          <xdr:rowOff>0</xdr:rowOff>
        </xdr:from>
        <xdr:to>
          <xdr:col>8</xdr:col>
          <xdr:colOff>927100</xdr:colOff>
          <xdr:row>26</xdr:row>
          <xdr:rowOff>190500</xdr:rowOff>
        </xdr:to>
        <xdr:sp>
          <xdr:nvSpPr>
            <xdr:cNvPr id="13358" name="Spinner 46" hidden="1">
              <a:extLst>
                <a:ext uri="{63B3BB69-23CF-44E3-9099-C40C66FF867C}">
                  <a14:compatExt spid="_x0000_s13358"/>
                </a:ext>
              </a:extLst>
            </xdr:cNvPr>
            <xdr:cNvSpPr/>
          </xdr:nvSpPr>
          <xdr:spPr>
            <a:xfrm>
              <a:off x="8039100" y="52832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812800</xdr:colOff>
          <xdr:row>27</xdr:row>
          <xdr:rowOff>0</xdr:rowOff>
        </xdr:from>
        <xdr:to>
          <xdr:col>8</xdr:col>
          <xdr:colOff>927100</xdr:colOff>
          <xdr:row>27</xdr:row>
          <xdr:rowOff>190500</xdr:rowOff>
        </xdr:to>
        <xdr:sp>
          <xdr:nvSpPr>
            <xdr:cNvPr id="13359" name="Spinner 47" hidden="1">
              <a:extLst>
                <a:ext uri="{63B3BB69-23CF-44E3-9099-C40C66FF867C}">
                  <a14:compatExt spid="_x0000_s13359"/>
                </a:ext>
              </a:extLst>
            </xdr:cNvPr>
            <xdr:cNvSpPr/>
          </xdr:nvSpPr>
          <xdr:spPr>
            <a:xfrm>
              <a:off x="8039100" y="54864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825500</xdr:colOff>
          <xdr:row>62</xdr:row>
          <xdr:rowOff>0</xdr:rowOff>
        </xdr:from>
        <xdr:to>
          <xdr:col>8</xdr:col>
          <xdr:colOff>946150</xdr:colOff>
          <xdr:row>62</xdr:row>
          <xdr:rowOff>190500</xdr:rowOff>
        </xdr:to>
        <xdr:sp>
          <xdr:nvSpPr>
            <xdr:cNvPr id="13360" name="Spinner 48" hidden="1">
              <a:extLst>
                <a:ext uri="{63B3BB69-23CF-44E3-9099-C40C66FF867C}">
                  <a14:compatExt spid="_x0000_s13360"/>
                </a:ext>
              </a:extLst>
            </xdr:cNvPr>
            <xdr:cNvSpPr/>
          </xdr:nvSpPr>
          <xdr:spPr>
            <a:xfrm>
              <a:off x="8051800" y="125984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62</xdr:row>
          <xdr:rowOff>0</xdr:rowOff>
        </xdr:from>
        <xdr:to>
          <xdr:col>9</xdr:col>
          <xdr:colOff>927100</xdr:colOff>
          <xdr:row>62</xdr:row>
          <xdr:rowOff>190500</xdr:rowOff>
        </xdr:to>
        <xdr:sp>
          <xdr:nvSpPr>
            <xdr:cNvPr id="13361" name="Spinner 49" hidden="1">
              <a:extLst>
                <a:ext uri="{63B3BB69-23CF-44E3-9099-C40C66FF867C}">
                  <a14:compatExt spid="_x0000_s13361"/>
                </a:ext>
              </a:extLst>
            </xdr:cNvPr>
            <xdr:cNvSpPr/>
          </xdr:nvSpPr>
          <xdr:spPr>
            <a:xfrm>
              <a:off x="9017635" y="125984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812800</xdr:colOff>
          <xdr:row>62</xdr:row>
          <xdr:rowOff>0</xdr:rowOff>
        </xdr:from>
        <xdr:to>
          <xdr:col>10</xdr:col>
          <xdr:colOff>946150</xdr:colOff>
          <xdr:row>62</xdr:row>
          <xdr:rowOff>190500</xdr:rowOff>
        </xdr:to>
        <xdr:sp>
          <xdr:nvSpPr>
            <xdr:cNvPr id="13362" name="Spinner 50" hidden="1">
              <a:extLst>
                <a:ext uri="{63B3BB69-23CF-44E3-9099-C40C66FF867C}">
                  <a14:compatExt spid="_x0000_s13362"/>
                </a:ext>
              </a:extLst>
            </xdr:cNvPr>
            <xdr:cNvSpPr/>
          </xdr:nvSpPr>
          <xdr:spPr>
            <a:xfrm>
              <a:off x="9982835" y="125984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965200</xdr:colOff>
          <xdr:row>61</xdr:row>
          <xdr:rowOff>190500</xdr:rowOff>
        </xdr:from>
        <xdr:to>
          <xdr:col>11</xdr:col>
          <xdr:colOff>1092200</xdr:colOff>
          <xdr:row>62</xdr:row>
          <xdr:rowOff>184150</xdr:rowOff>
        </xdr:to>
        <xdr:sp>
          <xdr:nvSpPr>
            <xdr:cNvPr id="13363" name="Spinner 51" hidden="1">
              <a:extLst>
                <a:ext uri="{63B3BB69-23CF-44E3-9099-C40C66FF867C}">
                  <a14:compatExt spid="_x0000_s13363"/>
                </a:ext>
              </a:extLst>
            </xdr:cNvPr>
            <xdr:cNvSpPr/>
          </xdr:nvSpPr>
          <xdr:spPr>
            <a:xfrm>
              <a:off x="11126470" y="1258570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825500</xdr:colOff>
          <xdr:row>63</xdr:row>
          <xdr:rowOff>0</xdr:rowOff>
        </xdr:from>
        <xdr:to>
          <xdr:col>8</xdr:col>
          <xdr:colOff>946150</xdr:colOff>
          <xdr:row>63</xdr:row>
          <xdr:rowOff>190500</xdr:rowOff>
        </xdr:to>
        <xdr:sp>
          <xdr:nvSpPr>
            <xdr:cNvPr id="13364" name="Spinner 52" hidden="1">
              <a:extLst>
                <a:ext uri="{63B3BB69-23CF-44E3-9099-C40C66FF867C}">
                  <a14:compatExt spid="_x0000_s13364"/>
                </a:ext>
              </a:extLst>
            </xdr:cNvPr>
            <xdr:cNvSpPr/>
          </xdr:nvSpPr>
          <xdr:spPr>
            <a:xfrm>
              <a:off x="8051800" y="128016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63</xdr:row>
          <xdr:rowOff>0</xdr:rowOff>
        </xdr:from>
        <xdr:to>
          <xdr:col>9</xdr:col>
          <xdr:colOff>927100</xdr:colOff>
          <xdr:row>63</xdr:row>
          <xdr:rowOff>190500</xdr:rowOff>
        </xdr:to>
        <xdr:sp>
          <xdr:nvSpPr>
            <xdr:cNvPr id="13365" name="Spinner 53" hidden="1">
              <a:extLst>
                <a:ext uri="{63B3BB69-23CF-44E3-9099-C40C66FF867C}">
                  <a14:compatExt spid="_x0000_s13365"/>
                </a:ext>
              </a:extLst>
            </xdr:cNvPr>
            <xdr:cNvSpPr/>
          </xdr:nvSpPr>
          <xdr:spPr>
            <a:xfrm>
              <a:off x="9017635" y="128016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812800</xdr:colOff>
          <xdr:row>63</xdr:row>
          <xdr:rowOff>0</xdr:rowOff>
        </xdr:from>
        <xdr:to>
          <xdr:col>10</xdr:col>
          <xdr:colOff>946150</xdr:colOff>
          <xdr:row>63</xdr:row>
          <xdr:rowOff>190500</xdr:rowOff>
        </xdr:to>
        <xdr:sp>
          <xdr:nvSpPr>
            <xdr:cNvPr id="13366" name="Spinner 54" hidden="1">
              <a:extLst>
                <a:ext uri="{63B3BB69-23CF-44E3-9099-C40C66FF867C}">
                  <a14:compatExt spid="_x0000_s13366"/>
                </a:ext>
              </a:extLst>
            </xdr:cNvPr>
            <xdr:cNvSpPr/>
          </xdr:nvSpPr>
          <xdr:spPr>
            <a:xfrm>
              <a:off x="9982835" y="128016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965200</xdr:colOff>
          <xdr:row>62</xdr:row>
          <xdr:rowOff>190500</xdr:rowOff>
        </xdr:from>
        <xdr:to>
          <xdr:col>11</xdr:col>
          <xdr:colOff>1092200</xdr:colOff>
          <xdr:row>63</xdr:row>
          <xdr:rowOff>184150</xdr:rowOff>
        </xdr:to>
        <xdr:sp>
          <xdr:nvSpPr>
            <xdr:cNvPr id="13367" name="Spinner 55" hidden="1">
              <a:extLst>
                <a:ext uri="{63B3BB69-23CF-44E3-9099-C40C66FF867C}">
                  <a14:compatExt spid="_x0000_s13367"/>
                </a:ext>
              </a:extLst>
            </xdr:cNvPr>
            <xdr:cNvSpPr/>
          </xdr:nvSpPr>
          <xdr:spPr>
            <a:xfrm>
              <a:off x="11126470" y="1278890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825500</xdr:colOff>
          <xdr:row>64</xdr:row>
          <xdr:rowOff>0</xdr:rowOff>
        </xdr:from>
        <xdr:to>
          <xdr:col>8</xdr:col>
          <xdr:colOff>946150</xdr:colOff>
          <xdr:row>64</xdr:row>
          <xdr:rowOff>190500</xdr:rowOff>
        </xdr:to>
        <xdr:sp>
          <xdr:nvSpPr>
            <xdr:cNvPr id="13368" name="Spinner 56" hidden="1">
              <a:extLst>
                <a:ext uri="{63B3BB69-23CF-44E3-9099-C40C66FF867C}">
                  <a14:compatExt spid="_x0000_s13368"/>
                </a:ext>
              </a:extLst>
            </xdr:cNvPr>
            <xdr:cNvSpPr/>
          </xdr:nvSpPr>
          <xdr:spPr>
            <a:xfrm>
              <a:off x="8051800" y="130048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64</xdr:row>
          <xdr:rowOff>0</xdr:rowOff>
        </xdr:from>
        <xdr:to>
          <xdr:col>9</xdr:col>
          <xdr:colOff>927100</xdr:colOff>
          <xdr:row>64</xdr:row>
          <xdr:rowOff>190500</xdr:rowOff>
        </xdr:to>
        <xdr:sp>
          <xdr:nvSpPr>
            <xdr:cNvPr id="13369" name="Spinner 57" hidden="1">
              <a:extLst>
                <a:ext uri="{63B3BB69-23CF-44E3-9099-C40C66FF867C}">
                  <a14:compatExt spid="_x0000_s13369"/>
                </a:ext>
              </a:extLst>
            </xdr:cNvPr>
            <xdr:cNvSpPr/>
          </xdr:nvSpPr>
          <xdr:spPr>
            <a:xfrm>
              <a:off x="9017635" y="130048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812800</xdr:colOff>
          <xdr:row>64</xdr:row>
          <xdr:rowOff>0</xdr:rowOff>
        </xdr:from>
        <xdr:to>
          <xdr:col>10</xdr:col>
          <xdr:colOff>946150</xdr:colOff>
          <xdr:row>64</xdr:row>
          <xdr:rowOff>190500</xdr:rowOff>
        </xdr:to>
        <xdr:sp>
          <xdr:nvSpPr>
            <xdr:cNvPr id="13370" name="Spinner 58" hidden="1">
              <a:extLst>
                <a:ext uri="{63B3BB69-23CF-44E3-9099-C40C66FF867C}">
                  <a14:compatExt spid="_x0000_s13370"/>
                </a:ext>
              </a:extLst>
            </xdr:cNvPr>
            <xdr:cNvSpPr/>
          </xdr:nvSpPr>
          <xdr:spPr>
            <a:xfrm>
              <a:off x="9982835" y="130048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965200</xdr:colOff>
          <xdr:row>63</xdr:row>
          <xdr:rowOff>190500</xdr:rowOff>
        </xdr:from>
        <xdr:to>
          <xdr:col>11</xdr:col>
          <xdr:colOff>1092200</xdr:colOff>
          <xdr:row>64</xdr:row>
          <xdr:rowOff>184150</xdr:rowOff>
        </xdr:to>
        <xdr:sp>
          <xdr:nvSpPr>
            <xdr:cNvPr id="13371" name="Spinner 59" hidden="1">
              <a:extLst>
                <a:ext uri="{63B3BB69-23CF-44E3-9099-C40C66FF867C}">
                  <a14:compatExt spid="_x0000_s13371"/>
                </a:ext>
              </a:extLst>
            </xdr:cNvPr>
            <xdr:cNvSpPr/>
          </xdr:nvSpPr>
          <xdr:spPr>
            <a:xfrm>
              <a:off x="11126470" y="12992100"/>
              <a:ext cx="12700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825500</xdr:colOff>
          <xdr:row>65</xdr:row>
          <xdr:rowOff>0</xdr:rowOff>
        </xdr:from>
        <xdr:to>
          <xdr:col>8</xdr:col>
          <xdr:colOff>946150</xdr:colOff>
          <xdr:row>65</xdr:row>
          <xdr:rowOff>190500</xdr:rowOff>
        </xdr:to>
        <xdr:sp>
          <xdr:nvSpPr>
            <xdr:cNvPr id="13372" name="Spinner 60" hidden="1">
              <a:extLst>
                <a:ext uri="{63B3BB69-23CF-44E3-9099-C40C66FF867C}">
                  <a14:compatExt spid="_x0000_s13372"/>
                </a:ext>
              </a:extLst>
            </xdr:cNvPr>
            <xdr:cNvSpPr/>
          </xdr:nvSpPr>
          <xdr:spPr>
            <a:xfrm>
              <a:off x="8051800" y="132080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812800</xdr:colOff>
          <xdr:row>65</xdr:row>
          <xdr:rowOff>0</xdr:rowOff>
        </xdr:from>
        <xdr:to>
          <xdr:col>9</xdr:col>
          <xdr:colOff>927100</xdr:colOff>
          <xdr:row>65</xdr:row>
          <xdr:rowOff>190500</xdr:rowOff>
        </xdr:to>
        <xdr:sp>
          <xdr:nvSpPr>
            <xdr:cNvPr id="13373" name="Spinner 61" hidden="1">
              <a:extLst>
                <a:ext uri="{63B3BB69-23CF-44E3-9099-C40C66FF867C}">
                  <a14:compatExt spid="_x0000_s13373"/>
                </a:ext>
              </a:extLst>
            </xdr:cNvPr>
            <xdr:cNvSpPr/>
          </xdr:nvSpPr>
          <xdr:spPr>
            <a:xfrm>
              <a:off x="9017635" y="132080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812800</xdr:colOff>
          <xdr:row>65</xdr:row>
          <xdr:rowOff>0</xdr:rowOff>
        </xdr:from>
        <xdr:to>
          <xdr:col>10</xdr:col>
          <xdr:colOff>946150</xdr:colOff>
          <xdr:row>65</xdr:row>
          <xdr:rowOff>190500</xdr:rowOff>
        </xdr:to>
        <xdr:sp>
          <xdr:nvSpPr>
            <xdr:cNvPr id="13374" name="Spinner 62" hidden="1">
              <a:extLst>
                <a:ext uri="{63B3BB69-23CF-44E3-9099-C40C66FF867C}">
                  <a14:compatExt spid="_x0000_s13374"/>
                </a:ext>
              </a:extLst>
            </xdr:cNvPr>
            <xdr:cNvSpPr/>
          </xdr:nvSpPr>
          <xdr:spPr>
            <a:xfrm>
              <a:off x="9982835" y="132080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965200</xdr:colOff>
          <xdr:row>64</xdr:row>
          <xdr:rowOff>190500</xdr:rowOff>
        </xdr:from>
        <xdr:to>
          <xdr:col>11</xdr:col>
          <xdr:colOff>1092200</xdr:colOff>
          <xdr:row>65</xdr:row>
          <xdr:rowOff>184150</xdr:rowOff>
        </xdr:to>
        <xdr:sp>
          <xdr:nvSpPr>
            <xdr:cNvPr id="13375" name="Spinner 63" hidden="1">
              <a:extLst>
                <a:ext uri="{63B3BB69-23CF-44E3-9099-C40C66FF867C}">
                  <a14:compatExt spid="_x0000_s13375"/>
                </a:ext>
              </a:extLst>
            </xdr:cNvPr>
            <xdr:cNvSpPr/>
          </xdr:nvSpPr>
          <xdr:spPr>
            <a:xfrm>
              <a:off x="11126470" y="13195300"/>
              <a:ext cx="127000" cy="19685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11</xdr:col>
      <xdr:colOff>60063</xdr:colOff>
      <xdr:row>17</xdr:row>
      <xdr:rowOff>4333</xdr:rowOff>
    </xdr:from>
    <xdr:to>
      <xdr:col>12</xdr:col>
      <xdr:colOff>58215</xdr:colOff>
      <xdr:row>18</xdr:row>
      <xdr:rowOff>23383</xdr:rowOff>
    </xdr:to>
    <xdr:sp macro="[0]!必要辞退">
      <xdr:nvSpPr>
        <xdr:cNvPr id="2" name="AutoShape 1035"/>
        <xdr:cNvSpPr>
          <a:spLocks noChangeArrowheads="1"/>
        </xdr:cNvSpPr>
      </xdr:nvSpPr>
      <xdr:spPr>
        <a:xfrm>
          <a:off x="10285095" y="3458210"/>
          <a:ext cx="715645" cy="22225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必要辞退</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12</xdr:col>
      <xdr:colOff>96520</xdr:colOff>
      <xdr:row>63</xdr:row>
      <xdr:rowOff>80645</xdr:rowOff>
    </xdr:from>
    <xdr:to>
      <xdr:col>12</xdr:col>
      <xdr:colOff>648384</xdr:colOff>
      <xdr:row>65</xdr:row>
      <xdr:rowOff>189231</xdr:rowOff>
    </xdr:to>
    <xdr:sp macro="[0]!按配货比例自动运输">
      <xdr:nvSpPr>
        <xdr:cNvPr id="3" name="AutoShape 1071"/>
        <xdr:cNvSpPr>
          <a:spLocks noChangeArrowheads="1"/>
        </xdr:cNvSpPr>
      </xdr:nvSpPr>
      <xdr:spPr>
        <a:xfrm>
          <a:off x="11039475" y="12882245"/>
          <a:ext cx="551815" cy="514985"/>
        </a:xfrm>
        <a:prstGeom prst="roundRect">
          <a:avLst>
            <a:gd name="adj" fmla="val 0"/>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3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按配货比例自动运输</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158750</xdr:colOff>
      <xdr:row>27</xdr:row>
      <xdr:rowOff>19685</xdr:rowOff>
    </xdr:from>
    <xdr:to>
      <xdr:col>18</xdr:col>
      <xdr:colOff>880004</xdr:colOff>
      <xdr:row>29</xdr:row>
      <xdr:rowOff>19685</xdr:rowOff>
    </xdr:to>
    <xdr:sp macro="[0]!粘贴广促费用">
      <xdr:nvSpPr>
        <xdr:cNvPr id="4" name="AutoShape 1073"/>
        <xdr:cNvSpPr>
          <a:spLocks noChangeArrowheads="1"/>
        </xdr:cNvSpPr>
      </xdr:nvSpPr>
      <xdr:spPr>
        <a:xfrm>
          <a:off x="16878935" y="5506085"/>
          <a:ext cx="720725" cy="4064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lnSpc>
              <a:spcPts val="1200"/>
            </a:lnSpc>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粘贴广促费用</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6</xdr:col>
      <xdr:colOff>0</xdr:colOff>
      <xdr:row>9</xdr:row>
      <xdr:rowOff>1</xdr:rowOff>
    </xdr:from>
    <xdr:to>
      <xdr:col>7</xdr:col>
      <xdr:colOff>0</xdr:colOff>
      <xdr:row>10</xdr:row>
      <xdr:rowOff>19051</xdr:rowOff>
    </xdr:to>
    <xdr:sp macro="[0]!自动提交决策">
      <xdr:nvSpPr>
        <xdr:cNvPr id="5" name="AutoShape 1049"/>
        <xdr:cNvSpPr>
          <a:spLocks noChangeArrowheads="1"/>
        </xdr:cNvSpPr>
      </xdr:nvSpPr>
      <xdr:spPr>
        <a:xfrm>
          <a:off x="5765165" y="1828800"/>
          <a:ext cx="782320" cy="22225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提交决策</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8</xdr:col>
      <xdr:colOff>789216</xdr:colOff>
      <xdr:row>43</xdr:row>
      <xdr:rowOff>0</xdr:rowOff>
    </xdr:from>
    <xdr:to>
      <xdr:col>9</xdr:col>
      <xdr:colOff>641985</xdr:colOff>
      <xdr:row>43</xdr:row>
      <xdr:rowOff>190500</xdr:rowOff>
    </xdr:to>
    <xdr:sp macro="[0]!推荐购入">
      <xdr:nvSpPr>
        <xdr:cNvPr id="6" name="AutoShape 1036"/>
        <xdr:cNvSpPr>
          <a:spLocks noChangeArrowheads="1"/>
        </xdr:cNvSpPr>
      </xdr:nvSpPr>
      <xdr:spPr>
        <a:xfrm>
          <a:off x="8190230" y="8737600"/>
          <a:ext cx="818515" cy="1905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推荐购入</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7</xdr:col>
      <xdr:colOff>775607</xdr:colOff>
      <xdr:row>43</xdr:row>
      <xdr:rowOff>0</xdr:rowOff>
    </xdr:from>
    <xdr:to>
      <xdr:col>8</xdr:col>
      <xdr:colOff>789215</xdr:colOff>
      <xdr:row>44</xdr:row>
      <xdr:rowOff>0</xdr:rowOff>
    </xdr:to>
    <xdr:sp macro="[0]!必要购入">
      <xdr:nvSpPr>
        <xdr:cNvPr id="7" name="AutoShape 1036"/>
        <xdr:cNvSpPr>
          <a:spLocks noChangeArrowheads="1"/>
        </xdr:cNvSpPr>
      </xdr:nvSpPr>
      <xdr:spPr>
        <a:xfrm>
          <a:off x="7322820" y="8737600"/>
          <a:ext cx="867410" cy="2032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必要购入</a:t>
          </a:r>
          <a:endParaRPr lang="zh-CN" altLang="en-US"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32</xdr:col>
      <xdr:colOff>19685</xdr:colOff>
      <xdr:row>13</xdr:row>
      <xdr:rowOff>73660</xdr:rowOff>
    </xdr:from>
    <xdr:to>
      <xdr:col>34</xdr:col>
      <xdr:colOff>89</xdr:colOff>
      <xdr:row>14</xdr:row>
      <xdr:rowOff>73660</xdr:rowOff>
    </xdr:to>
    <xdr:sp macro="[0]!粘贴报表">
      <xdr:nvSpPr>
        <xdr:cNvPr id="8" name="AutoShape 1037"/>
        <xdr:cNvSpPr>
          <a:spLocks noChangeArrowheads="1"/>
        </xdr:cNvSpPr>
      </xdr:nvSpPr>
      <xdr:spPr>
        <a:xfrm>
          <a:off x="28388945" y="2715260"/>
          <a:ext cx="1317625" cy="20320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36576" tIns="18288" rIns="36576" bIns="0" anchor="t" upright="1"/>
        <a:lstStyle/>
        <a:p>
          <a:pPr algn="ctr" rtl="0">
            <a:defRPr sz="1000"/>
          </a:pPr>
          <a:r>
            <a:rPr lang="zh-CN" altLang="en-US" sz="1100" b="1" i="0" u="none" strike="noStrike" baseline="0">
              <a:solidFill>
                <a:schemeClr val="bg1"/>
              </a:solidFill>
              <a:latin typeface="宋体" panose="02010600030101010101" pitchFamily="7" charset="-122"/>
              <a:ea typeface="宋体" panose="02010600030101010101" pitchFamily="7" charset="-122"/>
            </a:rPr>
            <a:t>粘贴报表</a:t>
          </a:r>
          <a:endParaRPr lang="en-US" altLang="zh-CN" sz="11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xdr:twoCellAnchor editAs="absolute">
    <xdr:from>
      <xdr:col>18</xdr:col>
      <xdr:colOff>60960</xdr:colOff>
      <xdr:row>42</xdr:row>
      <xdr:rowOff>114935</xdr:rowOff>
    </xdr:from>
    <xdr:to>
      <xdr:col>19</xdr:col>
      <xdr:colOff>88175</xdr:colOff>
      <xdr:row>43</xdr:row>
      <xdr:rowOff>182699</xdr:rowOff>
    </xdr:to>
    <xdr:sp macro="[0]!记录工资系数">
      <xdr:nvSpPr>
        <xdr:cNvPr id="9" name="AutoShape 1068"/>
        <xdr:cNvSpPr>
          <a:spLocks noChangeArrowheads="1"/>
        </xdr:cNvSpPr>
      </xdr:nvSpPr>
      <xdr:spPr>
        <a:xfrm>
          <a:off x="16781145" y="8649335"/>
          <a:ext cx="1024255" cy="270510"/>
        </a:xfrm>
        <a:prstGeom prst="roundRect">
          <a:avLst>
            <a:gd name="adj" fmla="val 16667"/>
          </a:avLst>
        </a:prstGeom>
        <a:solidFill>
          <a:srgbClr val="31869B">
            <a:alpha val="67000"/>
          </a:srgbClr>
        </a:solidFill>
        <a:ln w="9525">
          <a:solidFill>
            <a:srgbClr val="0000FF"/>
          </a:solidFill>
          <a:round/>
        </a:ln>
        <a:scene3d>
          <a:camera prst="orthographicFront"/>
          <a:lightRig rig="threePt" dir="t"/>
        </a:scene3d>
        <a:sp3d>
          <a:bevelT/>
        </a:sp3d>
      </xdr:spPr>
      <xdr:txBody>
        <a:bodyPr vertOverflow="clip" wrap="square" lIns="27432" tIns="18288" rIns="27432" bIns="0" anchor="ctr" upright="1"/>
        <a:lstStyle/>
        <a:p>
          <a:pPr algn="ctr" rtl="0">
            <a:lnSpc>
              <a:spcPts val="1200"/>
            </a:lnSpc>
            <a:defRPr sz="1000"/>
          </a:pPr>
          <a:r>
            <a:rPr lang="zh-CN" altLang="en-US" sz="1200" b="1" i="0" u="none" strike="noStrike" baseline="0">
              <a:solidFill>
                <a:schemeClr val="bg1"/>
              </a:solidFill>
              <a:latin typeface="宋体" panose="02010600030101010101" pitchFamily="7" charset="-122"/>
              <a:ea typeface="宋体" panose="02010600030101010101" pitchFamily="7" charset="-122"/>
            </a:rPr>
            <a:t>记录工资系数</a:t>
          </a:r>
          <a:endParaRPr lang="zh-CN" altLang="en-US" sz="1200" b="1" i="0" u="none" strike="noStrike" baseline="0">
            <a:solidFill>
              <a:schemeClr val="bg1"/>
            </a:solidFill>
            <a:latin typeface="宋体" panose="02010600030101010101" pitchFamily="7" charset="-122"/>
            <a:ea typeface="宋体" panose="02010600030101010101" pitchFamily="7" charset="-122"/>
          </a:endParaRPr>
        </a:p>
      </xdr:txBody>
    </xdr:sp>
    <xdr:clientData/>
  </xdr:twoCellAnchor>
  <mc:AlternateContent xmlns:mc="http://schemas.openxmlformats.org/markup-compatibility/2006">
    <mc:Choice xmlns:a14="http://schemas.microsoft.com/office/drawing/2010/main" Requires="a14">
      <xdr:twoCellAnchor>
        <xdr:from>
          <xdr:col>8</xdr:col>
          <xdr:colOff>825500</xdr:colOff>
          <xdr:row>24</xdr:row>
          <xdr:rowOff>12700</xdr:rowOff>
        </xdr:from>
        <xdr:to>
          <xdr:col>9</xdr:col>
          <xdr:colOff>0</xdr:colOff>
          <xdr:row>25</xdr:row>
          <xdr:rowOff>0</xdr:rowOff>
        </xdr:to>
        <xdr:sp>
          <xdr:nvSpPr>
            <xdr:cNvPr id="14342" name="Spinner 6" hidden="1">
              <a:extLst>
                <a:ext uri="{63B3BB69-23CF-44E3-9099-C40C66FF867C}">
                  <a14:compatExt spid="_x0000_s14342"/>
                </a:ext>
              </a:extLst>
            </xdr:cNvPr>
            <xdr:cNvSpPr/>
          </xdr:nvSpPr>
          <xdr:spPr>
            <a:xfrm>
              <a:off x="8227060" y="48895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24</xdr:row>
          <xdr:rowOff>0</xdr:rowOff>
        </xdr:from>
        <xdr:to>
          <xdr:col>10</xdr:col>
          <xdr:colOff>12700</xdr:colOff>
          <xdr:row>24</xdr:row>
          <xdr:rowOff>190500</xdr:rowOff>
        </xdr:to>
        <xdr:sp>
          <xdr:nvSpPr>
            <xdr:cNvPr id="14343" name="Spinner 7" hidden="1">
              <a:extLst>
                <a:ext uri="{63B3BB69-23CF-44E3-9099-C40C66FF867C}">
                  <a14:compatExt spid="_x0000_s14343"/>
                </a:ext>
              </a:extLst>
            </xdr:cNvPr>
            <xdr:cNvSpPr/>
          </xdr:nvSpPr>
          <xdr:spPr>
            <a:xfrm>
              <a:off x="9160510" y="4876800"/>
              <a:ext cx="151765"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825500</xdr:colOff>
          <xdr:row>25</xdr:row>
          <xdr:rowOff>12700</xdr:rowOff>
        </xdr:from>
        <xdr:to>
          <xdr:col>9</xdr:col>
          <xdr:colOff>0</xdr:colOff>
          <xdr:row>26</xdr:row>
          <xdr:rowOff>0</xdr:rowOff>
        </xdr:to>
        <xdr:sp>
          <xdr:nvSpPr>
            <xdr:cNvPr id="14344" name="Spinner 8" hidden="1">
              <a:extLst>
                <a:ext uri="{63B3BB69-23CF-44E3-9099-C40C66FF867C}">
                  <a14:compatExt spid="_x0000_s14344"/>
                </a:ext>
              </a:extLst>
            </xdr:cNvPr>
            <xdr:cNvSpPr/>
          </xdr:nvSpPr>
          <xdr:spPr>
            <a:xfrm>
              <a:off x="8227060" y="50927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25</xdr:row>
          <xdr:rowOff>0</xdr:rowOff>
        </xdr:from>
        <xdr:to>
          <xdr:col>10</xdr:col>
          <xdr:colOff>12700</xdr:colOff>
          <xdr:row>25</xdr:row>
          <xdr:rowOff>190500</xdr:rowOff>
        </xdr:to>
        <xdr:sp>
          <xdr:nvSpPr>
            <xdr:cNvPr id="14345" name="Spinner 9" hidden="1">
              <a:extLst>
                <a:ext uri="{63B3BB69-23CF-44E3-9099-C40C66FF867C}">
                  <a14:compatExt spid="_x0000_s14345"/>
                </a:ext>
              </a:extLst>
            </xdr:cNvPr>
            <xdr:cNvSpPr/>
          </xdr:nvSpPr>
          <xdr:spPr>
            <a:xfrm>
              <a:off x="9160510" y="5080000"/>
              <a:ext cx="151765"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825500</xdr:colOff>
          <xdr:row>26</xdr:row>
          <xdr:rowOff>12700</xdr:rowOff>
        </xdr:from>
        <xdr:to>
          <xdr:col>9</xdr:col>
          <xdr:colOff>0</xdr:colOff>
          <xdr:row>27</xdr:row>
          <xdr:rowOff>0</xdr:rowOff>
        </xdr:to>
        <xdr:sp>
          <xdr:nvSpPr>
            <xdr:cNvPr id="14346" name="Spinner 10" hidden="1">
              <a:extLst>
                <a:ext uri="{63B3BB69-23CF-44E3-9099-C40C66FF867C}">
                  <a14:compatExt spid="_x0000_s14346"/>
                </a:ext>
              </a:extLst>
            </xdr:cNvPr>
            <xdr:cNvSpPr/>
          </xdr:nvSpPr>
          <xdr:spPr>
            <a:xfrm>
              <a:off x="8227060" y="52959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26</xdr:row>
          <xdr:rowOff>0</xdr:rowOff>
        </xdr:from>
        <xdr:to>
          <xdr:col>10</xdr:col>
          <xdr:colOff>12700</xdr:colOff>
          <xdr:row>26</xdr:row>
          <xdr:rowOff>190500</xdr:rowOff>
        </xdr:to>
        <xdr:sp>
          <xdr:nvSpPr>
            <xdr:cNvPr id="14347" name="Spinner 11" hidden="1">
              <a:extLst>
                <a:ext uri="{63B3BB69-23CF-44E3-9099-C40C66FF867C}">
                  <a14:compatExt spid="_x0000_s14347"/>
                </a:ext>
              </a:extLst>
            </xdr:cNvPr>
            <xdr:cNvSpPr/>
          </xdr:nvSpPr>
          <xdr:spPr>
            <a:xfrm>
              <a:off x="9160510" y="5283200"/>
              <a:ext cx="151765"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825500</xdr:colOff>
          <xdr:row>27</xdr:row>
          <xdr:rowOff>12700</xdr:rowOff>
        </xdr:from>
        <xdr:to>
          <xdr:col>9</xdr:col>
          <xdr:colOff>0</xdr:colOff>
          <xdr:row>28</xdr:row>
          <xdr:rowOff>0</xdr:rowOff>
        </xdr:to>
        <xdr:sp>
          <xdr:nvSpPr>
            <xdr:cNvPr id="14348" name="Spinner 12" hidden="1">
              <a:extLst>
                <a:ext uri="{63B3BB69-23CF-44E3-9099-C40C66FF867C}">
                  <a14:compatExt spid="_x0000_s14348"/>
                </a:ext>
              </a:extLst>
            </xdr:cNvPr>
            <xdr:cNvSpPr/>
          </xdr:nvSpPr>
          <xdr:spPr>
            <a:xfrm>
              <a:off x="8227060" y="5499100"/>
              <a:ext cx="1397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793750</xdr:colOff>
          <xdr:row>27</xdr:row>
          <xdr:rowOff>0</xdr:rowOff>
        </xdr:from>
        <xdr:to>
          <xdr:col>10</xdr:col>
          <xdr:colOff>12700</xdr:colOff>
          <xdr:row>27</xdr:row>
          <xdr:rowOff>190500</xdr:rowOff>
        </xdr:to>
        <xdr:sp>
          <xdr:nvSpPr>
            <xdr:cNvPr id="14349" name="Spinner 13" hidden="1">
              <a:extLst>
                <a:ext uri="{63B3BB69-23CF-44E3-9099-C40C66FF867C}">
                  <a14:compatExt spid="_x0000_s14349"/>
                </a:ext>
              </a:extLst>
            </xdr:cNvPr>
            <xdr:cNvSpPr/>
          </xdr:nvSpPr>
          <xdr:spPr>
            <a:xfrm>
              <a:off x="9160510" y="5486400"/>
              <a:ext cx="151765"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774700</xdr:colOff>
          <xdr:row>24</xdr:row>
          <xdr:rowOff>12700</xdr:rowOff>
        </xdr:from>
        <xdr:to>
          <xdr:col>11</xdr:col>
          <xdr:colOff>0</xdr:colOff>
          <xdr:row>24</xdr:row>
          <xdr:rowOff>203200</xdr:rowOff>
        </xdr:to>
        <xdr:sp>
          <xdr:nvSpPr>
            <xdr:cNvPr id="14350" name="Spinner 14" hidden="1">
              <a:extLst>
                <a:ext uri="{63B3BB69-23CF-44E3-9099-C40C66FF867C}">
                  <a14:compatExt spid="_x0000_s14350"/>
                </a:ext>
              </a:extLst>
            </xdr:cNvPr>
            <xdr:cNvSpPr/>
          </xdr:nvSpPr>
          <xdr:spPr>
            <a:xfrm>
              <a:off x="10074275" y="4889500"/>
              <a:ext cx="15113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571500</xdr:colOff>
          <xdr:row>24</xdr:row>
          <xdr:rowOff>0</xdr:rowOff>
        </xdr:from>
        <xdr:to>
          <xdr:col>11</xdr:col>
          <xdr:colOff>698500</xdr:colOff>
          <xdr:row>24</xdr:row>
          <xdr:rowOff>190500</xdr:rowOff>
        </xdr:to>
        <xdr:sp>
          <xdr:nvSpPr>
            <xdr:cNvPr id="14351" name="Spinner 15" hidden="1">
              <a:extLst>
                <a:ext uri="{63B3BB69-23CF-44E3-9099-C40C66FF867C}">
                  <a14:compatExt spid="_x0000_s14351"/>
                </a:ext>
              </a:extLst>
            </xdr:cNvPr>
            <xdr:cNvSpPr/>
          </xdr:nvSpPr>
          <xdr:spPr>
            <a:xfrm>
              <a:off x="10796905" y="4876800"/>
              <a:ext cx="1270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787400</xdr:colOff>
          <xdr:row>25</xdr:row>
          <xdr:rowOff>12700</xdr:rowOff>
        </xdr:from>
        <xdr:to>
          <xdr:col>11</xdr:col>
          <xdr:colOff>12700</xdr:colOff>
          <xdr:row>25</xdr:row>
          <xdr:rowOff>203200</xdr:rowOff>
        </xdr:to>
        <xdr:sp>
          <xdr:nvSpPr>
            <xdr:cNvPr id="14352" name="Spinner 16" hidden="1">
              <a:extLst>
                <a:ext uri="{63B3BB69-23CF-44E3-9099-C40C66FF867C}">
                  <a14:compatExt spid="_x0000_s14352"/>
                </a:ext>
              </a:extLst>
            </xdr:cNvPr>
            <xdr:cNvSpPr/>
          </xdr:nvSpPr>
          <xdr:spPr>
            <a:xfrm>
              <a:off x="10086975" y="5092700"/>
              <a:ext cx="15113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584200</xdr:colOff>
          <xdr:row>25</xdr:row>
          <xdr:rowOff>0</xdr:rowOff>
        </xdr:from>
        <xdr:to>
          <xdr:col>12</xdr:col>
          <xdr:colOff>12700</xdr:colOff>
          <xdr:row>25</xdr:row>
          <xdr:rowOff>190500</xdr:rowOff>
        </xdr:to>
        <xdr:sp>
          <xdr:nvSpPr>
            <xdr:cNvPr id="14353" name="Spinner 17" hidden="1">
              <a:extLst>
                <a:ext uri="{63B3BB69-23CF-44E3-9099-C40C66FF867C}">
                  <a14:compatExt spid="_x0000_s14353"/>
                </a:ext>
              </a:extLst>
            </xdr:cNvPr>
            <xdr:cNvSpPr/>
          </xdr:nvSpPr>
          <xdr:spPr>
            <a:xfrm>
              <a:off x="10809605" y="5080000"/>
              <a:ext cx="1460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787400</xdr:colOff>
          <xdr:row>26</xdr:row>
          <xdr:rowOff>0</xdr:rowOff>
        </xdr:from>
        <xdr:to>
          <xdr:col>11</xdr:col>
          <xdr:colOff>12700</xdr:colOff>
          <xdr:row>26</xdr:row>
          <xdr:rowOff>190500</xdr:rowOff>
        </xdr:to>
        <xdr:sp>
          <xdr:nvSpPr>
            <xdr:cNvPr id="14354" name="Spinner 18" hidden="1">
              <a:extLst>
                <a:ext uri="{63B3BB69-23CF-44E3-9099-C40C66FF867C}">
                  <a14:compatExt spid="_x0000_s14354"/>
                </a:ext>
              </a:extLst>
            </xdr:cNvPr>
            <xdr:cNvSpPr/>
          </xdr:nvSpPr>
          <xdr:spPr>
            <a:xfrm>
              <a:off x="10086975" y="5283200"/>
              <a:ext cx="15113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584200</xdr:colOff>
          <xdr:row>25</xdr:row>
          <xdr:rowOff>203200</xdr:rowOff>
        </xdr:from>
        <xdr:to>
          <xdr:col>12</xdr:col>
          <xdr:colOff>12700</xdr:colOff>
          <xdr:row>26</xdr:row>
          <xdr:rowOff>184150</xdr:rowOff>
        </xdr:to>
        <xdr:sp>
          <xdr:nvSpPr>
            <xdr:cNvPr id="14355" name="Spinner 19" hidden="1">
              <a:extLst>
                <a:ext uri="{63B3BB69-23CF-44E3-9099-C40C66FF867C}">
                  <a14:compatExt spid="_x0000_s14355"/>
                </a:ext>
              </a:extLst>
            </xdr:cNvPr>
            <xdr:cNvSpPr/>
          </xdr:nvSpPr>
          <xdr:spPr>
            <a:xfrm>
              <a:off x="10809605" y="5283200"/>
              <a:ext cx="146050" cy="1841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787400</xdr:colOff>
          <xdr:row>27</xdr:row>
          <xdr:rowOff>12700</xdr:rowOff>
        </xdr:from>
        <xdr:to>
          <xdr:col>11</xdr:col>
          <xdr:colOff>12700</xdr:colOff>
          <xdr:row>27</xdr:row>
          <xdr:rowOff>203200</xdr:rowOff>
        </xdr:to>
        <xdr:sp>
          <xdr:nvSpPr>
            <xdr:cNvPr id="14356" name="Spinner 20" hidden="1">
              <a:extLst>
                <a:ext uri="{63B3BB69-23CF-44E3-9099-C40C66FF867C}">
                  <a14:compatExt spid="_x0000_s14356"/>
                </a:ext>
              </a:extLst>
            </xdr:cNvPr>
            <xdr:cNvSpPr/>
          </xdr:nvSpPr>
          <xdr:spPr>
            <a:xfrm>
              <a:off x="10086975" y="5499100"/>
              <a:ext cx="15113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584200</xdr:colOff>
          <xdr:row>27</xdr:row>
          <xdr:rowOff>0</xdr:rowOff>
        </xdr:from>
        <xdr:to>
          <xdr:col>12</xdr:col>
          <xdr:colOff>12700</xdr:colOff>
          <xdr:row>27</xdr:row>
          <xdr:rowOff>190500</xdr:rowOff>
        </xdr:to>
        <xdr:sp>
          <xdr:nvSpPr>
            <xdr:cNvPr id="14357" name="Spinner 21" hidden="1">
              <a:extLst>
                <a:ext uri="{63B3BB69-23CF-44E3-9099-C40C66FF867C}">
                  <a14:compatExt spid="_x0000_s14357"/>
                </a:ext>
              </a:extLst>
            </xdr:cNvPr>
            <xdr:cNvSpPr/>
          </xdr:nvSpPr>
          <xdr:spPr>
            <a:xfrm>
              <a:off x="10809605" y="5486400"/>
              <a:ext cx="1460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793750</xdr:colOff>
          <xdr:row>62</xdr:row>
          <xdr:rowOff>0</xdr:rowOff>
        </xdr:from>
        <xdr:to>
          <xdr:col>8</xdr:col>
          <xdr:colOff>914400</xdr:colOff>
          <xdr:row>62</xdr:row>
          <xdr:rowOff>190500</xdr:rowOff>
        </xdr:to>
        <xdr:sp>
          <xdr:nvSpPr>
            <xdr:cNvPr id="14358" name="Spinner 22" hidden="1">
              <a:extLst>
                <a:ext uri="{63B3BB69-23CF-44E3-9099-C40C66FF867C}">
                  <a14:compatExt spid="_x0000_s14358"/>
                </a:ext>
              </a:extLst>
            </xdr:cNvPr>
            <xdr:cNvSpPr/>
          </xdr:nvSpPr>
          <xdr:spPr>
            <a:xfrm>
              <a:off x="8195310" y="125984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62</xdr:row>
          <xdr:rowOff>0</xdr:rowOff>
        </xdr:from>
        <xdr:to>
          <xdr:col>9</xdr:col>
          <xdr:colOff>889000</xdr:colOff>
          <xdr:row>62</xdr:row>
          <xdr:rowOff>190500</xdr:rowOff>
        </xdr:to>
        <xdr:sp>
          <xdr:nvSpPr>
            <xdr:cNvPr id="14359" name="Spinner 23" hidden="1">
              <a:extLst>
                <a:ext uri="{63B3BB69-23CF-44E3-9099-C40C66FF867C}">
                  <a14:compatExt spid="_x0000_s14359"/>
                </a:ext>
              </a:extLst>
            </xdr:cNvPr>
            <xdr:cNvSpPr/>
          </xdr:nvSpPr>
          <xdr:spPr>
            <a:xfrm>
              <a:off x="9141460" y="125984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755650</xdr:colOff>
          <xdr:row>62</xdr:row>
          <xdr:rowOff>0</xdr:rowOff>
        </xdr:from>
        <xdr:to>
          <xdr:col>10</xdr:col>
          <xdr:colOff>889000</xdr:colOff>
          <xdr:row>62</xdr:row>
          <xdr:rowOff>190500</xdr:rowOff>
        </xdr:to>
        <xdr:sp>
          <xdr:nvSpPr>
            <xdr:cNvPr id="14360" name="Spinner 24" hidden="1">
              <a:extLst>
                <a:ext uri="{63B3BB69-23CF-44E3-9099-C40C66FF867C}">
                  <a14:compatExt spid="_x0000_s14360"/>
                </a:ext>
              </a:extLst>
            </xdr:cNvPr>
            <xdr:cNvSpPr/>
          </xdr:nvSpPr>
          <xdr:spPr>
            <a:xfrm>
              <a:off x="10055225" y="125984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61</xdr:row>
          <xdr:rowOff>190500</xdr:rowOff>
        </xdr:from>
        <xdr:to>
          <xdr:col>11</xdr:col>
          <xdr:colOff>685800</xdr:colOff>
          <xdr:row>62</xdr:row>
          <xdr:rowOff>184150</xdr:rowOff>
        </xdr:to>
        <xdr:sp>
          <xdr:nvSpPr>
            <xdr:cNvPr id="14361" name="Spinner 25" hidden="1">
              <a:extLst>
                <a:ext uri="{63B3BB69-23CF-44E3-9099-C40C66FF867C}">
                  <a14:compatExt spid="_x0000_s14361"/>
                </a:ext>
              </a:extLst>
            </xdr:cNvPr>
            <xdr:cNvSpPr/>
          </xdr:nvSpPr>
          <xdr:spPr>
            <a:xfrm>
              <a:off x="10790555" y="12585700"/>
              <a:ext cx="12065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793750</xdr:colOff>
          <xdr:row>63</xdr:row>
          <xdr:rowOff>0</xdr:rowOff>
        </xdr:from>
        <xdr:to>
          <xdr:col>8</xdr:col>
          <xdr:colOff>914400</xdr:colOff>
          <xdr:row>63</xdr:row>
          <xdr:rowOff>190500</xdr:rowOff>
        </xdr:to>
        <xdr:sp>
          <xdr:nvSpPr>
            <xdr:cNvPr id="14362" name="Spinner 26" hidden="1">
              <a:extLst>
                <a:ext uri="{63B3BB69-23CF-44E3-9099-C40C66FF867C}">
                  <a14:compatExt spid="_x0000_s14362"/>
                </a:ext>
              </a:extLst>
            </xdr:cNvPr>
            <xdr:cNvSpPr/>
          </xdr:nvSpPr>
          <xdr:spPr>
            <a:xfrm>
              <a:off x="8195310" y="128016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63</xdr:row>
          <xdr:rowOff>0</xdr:rowOff>
        </xdr:from>
        <xdr:to>
          <xdr:col>9</xdr:col>
          <xdr:colOff>889000</xdr:colOff>
          <xdr:row>63</xdr:row>
          <xdr:rowOff>190500</xdr:rowOff>
        </xdr:to>
        <xdr:sp>
          <xdr:nvSpPr>
            <xdr:cNvPr id="14363" name="Spinner 27" hidden="1">
              <a:extLst>
                <a:ext uri="{63B3BB69-23CF-44E3-9099-C40C66FF867C}">
                  <a14:compatExt spid="_x0000_s14363"/>
                </a:ext>
              </a:extLst>
            </xdr:cNvPr>
            <xdr:cNvSpPr/>
          </xdr:nvSpPr>
          <xdr:spPr>
            <a:xfrm>
              <a:off x="9141460" y="128016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755650</xdr:colOff>
          <xdr:row>63</xdr:row>
          <xdr:rowOff>0</xdr:rowOff>
        </xdr:from>
        <xdr:to>
          <xdr:col>10</xdr:col>
          <xdr:colOff>889000</xdr:colOff>
          <xdr:row>63</xdr:row>
          <xdr:rowOff>190500</xdr:rowOff>
        </xdr:to>
        <xdr:sp>
          <xdr:nvSpPr>
            <xdr:cNvPr id="14364" name="Spinner 28" hidden="1">
              <a:extLst>
                <a:ext uri="{63B3BB69-23CF-44E3-9099-C40C66FF867C}">
                  <a14:compatExt spid="_x0000_s14364"/>
                </a:ext>
              </a:extLst>
            </xdr:cNvPr>
            <xdr:cNvSpPr/>
          </xdr:nvSpPr>
          <xdr:spPr>
            <a:xfrm>
              <a:off x="10055225" y="128016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62</xdr:row>
          <xdr:rowOff>190500</xdr:rowOff>
        </xdr:from>
        <xdr:to>
          <xdr:col>11</xdr:col>
          <xdr:colOff>685800</xdr:colOff>
          <xdr:row>63</xdr:row>
          <xdr:rowOff>184150</xdr:rowOff>
        </xdr:to>
        <xdr:sp>
          <xdr:nvSpPr>
            <xdr:cNvPr id="14365" name="Spinner 29" hidden="1">
              <a:extLst>
                <a:ext uri="{63B3BB69-23CF-44E3-9099-C40C66FF867C}">
                  <a14:compatExt spid="_x0000_s14365"/>
                </a:ext>
              </a:extLst>
            </xdr:cNvPr>
            <xdr:cNvSpPr/>
          </xdr:nvSpPr>
          <xdr:spPr>
            <a:xfrm>
              <a:off x="10790555" y="12788900"/>
              <a:ext cx="12065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793750</xdr:colOff>
          <xdr:row>64</xdr:row>
          <xdr:rowOff>0</xdr:rowOff>
        </xdr:from>
        <xdr:to>
          <xdr:col>8</xdr:col>
          <xdr:colOff>914400</xdr:colOff>
          <xdr:row>64</xdr:row>
          <xdr:rowOff>190500</xdr:rowOff>
        </xdr:to>
        <xdr:sp>
          <xdr:nvSpPr>
            <xdr:cNvPr id="14366" name="Spinner 30" hidden="1">
              <a:extLst>
                <a:ext uri="{63B3BB69-23CF-44E3-9099-C40C66FF867C}">
                  <a14:compatExt spid="_x0000_s14366"/>
                </a:ext>
              </a:extLst>
            </xdr:cNvPr>
            <xdr:cNvSpPr/>
          </xdr:nvSpPr>
          <xdr:spPr>
            <a:xfrm>
              <a:off x="8195310" y="130048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64</xdr:row>
          <xdr:rowOff>0</xdr:rowOff>
        </xdr:from>
        <xdr:to>
          <xdr:col>9</xdr:col>
          <xdr:colOff>889000</xdr:colOff>
          <xdr:row>64</xdr:row>
          <xdr:rowOff>190500</xdr:rowOff>
        </xdr:to>
        <xdr:sp>
          <xdr:nvSpPr>
            <xdr:cNvPr id="14367" name="Spinner 31" hidden="1">
              <a:extLst>
                <a:ext uri="{63B3BB69-23CF-44E3-9099-C40C66FF867C}">
                  <a14:compatExt spid="_x0000_s14367"/>
                </a:ext>
              </a:extLst>
            </xdr:cNvPr>
            <xdr:cNvSpPr/>
          </xdr:nvSpPr>
          <xdr:spPr>
            <a:xfrm>
              <a:off x="9141460" y="130048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755650</xdr:colOff>
          <xdr:row>64</xdr:row>
          <xdr:rowOff>0</xdr:rowOff>
        </xdr:from>
        <xdr:to>
          <xdr:col>10</xdr:col>
          <xdr:colOff>889000</xdr:colOff>
          <xdr:row>64</xdr:row>
          <xdr:rowOff>190500</xdr:rowOff>
        </xdr:to>
        <xdr:sp>
          <xdr:nvSpPr>
            <xdr:cNvPr id="14368" name="Spinner 32" hidden="1">
              <a:extLst>
                <a:ext uri="{63B3BB69-23CF-44E3-9099-C40C66FF867C}">
                  <a14:compatExt spid="_x0000_s14368"/>
                </a:ext>
              </a:extLst>
            </xdr:cNvPr>
            <xdr:cNvSpPr/>
          </xdr:nvSpPr>
          <xdr:spPr>
            <a:xfrm>
              <a:off x="10055225" y="130048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63</xdr:row>
          <xdr:rowOff>190500</xdr:rowOff>
        </xdr:from>
        <xdr:to>
          <xdr:col>11</xdr:col>
          <xdr:colOff>685800</xdr:colOff>
          <xdr:row>64</xdr:row>
          <xdr:rowOff>184150</xdr:rowOff>
        </xdr:to>
        <xdr:sp>
          <xdr:nvSpPr>
            <xdr:cNvPr id="14369" name="Spinner 33" hidden="1">
              <a:extLst>
                <a:ext uri="{63B3BB69-23CF-44E3-9099-C40C66FF867C}">
                  <a14:compatExt spid="_x0000_s14369"/>
                </a:ext>
              </a:extLst>
            </xdr:cNvPr>
            <xdr:cNvSpPr/>
          </xdr:nvSpPr>
          <xdr:spPr>
            <a:xfrm>
              <a:off x="10790555" y="12992100"/>
              <a:ext cx="120650" cy="19685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793750</xdr:colOff>
          <xdr:row>65</xdr:row>
          <xdr:rowOff>0</xdr:rowOff>
        </xdr:from>
        <xdr:to>
          <xdr:col>8</xdr:col>
          <xdr:colOff>914400</xdr:colOff>
          <xdr:row>65</xdr:row>
          <xdr:rowOff>190500</xdr:rowOff>
        </xdr:to>
        <xdr:sp>
          <xdr:nvSpPr>
            <xdr:cNvPr id="14370" name="Spinner 34" hidden="1">
              <a:extLst>
                <a:ext uri="{63B3BB69-23CF-44E3-9099-C40C66FF867C}">
                  <a14:compatExt spid="_x0000_s14370"/>
                </a:ext>
              </a:extLst>
            </xdr:cNvPr>
            <xdr:cNvSpPr/>
          </xdr:nvSpPr>
          <xdr:spPr>
            <a:xfrm>
              <a:off x="8195310" y="13208000"/>
              <a:ext cx="1206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774700</xdr:colOff>
          <xdr:row>65</xdr:row>
          <xdr:rowOff>0</xdr:rowOff>
        </xdr:from>
        <xdr:to>
          <xdr:col>9</xdr:col>
          <xdr:colOff>889000</xdr:colOff>
          <xdr:row>65</xdr:row>
          <xdr:rowOff>190500</xdr:rowOff>
        </xdr:to>
        <xdr:sp>
          <xdr:nvSpPr>
            <xdr:cNvPr id="14371" name="Spinner 35" hidden="1">
              <a:extLst>
                <a:ext uri="{63B3BB69-23CF-44E3-9099-C40C66FF867C}">
                  <a14:compatExt spid="_x0000_s14371"/>
                </a:ext>
              </a:extLst>
            </xdr:cNvPr>
            <xdr:cNvSpPr/>
          </xdr:nvSpPr>
          <xdr:spPr>
            <a:xfrm>
              <a:off x="9141460" y="13208000"/>
              <a:ext cx="11430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755650</xdr:colOff>
          <xdr:row>65</xdr:row>
          <xdr:rowOff>0</xdr:rowOff>
        </xdr:from>
        <xdr:to>
          <xdr:col>10</xdr:col>
          <xdr:colOff>889000</xdr:colOff>
          <xdr:row>65</xdr:row>
          <xdr:rowOff>190500</xdr:rowOff>
        </xdr:to>
        <xdr:sp>
          <xdr:nvSpPr>
            <xdr:cNvPr id="14372" name="Spinner 36" hidden="1">
              <a:extLst>
                <a:ext uri="{63B3BB69-23CF-44E3-9099-C40C66FF867C}">
                  <a14:compatExt spid="_x0000_s14372"/>
                </a:ext>
              </a:extLst>
            </xdr:cNvPr>
            <xdr:cNvSpPr/>
          </xdr:nvSpPr>
          <xdr:spPr>
            <a:xfrm>
              <a:off x="10055225" y="13208000"/>
              <a:ext cx="133350" cy="19050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565150</xdr:colOff>
          <xdr:row>64</xdr:row>
          <xdr:rowOff>190500</xdr:rowOff>
        </xdr:from>
        <xdr:to>
          <xdr:col>11</xdr:col>
          <xdr:colOff>685800</xdr:colOff>
          <xdr:row>65</xdr:row>
          <xdr:rowOff>184150</xdr:rowOff>
        </xdr:to>
        <xdr:sp>
          <xdr:nvSpPr>
            <xdr:cNvPr id="14373" name="Spinner 37" hidden="1">
              <a:extLst>
                <a:ext uri="{63B3BB69-23CF-44E3-9099-C40C66FF867C}">
                  <a14:compatExt spid="_x0000_s14373"/>
                </a:ext>
              </a:extLst>
            </xdr:cNvPr>
            <xdr:cNvSpPr/>
          </xdr:nvSpPr>
          <xdr:spPr>
            <a:xfrm>
              <a:off x="10790555" y="13195300"/>
              <a:ext cx="120650" cy="19685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0</xdr:row>
      <xdr:rowOff>0</xdr:rowOff>
    </xdr:from>
    <xdr:to>
      <xdr:col>19</xdr:col>
      <xdr:colOff>441960</xdr:colOff>
      <xdr:row>34</xdr:row>
      <xdr:rowOff>7620</xdr:rowOff>
    </xdr:to>
    <xdr:pic>
      <xdr:nvPicPr>
        <xdr:cNvPr id="29697" name="Picture 1"/>
        <xdr:cNvPicPr>
          <a:picLocks noChangeAspect="1"/>
        </xdr:cNvPicPr>
      </xdr:nvPicPr>
      <xdr:blipFill>
        <a:blip r:embed="rId1"/>
        <a:stretch>
          <a:fillRect/>
        </a:stretch>
      </xdr:blipFill>
      <xdr:spPr>
        <a:xfrm>
          <a:off x="0" y="0"/>
          <a:ext cx="12712065" cy="5836920"/>
        </a:xfrm>
        <a:prstGeom prst="rect">
          <a:avLst/>
        </a:prstGeom>
        <a:noFill/>
        <a:ln w="9525">
          <a:noFill/>
        </a:ln>
      </xdr:spPr>
    </xdr:pic>
    <xdr:clientData/>
  </xdr:twoCellAnchor>
  <xdr:twoCellAnchor editAs="oneCell">
    <xdr:from>
      <xdr:col>0</xdr:col>
      <xdr:colOff>0</xdr:colOff>
      <xdr:row>34</xdr:row>
      <xdr:rowOff>22860</xdr:rowOff>
    </xdr:from>
    <xdr:to>
      <xdr:col>19</xdr:col>
      <xdr:colOff>365760</xdr:colOff>
      <xdr:row>67</xdr:row>
      <xdr:rowOff>160020</xdr:rowOff>
    </xdr:to>
    <xdr:pic>
      <xdr:nvPicPr>
        <xdr:cNvPr id="29698" name="Picture 2"/>
        <xdr:cNvPicPr>
          <a:picLocks noChangeAspect="1"/>
        </xdr:cNvPicPr>
      </xdr:nvPicPr>
      <xdr:blipFill>
        <a:blip r:embed="rId2"/>
        <a:stretch>
          <a:fillRect/>
        </a:stretch>
      </xdr:blipFill>
      <xdr:spPr>
        <a:xfrm>
          <a:off x="0" y="5852160"/>
          <a:ext cx="12635865" cy="5795010"/>
        </a:xfrm>
        <a:prstGeom prst="rect">
          <a:avLst/>
        </a:prstGeom>
        <a:noFill/>
        <a:ln w="9525">
          <a:noFill/>
        </a:ln>
      </xdr:spPr>
    </xdr:pic>
    <xdr:clientData/>
  </xdr:twoCellAnchor>
  <xdr:twoCellAnchor editAs="oneCell">
    <xdr:from>
      <xdr:col>0</xdr:col>
      <xdr:colOff>0</xdr:colOff>
      <xdr:row>68</xdr:row>
      <xdr:rowOff>0</xdr:rowOff>
    </xdr:from>
    <xdr:to>
      <xdr:col>19</xdr:col>
      <xdr:colOff>480060</xdr:colOff>
      <xdr:row>103</xdr:row>
      <xdr:rowOff>0</xdr:rowOff>
    </xdr:to>
    <xdr:pic>
      <xdr:nvPicPr>
        <xdr:cNvPr id="29699" name="Picture 3"/>
        <xdr:cNvPicPr>
          <a:picLocks noChangeAspect="1"/>
        </xdr:cNvPicPr>
      </xdr:nvPicPr>
      <xdr:blipFill>
        <a:blip r:embed="rId3"/>
        <a:stretch>
          <a:fillRect/>
        </a:stretch>
      </xdr:blipFill>
      <xdr:spPr>
        <a:xfrm>
          <a:off x="0" y="11658600"/>
          <a:ext cx="12750165" cy="6000750"/>
        </a:xfrm>
        <a:prstGeom prst="rect">
          <a:avLst/>
        </a:prstGeom>
        <a:noFill/>
        <a:ln w="9525">
          <a:noFill/>
        </a:ln>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230000">
            <a:alpha val="74001"/>
          </a:srgbClr>
        </a:solidFill>
        <a:ln w="9525" cap="flat" cmpd="sng" algn="ctr">
          <a:solidFill>
            <a:srgbClr val="4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230000">
            <a:alpha val="74001"/>
          </a:srgbClr>
        </a:solidFill>
        <a:ln w="9525" cap="flat" cmpd="sng" algn="ctr">
          <a:solidFill>
            <a:srgbClr val="400000"/>
          </a:solidFill>
          <a:prstDash val="solid"/>
          <a:round/>
          <a:headEnd type="none" w="med" len="med"/>
          <a:tailEnd type="none" w="med" len="med"/>
        </a:ln>
      </a:spPr>
      <a:bodyPr vertOverflow="clip" wrap="square" lIns="18288" tIns="0" rIns="0" bIns="0" upright="1"/>
      <a:lstStyle/>
    </a:lnDef>
  </a:objectDefaults>
</a:theme>
</file>

<file path=xl/worksheets/_rels/sheet1.xml.rels><?xml version="1.0" encoding="UTF-8" standalone="yes"?>
<Relationships xmlns="http://schemas.openxmlformats.org/package/2006/relationships"><Relationship Id="rId9" Type="http://schemas.openxmlformats.org/officeDocument/2006/relationships/hyperlink" Target="file:///G:\games\team_score%3fgameid=380892&amp;teamid=911831" TargetMode="External"/><Relationship Id="rId8" Type="http://schemas.openxmlformats.org/officeDocument/2006/relationships/hyperlink" Target="file:///G:\games\mygames" TargetMode="External"/><Relationship Id="rId7" Type="http://schemas.openxmlformats.org/officeDocument/2006/relationships/hyperlink" Target="file:///G:\games\list_section" TargetMode="External"/><Relationship Id="rId6" Type="http://schemas.openxmlformats.org/officeDocument/2006/relationships/hyperlink" Target="file:///G:\games\man_machine" TargetMode="External"/><Relationship Id="rId5" Type="http://schemas.openxmlformats.org/officeDocument/2006/relationships/hyperlink" Target="file:///G:\games\duikang" TargetMode="External"/><Relationship Id="rId4" Type="http://schemas.openxmlformats.org/officeDocument/2006/relationships/hyperlink" Target="file:///G:\" TargetMode="External"/><Relationship Id="rId3" Type="http://schemas.openxmlformats.org/officeDocument/2006/relationships/hyperlink" Target="https://beian.miit.gov.cn/" TargetMode="Externa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9" Type="http://schemas.openxmlformats.org/officeDocument/2006/relationships/ctrlProp" Target="../ctrlProps/ctrlProp6.xml"/><Relationship Id="rId8" Type="http://schemas.openxmlformats.org/officeDocument/2006/relationships/ctrlProp" Target="../ctrlProps/ctrlProp5.xml"/><Relationship Id="rId7" Type="http://schemas.openxmlformats.org/officeDocument/2006/relationships/ctrlProp" Target="../ctrlProps/ctrlProp4.xm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35" Type="http://schemas.openxmlformats.org/officeDocument/2006/relationships/ctrlProp" Target="../ctrlProps/ctrlProp32.xml"/><Relationship Id="rId34" Type="http://schemas.openxmlformats.org/officeDocument/2006/relationships/ctrlProp" Target="../ctrlProps/ctrlProp31.xml"/><Relationship Id="rId33" Type="http://schemas.openxmlformats.org/officeDocument/2006/relationships/ctrlProp" Target="../ctrlProps/ctrlProp30.xml"/><Relationship Id="rId32" Type="http://schemas.openxmlformats.org/officeDocument/2006/relationships/ctrlProp" Target="../ctrlProps/ctrlProp29.xml"/><Relationship Id="rId31" Type="http://schemas.openxmlformats.org/officeDocument/2006/relationships/ctrlProp" Target="../ctrlProps/ctrlProp28.xml"/><Relationship Id="rId30" Type="http://schemas.openxmlformats.org/officeDocument/2006/relationships/ctrlProp" Target="../ctrlProps/ctrlProp27.xml"/><Relationship Id="rId3" Type="http://schemas.openxmlformats.org/officeDocument/2006/relationships/vmlDrawing" Target="../drawings/vmlDrawing2.vml"/><Relationship Id="rId29" Type="http://schemas.openxmlformats.org/officeDocument/2006/relationships/ctrlProp" Target="../ctrlProps/ctrlProp26.xml"/><Relationship Id="rId28" Type="http://schemas.openxmlformats.org/officeDocument/2006/relationships/ctrlProp" Target="../ctrlProps/ctrlProp25.xml"/><Relationship Id="rId27" Type="http://schemas.openxmlformats.org/officeDocument/2006/relationships/ctrlProp" Target="../ctrlProps/ctrlProp24.xml"/><Relationship Id="rId26" Type="http://schemas.openxmlformats.org/officeDocument/2006/relationships/ctrlProp" Target="../ctrlProps/ctrlProp23.xml"/><Relationship Id="rId25" Type="http://schemas.openxmlformats.org/officeDocument/2006/relationships/ctrlProp" Target="../ctrlProps/ctrlProp22.xml"/><Relationship Id="rId24" Type="http://schemas.openxmlformats.org/officeDocument/2006/relationships/ctrlProp" Target="../ctrlProps/ctrlProp21.xml"/><Relationship Id="rId23" Type="http://schemas.openxmlformats.org/officeDocument/2006/relationships/ctrlProp" Target="../ctrlProps/ctrlProp20.xml"/><Relationship Id="rId22" Type="http://schemas.openxmlformats.org/officeDocument/2006/relationships/ctrlProp" Target="../ctrlProps/ctrlProp19.xml"/><Relationship Id="rId21" Type="http://schemas.openxmlformats.org/officeDocument/2006/relationships/ctrlProp" Target="../ctrlProps/ctrlProp18.xml"/><Relationship Id="rId20" Type="http://schemas.openxmlformats.org/officeDocument/2006/relationships/ctrlProp" Target="../ctrlProps/ctrlProp17.xml"/><Relationship Id="rId2" Type="http://schemas.openxmlformats.org/officeDocument/2006/relationships/drawing" Target="../drawings/drawing6.xml"/><Relationship Id="rId19" Type="http://schemas.openxmlformats.org/officeDocument/2006/relationships/ctrlProp" Target="../ctrlProps/ctrlProp16.xml"/><Relationship Id="rId18" Type="http://schemas.openxmlformats.org/officeDocument/2006/relationships/ctrlProp" Target="../ctrlProps/ctrlProp15.xml"/><Relationship Id="rId17" Type="http://schemas.openxmlformats.org/officeDocument/2006/relationships/ctrlProp" Target="../ctrlProps/ctrlProp14.xml"/><Relationship Id="rId16" Type="http://schemas.openxmlformats.org/officeDocument/2006/relationships/ctrlProp" Target="../ctrlProps/ctrlProp13.xml"/><Relationship Id="rId15" Type="http://schemas.openxmlformats.org/officeDocument/2006/relationships/ctrlProp" Target="../ctrlProps/ctrlProp12.xml"/><Relationship Id="rId14" Type="http://schemas.openxmlformats.org/officeDocument/2006/relationships/ctrlProp" Target="../ctrlProps/ctrlProp11.xml"/><Relationship Id="rId13" Type="http://schemas.openxmlformats.org/officeDocument/2006/relationships/ctrlProp" Target="../ctrlProps/ctrlProp10.xml"/><Relationship Id="rId12" Type="http://schemas.openxmlformats.org/officeDocument/2006/relationships/ctrlProp" Target="../ctrlProps/ctrlProp9.xml"/><Relationship Id="rId11" Type="http://schemas.openxmlformats.org/officeDocument/2006/relationships/ctrlProp" Target="../ctrlProps/ctrlProp8.xml"/><Relationship Id="rId10" Type="http://schemas.openxmlformats.org/officeDocument/2006/relationships/ctrlProp" Target="../ctrlProps/ctrlProp7.xml"/><Relationship Id="rId1" Type="http://schemas.openxmlformats.org/officeDocument/2006/relationships/comments" Target="../comments1.xml"/></Relationships>
</file>

<file path=xl/worksheets/_rels/sheet7.xml.rels><?xml version="1.0" encoding="UTF-8" standalone="yes"?>
<Relationships xmlns="http://schemas.openxmlformats.org/package/2006/relationships"><Relationship Id="rId9" Type="http://schemas.openxmlformats.org/officeDocument/2006/relationships/ctrlProp" Target="../ctrlProps/ctrlProp38.xml"/><Relationship Id="rId8" Type="http://schemas.openxmlformats.org/officeDocument/2006/relationships/ctrlProp" Target="../ctrlProps/ctrlProp37.xml"/><Relationship Id="rId7" Type="http://schemas.openxmlformats.org/officeDocument/2006/relationships/ctrlProp" Target="../ctrlProps/ctrlProp36.xml"/><Relationship Id="rId6" Type="http://schemas.openxmlformats.org/officeDocument/2006/relationships/ctrlProp" Target="../ctrlProps/ctrlProp35.xml"/><Relationship Id="rId5" Type="http://schemas.openxmlformats.org/officeDocument/2006/relationships/ctrlProp" Target="../ctrlProps/ctrlProp34.xml"/><Relationship Id="rId4" Type="http://schemas.openxmlformats.org/officeDocument/2006/relationships/ctrlProp" Target="../ctrlProps/ctrlProp33.xml"/><Relationship Id="rId35" Type="http://schemas.openxmlformats.org/officeDocument/2006/relationships/ctrlProp" Target="../ctrlProps/ctrlProp64.xml"/><Relationship Id="rId34" Type="http://schemas.openxmlformats.org/officeDocument/2006/relationships/ctrlProp" Target="../ctrlProps/ctrlProp63.xml"/><Relationship Id="rId33" Type="http://schemas.openxmlformats.org/officeDocument/2006/relationships/ctrlProp" Target="../ctrlProps/ctrlProp62.xml"/><Relationship Id="rId32" Type="http://schemas.openxmlformats.org/officeDocument/2006/relationships/ctrlProp" Target="../ctrlProps/ctrlProp61.xml"/><Relationship Id="rId31" Type="http://schemas.openxmlformats.org/officeDocument/2006/relationships/ctrlProp" Target="../ctrlProps/ctrlProp60.xml"/><Relationship Id="rId30" Type="http://schemas.openxmlformats.org/officeDocument/2006/relationships/ctrlProp" Target="../ctrlProps/ctrlProp59.xml"/><Relationship Id="rId3" Type="http://schemas.openxmlformats.org/officeDocument/2006/relationships/vmlDrawing" Target="../drawings/vmlDrawing3.vml"/><Relationship Id="rId29" Type="http://schemas.openxmlformats.org/officeDocument/2006/relationships/ctrlProp" Target="../ctrlProps/ctrlProp58.xml"/><Relationship Id="rId28" Type="http://schemas.openxmlformats.org/officeDocument/2006/relationships/ctrlProp" Target="../ctrlProps/ctrlProp57.xml"/><Relationship Id="rId27" Type="http://schemas.openxmlformats.org/officeDocument/2006/relationships/ctrlProp" Target="../ctrlProps/ctrlProp56.xml"/><Relationship Id="rId26" Type="http://schemas.openxmlformats.org/officeDocument/2006/relationships/ctrlProp" Target="../ctrlProps/ctrlProp55.xml"/><Relationship Id="rId25" Type="http://schemas.openxmlformats.org/officeDocument/2006/relationships/ctrlProp" Target="../ctrlProps/ctrlProp54.xml"/><Relationship Id="rId24" Type="http://schemas.openxmlformats.org/officeDocument/2006/relationships/ctrlProp" Target="../ctrlProps/ctrlProp53.xml"/><Relationship Id="rId23" Type="http://schemas.openxmlformats.org/officeDocument/2006/relationships/ctrlProp" Target="../ctrlProps/ctrlProp52.xml"/><Relationship Id="rId22" Type="http://schemas.openxmlformats.org/officeDocument/2006/relationships/ctrlProp" Target="../ctrlProps/ctrlProp51.xml"/><Relationship Id="rId21" Type="http://schemas.openxmlformats.org/officeDocument/2006/relationships/ctrlProp" Target="../ctrlProps/ctrlProp50.xml"/><Relationship Id="rId20" Type="http://schemas.openxmlformats.org/officeDocument/2006/relationships/ctrlProp" Target="../ctrlProps/ctrlProp49.xml"/><Relationship Id="rId2" Type="http://schemas.openxmlformats.org/officeDocument/2006/relationships/drawing" Target="../drawings/drawing7.xml"/><Relationship Id="rId19" Type="http://schemas.openxmlformats.org/officeDocument/2006/relationships/ctrlProp" Target="../ctrlProps/ctrlProp48.xml"/><Relationship Id="rId18" Type="http://schemas.openxmlformats.org/officeDocument/2006/relationships/ctrlProp" Target="../ctrlProps/ctrlProp47.xml"/><Relationship Id="rId17" Type="http://schemas.openxmlformats.org/officeDocument/2006/relationships/ctrlProp" Target="../ctrlProps/ctrlProp46.xml"/><Relationship Id="rId16" Type="http://schemas.openxmlformats.org/officeDocument/2006/relationships/ctrlProp" Target="../ctrlProps/ctrlProp45.xml"/><Relationship Id="rId15" Type="http://schemas.openxmlformats.org/officeDocument/2006/relationships/ctrlProp" Target="../ctrlProps/ctrlProp44.xml"/><Relationship Id="rId14" Type="http://schemas.openxmlformats.org/officeDocument/2006/relationships/ctrlProp" Target="../ctrlProps/ctrlProp43.xml"/><Relationship Id="rId13" Type="http://schemas.openxmlformats.org/officeDocument/2006/relationships/ctrlProp" Target="../ctrlProps/ctrlProp42.xml"/><Relationship Id="rId12" Type="http://schemas.openxmlformats.org/officeDocument/2006/relationships/ctrlProp" Target="../ctrlProps/ctrlProp41.xml"/><Relationship Id="rId11" Type="http://schemas.openxmlformats.org/officeDocument/2006/relationships/ctrlProp" Target="../ctrlProps/ctrlProp40.xml"/><Relationship Id="rId10" Type="http://schemas.openxmlformats.org/officeDocument/2006/relationships/ctrlProp" Target="../ctrlProps/ctrlProp39.xml"/><Relationship Id="rId1" Type="http://schemas.openxmlformats.org/officeDocument/2006/relationships/comments" Target="../comments2.xml"/></Relationships>
</file>

<file path=xl/worksheets/_rels/sheet8.xml.rels><?xml version="1.0" encoding="UTF-8" standalone="yes"?>
<Relationships xmlns="http://schemas.openxmlformats.org/package/2006/relationships"><Relationship Id="rId9" Type="http://schemas.openxmlformats.org/officeDocument/2006/relationships/ctrlProp" Target="../ctrlProps/ctrlProp70.xml"/><Relationship Id="rId8" Type="http://schemas.openxmlformats.org/officeDocument/2006/relationships/ctrlProp" Target="../ctrlProps/ctrlProp69.xml"/><Relationship Id="rId7" Type="http://schemas.openxmlformats.org/officeDocument/2006/relationships/ctrlProp" Target="../ctrlProps/ctrlProp68.xml"/><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 Id="rId35" Type="http://schemas.openxmlformats.org/officeDocument/2006/relationships/ctrlProp" Target="../ctrlProps/ctrlProp96.xml"/><Relationship Id="rId34" Type="http://schemas.openxmlformats.org/officeDocument/2006/relationships/ctrlProp" Target="../ctrlProps/ctrlProp95.xml"/><Relationship Id="rId33" Type="http://schemas.openxmlformats.org/officeDocument/2006/relationships/ctrlProp" Target="../ctrlProps/ctrlProp94.xml"/><Relationship Id="rId32" Type="http://schemas.openxmlformats.org/officeDocument/2006/relationships/ctrlProp" Target="../ctrlProps/ctrlProp93.xml"/><Relationship Id="rId31" Type="http://schemas.openxmlformats.org/officeDocument/2006/relationships/ctrlProp" Target="../ctrlProps/ctrlProp92.xml"/><Relationship Id="rId30" Type="http://schemas.openxmlformats.org/officeDocument/2006/relationships/ctrlProp" Target="../ctrlProps/ctrlProp91.xml"/><Relationship Id="rId3" Type="http://schemas.openxmlformats.org/officeDocument/2006/relationships/vmlDrawing" Target="../drawings/vmlDrawing4.vml"/><Relationship Id="rId29" Type="http://schemas.openxmlformats.org/officeDocument/2006/relationships/ctrlProp" Target="../ctrlProps/ctrlProp90.xml"/><Relationship Id="rId28" Type="http://schemas.openxmlformats.org/officeDocument/2006/relationships/ctrlProp" Target="../ctrlProps/ctrlProp89.xml"/><Relationship Id="rId27" Type="http://schemas.openxmlformats.org/officeDocument/2006/relationships/ctrlProp" Target="../ctrlProps/ctrlProp88.xml"/><Relationship Id="rId26" Type="http://schemas.openxmlformats.org/officeDocument/2006/relationships/ctrlProp" Target="../ctrlProps/ctrlProp87.xml"/><Relationship Id="rId25" Type="http://schemas.openxmlformats.org/officeDocument/2006/relationships/ctrlProp" Target="../ctrlProps/ctrlProp86.xml"/><Relationship Id="rId24" Type="http://schemas.openxmlformats.org/officeDocument/2006/relationships/ctrlProp" Target="../ctrlProps/ctrlProp85.xml"/><Relationship Id="rId23" Type="http://schemas.openxmlformats.org/officeDocument/2006/relationships/ctrlProp" Target="../ctrlProps/ctrlProp84.xml"/><Relationship Id="rId22" Type="http://schemas.openxmlformats.org/officeDocument/2006/relationships/ctrlProp" Target="../ctrlProps/ctrlProp83.xml"/><Relationship Id="rId21" Type="http://schemas.openxmlformats.org/officeDocument/2006/relationships/ctrlProp" Target="../ctrlProps/ctrlProp82.xml"/><Relationship Id="rId20" Type="http://schemas.openxmlformats.org/officeDocument/2006/relationships/ctrlProp" Target="../ctrlProps/ctrlProp81.xml"/><Relationship Id="rId2" Type="http://schemas.openxmlformats.org/officeDocument/2006/relationships/drawing" Target="../drawings/drawing8.xml"/><Relationship Id="rId19" Type="http://schemas.openxmlformats.org/officeDocument/2006/relationships/ctrlProp" Target="../ctrlProps/ctrlProp80.xml"/><Relationship Id="rId18" Type="http://schemas.openxmlformats.org/officeDocument/2006/relationships/ctrlProp" Target="../ctrlProps/ctrlProp79.xml"/><Relationship Id="rId17" Type="http://schemas.openxmlformats.org/officeDocument/2006/relationships/ctrlProp" Target="../ctrlProps/ctrlProp78.xml"/><Relationship Id="rId16" Type="http://schemas.openxmlformats.org/officeDocument/2006/relationships/ctrlProp" Target="../ctrlProps/ctrlProp77.xml"/><Relationship Id="rId15" Type="http://schemas.openxmlformats.org/officeDocument/2006/relationships/ctrlProp" Target="../ctrlProps/ctrlProp76.xml"/><Relationship Id="rId14" Type="http://schemas.openxmlformats.org/officeDocument/2006/relationships/ctrlProp" Target="../ctrlProps/ctrlProp75.xml"/><Relationship Id="rId13" Type="http://schemas.openxmlformats.org/officeDocument/2006/relationships/ctrlProp" Target="../ctrlProps/ctrlProp74.xml"/><Relationship Id="rId12" Type="http://schemas.openxmlformats.org/officeDocument/2006/relationships/ctrlProp" Target="../ctrlProps/ctrlProp73.xml"/><Relationship Id="rId11" Type="http://schemas.openxmlformats.org/officeDocument/2006/relationships/ctrlProp" Target="../ctrlProps/ctrlProp72.xml"/><Relationship Id="rId10" Type="http://schemas.openxmlformats.org/officeDocument/2006/relationships/ctrlProp" Target="../ctrlProps/ctrlProp71.xml"/><Relationship Id="rId1" Type="http://schemas.openxmlformats.org/officeDocument/2006/relationships/comments" Target="../comments3.xml"/></Relationships>
</file>

<file path=xl/worksheets/_rels/sheet9.xml.rels><?xml version="1.0" encoding="UTF-8" standalone="yes"?>
<Relationships xmlns="http://schemas.openxmlformats.org/package/2006/relationships"><Relationship Id="rId9" Type="http://schemas.openxmlformats.org/officeDocument/2006/relationships/ctrlProp" Target="../ctrlProps/ctrlProp102.xml"/><Relationship Id="rId8" Type="http://schemas.openxmlformats.org/officeDocument/2006/relationships/ctrlProp" Target="../ctrlProps/ctrlProp101.xml"/><Relationship Id="rId7" Type="http://schemas.openxmlformats.org/officeDocument/2006/relationships/ctrlProp" Target="../ctrlProps/ctrlProp100.xml"/><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 Id="rId35" Type="http://schemas.openxmlformats.org/officeDocument/2006/relationships/ctrlProp" Target="../ctrlProps/ctrlProp128.xml"/><Relationship Id="rId34" Type="http://schemas.openxmlformats.org/officeDocument/2006/relationships/ctrlProp" Target="../ctrlProps/ctrlProp127.xml"/><Relationship Id="rId33" Type="http://schemas.openxmlformats.org/officeDocument/2006/relationships/ctrlProp" Target="../ctrlProps/ctrlProp126.xml"/><Relationship Id="rId32" Type="http://schemas.openxmlformats.org/officeDocument/2006/relationships/ctrlProp" Target="../ctrlProps/ctrlProp125.xml"/><Relationship Id="rId31" Type="http://schemas.openxmlformats.org/officeDocument/2006/relationships/ctrlProp" Target="../ctrlProps/ctrlProp124.xml"/><Relationship Id="rId30" Type="http://schemas.openxmlformats.org/officeDocument/2006/relationships/ctrlProp" Target="../ctrlProps/ctrlProp123.xml"/><Relationship Id="rId3" Type="http://schemas.openxmlformats.org/officeDocument/2006/relationships/vmlDrawing" Target="../drawings/vmlDrawing5.vml"/><Relationship Id="rId29" Type="http://schemas.openxmlformats.org/officeDocument/2006/relationships/ctrlProp" Target="../ctrlProps/ctrlProp122.xml"/><Relationship Id="rId28" Type="http://schemas.openxmlformats.org/officeDocument/2006/relationships/ctrlProp" Target="../ctrlProps/ctrlProp121.xml"/><Relationship Id="rId27" Type="http://schemas.openxmlformats.org/officeDocument/2006/relationships/ctrlProp" Target="../ctrlProps/ctrlProp120.xml"/><Relationship Id="rId26" Type="http://schemas.openxmlformats.org/officeDocument/2006/relationships/ctrlProp" Target="../ctrlProps/ctrlProp119.xml"/><Relationship Id="rId25" Type="http://schemas.openxmlformats.org/officeDocument/2006/relationships/ctrlProp" Target="../ctrlProps/ctrlProp118.xml"/><Relationship Id="rId24" Type="http://schemas.openxmlformats.org/officeDocument/2006/relationships/ctrlProp" Target="../ctrlProps/ctrlProp117.xml"/><Relationship Id="rId23" Type="http://schemas.openxmlformats.org/officeDocument/2006/relationships/ctrlProp" Target="../ctrlProps/ctrlProp116.xml"/><Relationship Id="rId22" Type="http://schemas.openxmlformats.org/officeDocument/2006/relationships/ctrlProp" Target="../ctrlProps/ctrlProp115.xml"/><Relationship Id="rId21" Type="http://schemas.openxmlformats.org/officeDocument/2006/relationships/ctrlProp" Target="../ctrlProps/ctrlProp114.xml"/><Relationship Id="rId20" Type="http://schemas.openxmlformats.org/officeDocument/2006/relationships/ctrlProp" Target="../ctrlProps/ctrlProp113.xml"/><Relationship Id="rId2" Type="http://schemas.openxmlformats.org/officeDocument/2006/relationships/drawing" Target="../drawings/drawing9.xml"/><Relationship Id="rId19" Type="http://schemas.openxmlformats.org/officeDocument/2006/relationships/ctrlProp" Target="../ctrlProps/ctrlProp112.xml"/><Relationship Id="rId18" Type="http://schemas.openxmlformats.org/officeDocument/2006/relationships/ctrlProp" Target="../ctrlProps/ctrlProp111.xml"/><Relationship Id="rId17" Type="http://schemas.openxmlformats.org/officeDocument/2006/relationships/ctrlProp" Target="../ctrlProps/ctrlProp110.xml"/><Relationship Id="rId16" Type="http://schemas.openxmlformats.org/officeDocument/2006/relationships/ctrlProp" Target="../ctrlProps/ctrlProp109.xml"/><Relationship Id="rId15" Type="http://schemas.openxmlformats.org/officeDocument/2006/relationships/ctrlProp" Target="../ctrlProps/ctrlProp108.xml"/><Relationship Id="rId14" Type="http://schemas.openxmlformats.org/officeDocument/2006/relationships/ctrlProp" Target="../ctrlProps/ctrlProp107.xml"/><Relationship Id="rId13" Type="http://schemas.openxmlformats.org/officeDocument/2006/relationships/ctrlProp" Target="../ctrlProps/ctrlProp106.xml"/><Relationship Id="rId12" Type="http://schemas.openxmlformats.org/officeDocument/2006/relationships/ctrlProp" Target="../ctrlProps/ctrlProp105.xml"/><Relationship Id="rId11" Type="http://schemas.openxmlformats.org/officeDocument/2006/relationships/ctrlProp" Target="../ctrlProps/ctrlProp104.xml"/><Relationship Id="rId10" Type="http://schemas.openxmlformats.org/officeDocument/2006/relationships/ctrlProp" Target="../ctrlProps/ctrlProp103.xml"/><Relationship Id="rId1"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9" Type="http://schemas.openxmlformats.org/officeDocument/2006/relationships/ctrlProp" Target="../ctrlProps/ctrlProp134.xml"/><Relationship Id="rId8" Type="http://schemas.openxmlformats.org/officeDocument/2006/relationships/ctrlProp" Target="../ctrlProps/ctrlProp133.xml"/><Relationship Id="rId7" Type="http://schemas.openxmlformats.org/officeDocument/2006/relationships/ctrlProp" Target="../ctrlProps/ctrlProp132.xml"/><Relationship Id="rId6" Type="http://schemas.openxmlformats.org/officeDocument/2006/relationships/ctrlProp" Target="../ctrlProps/ctrlProp131.xml"/><Relationship Id="rId5" Type="http://schemas.openxmlformats.org/officeDocument/2006/relationships/ctrlProp" Target="../ctrlProps/ctrlProp130.xml"/><Relationship Id="rId4" Type="http://schemas.openxmlformats.org/officeDocument/2006/relationships/ctrlProp" Target="../ctrlProps/ctrlProp129.xml"/><Relationship Id="rId35" Type="http://schemas.openxmlformats.org/officeDocument/2006/relationships/ctrlProp" Target="../ctrlProps/ctrlProp160.xml"/><Relationship Id="rId34" Type="http://schemas.openxmlformats.org/officeDocument/2006/relationships/ctrlProp" Target="../ctrlProps/ctrlProp159.xml"/><Relationship Id="rId33" Type="http://schemas.openxmlformats.org/officeDocument/2006/relationships/ctrlProp" Target="../ctrlProps/ctrlProp158.xml"/><Relationship Id="rId32" Type="http://schemas.openxmlformats.org/officeDocument/2006/relationships/ctrlProp" Target="../ctrlProps/ctrlProp157.xml"/><Relationship Id="rId31" Type="http://schemas.openxmlformats.org/officeDocument/2006/relationships/ctrlProp" Target="../ctrlProps/ctrlProp156.xml"/><Relationship Id="rId30" Type="http://schemas.openxmlformats.org/officeDocument/2006/relationships/ctrlProp" Target="../ctrlProps/ctrlProp155.xml"/><Relationship Id="rId3" Type="http://schemas.openxmlformats.org/officeDocument/2006/relationships/vmlDrawing" Target="../drawings/vmlDrawing6.vml"/><Relationship Id="rId29" Type="http://schemas.openxmlformats.org/officeDocument/2006/relationships/ctrlProp" Target="../ctrlProps/ctrlProp154.xml"/><Relationship Id="rId28" Type="http://schemas.openxmlformats.org/officeDocument/2006/relationships/ctrlProp" Target="../ctrlProps/ctrlProp153.xml"/><Relationship Id="rId27" Type="http://schemas.openxmlformats.org/officeDocument/2006/relationships/ctrlProp" Target="../ctrlProps/ctrlProp152.xml"/><Relationship Id="rId26" Type="http://schemas.openxmlformats.org/officeDocument/2006/relationships/ctrlProp" Target="../ctrlProps/ctrlProp151.xml"/><Relationship Id="rId25" Type="http://schemas.openxmlformats.org/officeDocument/2006/relationships/ctrlProp" Target="../ctrlProps/ctrlProp150.xml"/><Relationship Id="rId24" Type="http://schemas.openxmlformats.org/officeDocument/2006/relationships/ctrlProp" Target="../ctrlProps/ctrlProp149.xml"/><Relationship Id="rId23" Type="http://schemas.openxmlformats.org/officeDocument/2006/relationships/ctrlProp" Target="../ctrlProps/ctrlProp148.xml"/><Relationship Id="rId22" Type="http://schemas.openxmlformats.org/officeDocument/2006/relationships/ctrlProp" Target="../ctrlProps/ctrlProp147.xml"/><Relationship Id="rId21" Type="http://schemas.openxmlformats.org/officeDocument/2006/relationships/ctrlProp" Target="../ctrlProps/ctrlProp146.xml"/><Relationship Id="rId20" Type="http://schemas.openxmlformats.org/officeDocument/2006/relationships/ctrlProp" Target="../ctrlProps/ctrlProp145.xml"/><Relationship Id="rId2" Type="http://schemas.openxmlformats.org/officeDocument/2006/relationships/drawing" Target="../drawings/drawing10.xml"/><Relationship Id="rId19" Type="http://schemas.openxmlformats.org/officeDocument/2006/relationships/ctrlProp" Target="../ctrlProps/ctrlProp144.xml"/><Relationship Id="rId18" Type="http://schemas.openxmlformats.org/officeDocument/2006/relationships/ctrlProp" Target="../ctrlProps/ctrlProp143.xml"/><Relationship Id="rId17" Type="http://schemas.openxmlformats.org/officeDocument/2006/relationships/ctrlProp" Target="../ctrlProps/ctrlProp142.xml"/><Relationship Id="rId16" Type="http://schemas.openxmlformats.org/officeDocument/2006/relationships/ctrlProp" Target="../ctrlProps/ctrlProp141.xml"/><Relationship Id="rId15" Type="http://schemas.openxmlformats.org/officeDocument/2006/relationships/ctrlProp" Target="../ctrlProps/ctrlProp140.xml"/><Relationship Id="rId14" Type="http://schemas.openxmlformats.org/officeDocument/2006/relationships/ctrlProp" Target="../ctrlProps/ctrlProp139.xml"/><Relationship Id="rId13" Type="http://schemas.openxmlformats.org/officeDocument/2006/relationships/ctrlProp" Target="../ctrlProps/ctrlProp138.xml"/><Relationship Id="rId12" Type="http://schemas.openxmlformats.org/officeDocument/2006/relationships/ctrlProp" Target="../ctrlProps/ctrlProp137.xml"/><Relationship Id="rId11" Type="http://schemas.openxmlformats.org/officeDocument/2006/relationships/ctrlProp" Target="../ctrlProps/ctrlProp136.xml"/><Relationship Id="rId10" Type="http://schemas.openxmlformats.org/officeDocument/2006/relationships/ctrlProp" Target="../ctrlProps/ctrlProp135.xml"/><Relationship Id="rId1"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9" Type="http://schemas.openxmlformats.org/officeDocument/2006/relationships/ctrlProp" Target="../ctrlProps/ctrlProp166.xml"/><Relationship Id="rId8" Type="http://schemas.openxmlformats.org/officeDocument/2006/relationships/ctrlProp" Target="../ctrlProps/ctrlProp165.xml"/><Relationship Id="rId7" Type="http://schemas.openxmlformats.org/officeDocument/2006/relationships/ctrlProp" Target="../ctrlProps/ctrlProp164.xml"/><Relationship Id="rId6" Type="http://schemas.openxmlformats.org/officeDocument/2006/relationships/ctrlProp" Target="../ctrlProps/ctrlProp163.xml"/><Relationship Id="rId5" Type="http://schemas.openxmlformats.org/officeDocument/2006/relationships/ctrlProp" Target="../ctrlProps/ctrlProp162.xml"/><Relationship Id="rId4" Type="http://schemas.openxmlformats.org/officeDocument/2006/relationships/ctrlProp" Target="../ctrlProps/ctrlProp161.xml"/><Relationship Id="rId35" Type="http://schemas.openxmlformats.org/officeDocument/2006/relationships/ctrlProp" Target="../ctrlProps/ctrlProp192.xml"/><Relationship Id="rId34" Type="http://schemas.openxmlformats.org/officeDocument/2006/relationships/ctrlProp" Target="../ctrlProps/ctrlProp191.xml"/><Relationship Id="rId33" Type="http://schemas.openxmlformats.org/officeDocument/2006/relationships/ctrlProp" Target="../ctrlProps/ctrlProp190.xml"/><Relationship Id="rId32" Type="http://schemas.openxmlformats.org/officeDocument/2006/relationships/ctrlProp" Target="../ctrlProps/ctrlProp189.xml"/><Relationship Id="rId31" Type="http://schemas.openxmlformats.org/officeDocument/2006/relationships/ctrlProp" Target="../ctrlProps/ctrlProp188.xml"/><Relationship Id="rId30" Type="http://schemas.openxmlformats.org/officeDocument/2006/relationships/ctrlProp" Target="../ctrlProps/ctrlProp187.xml"/><Relationship Id="rId3" Type="http://schemas.openxmlformats.org/officeDocument/2006/relationships/vmlDrawing" Target="../drawings/vmlDrawing7.vml"/><Relationship Id="rId29" Type="http://schemas.openxmlformats.org/officeDocument/2006/relationships/ctrlProp" Target="../ctrlProps/ctrlProp186.xml"/><Relationship Id="rId28" Type="http://schemas.openxmlformats.org/officeDocument/2006/relationships/ctrlProp" Target="../ctrlProps/ctrlProp185.xml"/><Relationship Id="rId27" Type="http://schemas.openxmlformats.org/officeDocument/2006/relationships/ctrlProp" Target="../ctrlProps/ctrlProp184.xml"/><Relationship Id="rId26" Type="http://schemas.openxmlformats.org/officeDocument/2006/relationships/ctrlProp" Target="../ctrlProps/ctrlProp183.xml"/><Relationship Id="rId25" Type="http://schemas.openxmlformats.org/officeDocument/2006/relationships/ctrlProp" Target="../ctrlProps/ctrlProp182.xml"/><Relationship Id="rId24" Type="http://schemas.openxmlformats.org/officeDocument/2006/relationships/ctrlProp" Target="../ctrlProps/ctrlProp181.xml"/><Relationship Id="rId23" Type="http://schemas.openxmlformats.org/officeDocument/2006/relationships/ctrlProp" Target="../ctrlProps/ctrlProp180.xml"/><Relationship Id="rId22" Type="http://schemas.openxmlformats.org/officeDocument/2006/relationships/ctrlProp" Target="../ctrlProps/ctrlProp179.xml"/><Relationship Id="rId21" Type="http://schemas.openxmlformats.org/officeDocument/2006/relationships/ctrlProp" Target="../ctrlProps/ctrlProp178.xml"/><Relationship Id="rId20" Type="http://schemas.openxmlformats.org/officeDocument/2006/relationships/ctrlProp" Target="../ctrlProps/ctrlProp177.xml"/><Relationship Id="rId2" Type="http://schemas.openxmlformats.org/officeDocument/2006/relationships/drawing" Target="../drawings/drawing11.xml"/><Relationship Id="rId19" Type="http://schemas.openxmlformats.org/officeDocument/2006/relationships/ctrlProp" Target="../ctrlProps/ctrlProp176.xml"/><Relationship Id="rId18" Type="http://schemas.openxmlformats.org/officeDocument/2006/relationships/ctrlProp" Target="../ctrlProps/ctrlProp175.xml"/><Relationship Id="rId17" Type="http://schemas.openxmlformats.org/officeDocument/2006/relationships/ctrlProp" Target="../ctrlProps/ctrlProp174.xml"/><Relationship Id="rId16" Type="http://schemas.openxmlformats.org/officeDocument/2006/relationships/ctrlProp" Target="../ctrlProps/ctrlProp173.xml"/><Relationship Id="rId15" Type="http://schemas.openxmlformats.org/officeDocument/2006/relationships/ctrlProp" Target="../ctrlProps/ctrlProp172.xml"/><Relationship Id="rId14" Type="http://schemas.openxmlformats.org/officeDocument/2006/relationships/ctrlProp" Target="../ctrlProps/ctrlProp171.xml"/><Relationship Id="rId13" Type="http://schemas.openxmlformats.org/officeDocument/2006/relationships/ctrlProp" Target="../ctrlProps/ctrlProp170.xml"/><Relationship Id="rId12" Type="http://schemas.openxmlformats.org/officeDocument/2006/relationships/ctrlProp" Target="../ctrlProps/ctrlProp169.xml"/><Relationship Id="rId11" Type="http://schemas.openxmlformats.org/officeDocument/2006/relationships/ctrlProp" Target="../ctrlProps/ctrlProp168.xml"/><Relationship Id="rId10" Type="http://schemas.openxmlformats.org/officeDocument/2006/relationships/ctrlProp" Target="../ctrlProps/ctrlProp167.xml"/><Relationship Id="rId1"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9" Type="http://schemas.openxmlformats.org/officeDocument/2006/relationships/ctrlProp" Target="../ctrlProps/ctrlProp198.xml"/><Relationship Id="rId8" Type="http://schemas.openxmlformats.org/officeDocument/2006/relationships/ctrlProp" Target="../ctrlProps/ctrlProp197.xml"/><Relationship Id="rId7" Type="http://schemas.openxmlformats.org/officeDocument/2006/relationships/ctrlProp" Target="../ctrlProps/ctrlProp196.xml"/><Relationship Id="rId6" Type="http://schemas.openxmlformats.org/officeDocument/2006/relationships/ctrlProp" Target="../ctrlProps/ctrlProp195.xml"/><Relationship Id="rId5" Type="http://schemas.openxmlformats.org/officeDocument/2006/relationships/ctrlProp" Target="../ctrlProps/ctrlProp194.xml"/><Relationship Id="rId4" Type="http://schemas.openxmlformats.org/officeDocument/2006/relationships/ctrlProp" Target="../ctrlProps/ctrlProp193.xml"/><Relationship Id="rId35" Type="http://schemas.openxmlformats.org/officeDocument/2006/relationships/ctrlProp" Target="../ctrlProps/ctrlProp224.xml"/><Relationship Id="rId34" Type="http://schemas.openxmlformats.org/officeDocument/2006/relationships/ctrlProp" Target="../ctrlProps/ctrlProp223.xml"/><Relationship Id="rId33" Type="http://schemas.openxmlformats.org/officeDocument/2006/relationships/ctrlProp" Target="../ctrlProps/ctrlProp222.xml"/><Relationship Id="rId32" Type="http://schemas.openxmlformats.org/officeDocument/2006/relationships/ctrlProp" Target="../ctrlProps/ctrlProp221.xml"/><Relationship Id="rId31" Type="http://schemas.openxmlformats.org/officeDocument/2006/relationships/ctrlProp" Target="../ctrlProps/ctrlProp220.xml"/><Relationship Id="rId30" Type="http://schemas.openxmlformats.org/officeDocument/2006/relationships/ctrlProp" Target="../ctrlProps/ctrlProp219.xml"/><Relationship Id="rId3" Type="http://schemas.openxmlformats.org/officeDocument/2006/relationships/vmlDrawing" Target="../drawings/vmlDrawing8.vml"/><Relationship Id="rId29" Type="http://schemas.openxmlformats.org/officeDocument/2006/relationships/ctrlProp" Target="../ctrlProps/ctrlProp218.xml"/><Relationship Id="rId28" Type="http://schemas.openxmlformats.org/officeDocument/2006/relationships/ctrlProp" Target="../ctrlProps/ctrlProp217.xml"/><Relationship Id="rId27" Type="http://schemas.openxmlformats.org/officeDocument/2006/relationships/ctrlProp" Target="../ctrlProps/ctrlProp216.xml"/><Relationship Id="rId26" Type="http://schemas.openxmlformats.org/officeDocument/2006/relationships/ctrlProp" Target="../ctrlProps/ctrlProp215.xml"/><Relationship Id="rId25" Type="http://schemas.openxmlformats.org/officeDocument/2006/relationships/ctrlProp" Target="../ctrlProps/ctrlProp214.xml"/><Relationship Id="rId24" Type="http://schemas.openxmlformats.org/officeDocument/2006/relationships/ctrlProp" Target="../ctrlProps/ctrlProp213.xml"/><Relationship Id="rId23" Type="http://schemas.openxmlformats.org/officeDocument/2006/relationships/ctrlProp" Target="../ctrlProps/ctrlProp212.xml"/><Relationship Id="rId22" Type="http://schemas.openxmlformats.org/officeDocument/2006/relationships/ctrlProp" Target="../ctrlProps/ctrlProp211.xml"/><Relationship Id="rId21" Type="http://schemas.openxmlformats.org/officeDocument/2006/relationships/ctrlProp" Target="../ctrlProps/ctrlProp210.xml"/><Relationship Id="rId20" Type="http://schemas.openxmlformats.org/officeDocument/2006/relationships/ctrlProp" Target="../ctrlProps/ctrlProp209.xml"/><Relationship Id="rId2" Type="http://schemas.openxmlformats.org/officeDocument/2006/relationships/drawing" Target="../drawings/drawing12.xml"/><Relationship Id="rId19" Type="http://schemas.openxmlformats.org/officeDocument/2006/relationships/ctrlProp" Target="../ctrlProps/ctrlProp208.xml"/><Relationship Id="rId18" Type="http://schemas.openxmlformats.org/officeDocument/2006/relationships/ctrlProp" Target="../ctrlProps/ctrlProp207.xml"/><Relationship Id="rId17" Type="http://schemas.openxmlformats.org/officeDocument/2006/relationships/ctrlProp" Target="../ctrlProps/ctrlProp206.xml"/><Relationship Id="rId16" Type="http://schemas.openxmlformats.org/officeDocument/2006/relationships/ctrlProp" Target="../ctrlProps/ctrlProp205.xml"/><Relationship Id="rId15" Type="http://schemas.openxmlformats.org/officeDocument/2006/relationships/ctrlProp" Target="../ctrlProps/ctrlProp204.xml"/><Relationship Id="rId14" Type="http://schemas.openxmlformats.org/officeDocument/2006/relationships/ctrlProp" Target="../ctrlProps/ctrlProp203.xml"/><Relationship Id="rId13" Type="http://schemas.openxmlformats.org/officeDocument/2006/relationships/ctrlProp" Target="../ctrlProps/ctrlProp202.xml"/><Relationship Id="rId12" Type="http://schemas.openxmlformats.org/officeDocument/2006/relationships/ctrlProp" Target="../ctrlProps/ctrlProp201.xml"/><Relationship Id="rId11" Type="http://schemas.openxmlformats.org/officeDocument/2006/relationships/ctrlProp" Target="../ctrlProps/ctrlProp200.xml"/><Relationship Id="rId10" Type="http://schemas.openxmlformats.org/officeDocument/2006/relationships/ctrlProp" Target="../ctrlProps/ctrlProp199.xml"/><Relationship Id="rId1"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9" Type="http://schemas.openxmlformats.org/officeDocument/2006/relationships/ctrlProp" Target="../ctrlProps/ctrlProp230.xml"/><Relationship Id="rId8" Type="http://schemas.openxmlformats.org/officeDocument/2006/relationships/ctrlProp" Target="../ctrlProps/ctrlProp229.xml"/><Relationship Id="rId7" Type="http://schemas.openxmlformats.org/officeDocument/2006/relationships/ctrlProp" Target="../ctrlProps/ctrlProp228.xml"/><Relationship Id="rId6" Type="http://schemas.openxmlformats.org/officeDocument/2006/relationships/ctrlProp" Target="../ctrlProps/ctrlProp227.xml"/><Relationship Id="rId5" Type="http://schemas.openxmlformats.org/officeDocument/2006/relationships/ctrlProp" Target="../ctrlProps/ctrlProp226.xml"/><Relationship Id="rId4" Type="http://schemas.openxmlformats.org/officeDocument/2006/relationships/ctrlProp" Target="../ctrlProps/ctrlProp225.xml"/><Relationship Id="rId35" Type="http://schemas.openxmlformats.org/officeDocument/2006/relationships/ctrlProp" Target="../ctrlProps/ctrlProp256.xml"/><Relationship Id="rId34" Type="http://schemas.openxmlformats.org/officeDocument/2006/relationships/ctrlProp" Target="../ctrlProps/ctrlProp255.xml"/><Relationship Id="rId33" Type="http://schemas.openxmlformats.org/officeDocument/2006/relationships/ctrlProp" Target="../ctrlProps/ctrlProp254.xml"/><Relationship Id="rId32" Type="http://schemas.openxmlformats.org/officeDocument/2006/relationships/ctrlProp" Target="../ctrlProps/ctrlProp253.xml"/><Relationship Id="rId31" Type="http://schemas.openxmlformats.org/officeDocument/2006/relationships/ctrlProp" Target="../ctrlProps/ctrlProp252.xml"/><Relationship Id="rId30" Type="http://schemas.openxmlformats.org/officeDocument/2006/relationships/ctrlProp" Target="../ctrlProps/ctrlProp251.xml"/><Relationship Id="rId3" Type="http://schemas.openxmlformats.org/officeDocument/2006/relationships/vmlDrawing" Target="../drawings/vmlDrawing9.vml"/><Relationship Id="rId29" Type="http://schemas.openxmlformats.org/officeDocument/2006/relationships/ctrlProp" Target="../ctrlProps/ctrlProp250.xml"/><Relationship Id="rId28" Type="http://schemas.openxmlformats.org/officeDocument/2006/relationships/ctrlProp" Target="../ctrlProps/ctrlProp249.xml"/><Relationship Id="rId27" Type="http://schemas.openxmlformats.org/officeDocument/2006/relationships/ctrlProp" Target="../ctrlProps/ctrlProp248.xml"/><Relationship Id="rId26" Type="http://schemas.openxmlformats.org/officeDocument/2006/relationships/ctrlProp" Target="../ctrlProps/ctrlProp247.xml"/><Relationship Id="rId25" Type="http://schemas.openxmlformats.org/officeDocument/2006/relationships/ctrlProp" Target="../ctrlProps/ctrlProp246.xml"/><Relationship Id="rId24" Type="http://schemas.openxmlformats.org/officeDocument/2006/relationships/ctrlProp" Target="../ctrlProps/ctrlProp245.xml"/><Relationship Id="rId23" Type="http://schemas.openxmlformats.org/officeDocument/2006/relationships/ctrlProp" Target="../ctrlProps/ctrlProp244.xml"/><Relationship Id="rId22" Type="http://schemas.openxmlformats.org/officeDocument/2006/relationships/ctrlProp" Target="../ctrlProps/ctrlProp243.xml"/><Relationship Id="rId21" Type="http://schemas.openxmlformats.org/officeDocument/2006/relationships/ctrlProp" Target="../ctrlProps/ctrlProp242.xml"/><Relationship Id="rId20" Type="http://schemas.openxmlformats.org/officeDocument/2006/relationships/ctrlProp" Target="../ctrlProps/ctrlProp241.xml"/><Relationship Id="rId2" Type="http://schemas.openxmlformats.org/officeDocument/2006/relationships/drawing" Target="../drawings/drawing13.xml"/><Relationship Id="rId19" Type="http://schemas.openxmlformats.org/officeDocument/2006/relationships/ctrlProp" Target="../ctrlProps/ctrlProp240.xml"/><Relationship Id="rId18" Type="http://schemas.openxmlformats.org/officeDocument/2006/relationships/ctrlProp" Target="../ctrlProps/ctrlProp239.xml"/><Relationship Id="rId17" Type="http://schemas.openxmlformats.org/officeDocument/2006/relationships/ctrlProp" Target="../ctrlProps/ctrlProp238.xml"/><Relationship Id="rId16" Type="http://schemas.openxmlformats.org/officeDocument/2006/relationships/ctrlProp" Target="../ctrlProps/ctrlProp237.xml"/><Relationship Id="rId15" Type="http://schemas.openxmlformats.org/officeDocument/2006/relationships/ctrlProp" Target="../ctrlProps/ctrlProp236.xml"/><Relationship Id="rId14" Type="http://schemas.openxmlformats.org/officeDocument/2006/relationships/ctrlProp" Target="../ctrlProps/ctrlProp235.xml"/><Relationship Id="rId13" Type="http://schemas.openxmlformats.org/officeDocument/2006/relationships/ctrlProp" Target="../ctrlProps/ctrlProp234.xml"/><Relationship Id="rId12" Type="http://schemas.openxmlformats.org/officeDocument/2006/relationships/ctrlProp" Target="../ctrlProps/ctrlProp233.xml"/><Relationship Id="rId11" Type="http://schemas.openxmlformats.org/officeDocument/2006/relationships/ctrlProp" Target="../ctrlProps/ctrlProp232.xml"/><Relationship Id="rId10" Type="http://schemas.openxmlformats.org/officeDocument/2006/relationships/ctrlProp" Target="../ctrlProps/ctrlProp231.xml"/><Relationship Id="rId1" Type="http://schemas.openxmlformats.org/officeDocument/2006/relationships/comments" Target="../comments8.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2:I414"/>
  <sheetViews>
    <sheetView topLeftCell="A171" workbookViewId="0">
      <selection activeCell="A1" sqref="A1:I413"/>
    </sheetView>
  </sheetViews>
  <sheetFormatPr defaultColWidth="9" defaultRowHeight="13.5"/>
  <sheetData>
    <row r="2" spans="1:1">
      <c r="A2" s="816"/>
    </row>
    <row r="3" spans="1:1">
      <c r="A3" s="817" t="s">
        <v>0</v>
      </c>
    </row>
    <row r="4" spans="1:1">
      <c r="A4" s="817" t="s">
        <v>1</v>
      </c>
    </row>
    <row r="5" spans="1:1">
      <c r="A5" s="817" t="s">
        <v>2</v>
      </c>
    </row>
    <row r="6" spans="1:1">
      <c r="A6" s="817" t="s">
        <v>3</v>
      </c>
    </row>
    <row r="7" spans="1:1">
      <c r="A7" s="816"/>
    </row>
    <row r="8" spans="1:1">
      <c r="A8" s="818" t="s">
        <v>4</v>
      </c>
    </row>
    <row r="9" spans="1:1">
      <c r="A9" s="817" t="s">
        <v>5</v>
      </c>
    </row>
    <row r="11" spans="1:1">
      <c r="A11" s="819" t="s">
        <v>6</v>
      </c>
    </row>
    <row r="12" spans="1:1">
      <c r="A12" s="819" t="s">
        <v>7</v>
      </c>
    </row>
    <row r="13" spans="1:1">
      <c r="A13" s="819" t="s">
        <v>8</v>
      </c>
    </row>
    <row r="14" spans="1:1">
      <c r="A14" s="820" t="s">
        <v>9</v>
      </c>
    </row>
    <row r="16" ht="30.75" spans="1:1">
      <c r="A16" s="821" t="s">
        <v>10</v>
      </c>
    </row>
    <row r="17" spans="1:1">
      <c r="A17" s="816"/>
    </row>
    <row r="18" spans="1:1">
      <c r="A18" s="817" t="s">
        <v>11</v>
      </c>
    </row>
    <row r="19" spans="1:1">
      <c r="A19" s="817" t="s">
        <v>12</v>
      </c>
    </row>
    <row r="20" spans="1:1">
      <c r="A20" s="817" t="s">
        <v>13</v>
      </c>
    </row>
    <row r="21" spans="1:1">
      <c r="A21" s="817" t="s">
        <v>14</v>
      </c>
    </row>
    <row r="22" spans="1:1">
      <c r="A22" s="817" t="s">
        <v>15</v>
      </c>
    </row>
    <row r="23" spans="1:1">
      <c r="A23" s="817" t="s">
        <v>16</v>
      </c>
    </row>
    <row r="24" spans="1:1">
      <c r="A24" s="817" t="s">
        <v>17</v>
      </c>
    </row>
    <row r="25" spans="1:1">
      <c r="A25" s="817" t="s">
        <v>18</v>
      </c>
    </row>
    <row r="26" spans="1:1">
      <c r="A26" s="817" t="s">
        <v>19</v>
      </c>
    </row>
    <row r="27" spans="1:1">
      <c r="A27" s="817" t="s">
        <v>20</v>
      </c>
    </row>
    <row r="28" spans="1:1">
      <c r="A28" s="817" t="s">
        <v>21</v>
      </c>
    </row>
    <row r="30" ht="23.25" spans="1:1">
      <c r="A30" s="822" t="s">
        <v>11</v>
      </c>
    </row>
    <row r="32" spans="1:1">
      <c r="A32" s="819" t="s">
        <v>22</v>
      </c>
    </row>
    <row r="34" spans="1:1">
      <c r="A34" s="819" t="s">
        <v>23</v>
      </c>
    </row>
    <row r="36" spans="1:1">
      <c r="A36" s="819" t="s">
        <v>24</v>
      </c>
    </row>
    <row r="38" spans="1:1">
      <c r="A38" s="819" t="s">
        <v>25</v>
      </c>
    </row>
    <row r="40" spans="1:1">
      <c r="A40" s="819" t="s">
        <v>26</v>
      </c>
    </row>
    <row r="41" ht="15" customHeight="1"/>
    <row r="42" spans="1:1">
      <c r="A42" s="819" t="s">
        <v>27</v>
      </c>
    </row>
    <row r="44" spans="1:1">
      <c r="A44" s="820" t="s">
        <v>28</v>
      </c>
    </row>
    <row r="46" ht="23.25" spans="1:1">
      <c r="A46" s="822" t="s">
        <v>12</v>
      </c>
    </row>
    <row r="48" spans="1:1">
      <c r="A48" s="819" t="s">
        <v>29</v>
      </c>
    </row>
    <row r="50" spans="1:1">
      <c r="A50" s="819" t="s">
        <v>30</v>
      </c>
    </row>
    <row r="52" spans="1:1">
      <c r="A52" s="819" t="s">
        <v>31</v>
      </c>
    </row>
    <row r="54" spans="1:1">
      <c r="A54" s="819" t="s">
        <v>32</v>
      </c>
    </row>
    <row r="56" spans="1:1">
      <c r="A56" s="820" t="s">
        <v>28</v>
      </c>
    </row>
    <row r="58" ht="23.25" spans="1:1">
      <c r="A58" s="822" t="s">
        <v>13</v>
      </c>
    </row>
    <row r="60" spans="1:1">
      <c r="A60" s="819" t="s">
        <v>33</v>
      </c>
    </row>
    <row r="62" spans="1:1">
      <c r="A62" s="819" t="s">
        <v>34</v>
      </c>
    </row>
    <row r="63" ht="15" customHeight="1"/>
    <row r="64" ht="15" customHeight="1" spans="1:9">
      <c r="A64" s="823"/>
      <c r="B64" s="823" t="s">
        <v>35</v>
      </c>
      <c r="C64" s="823"/>
      <c r="D64" s="823"/>
      <c r="E64" s="823"/>
      <c r="F64" s="823" t="s">
        <v>36</v>
      </c>
      <c r="G64" s="823"/>
      <c r="H64" s="823"/>
      <c r="I64" s="823"/>
    </row>
    <row r="65" spans="1:9">
      <c r="A65" s="824" t="s">
        <v>37</v>
      </c>
      <c r="B65" s="824" t="s">
        <v>38</v>
      </c>
      <c r="C65" s="824" t="s">
        <v>39</v>
      </c>
      <c r="D65" s="824" t="s">
        <v>40</v>
      </c>
      <c r="E65" s="824" t="s">
        <v>41</v>
      </c>
      <c r="F65" s="824" t="s">
        <v>38</v>
      </c>
      <c r="G65" s="824" t="s">
        <v>39</v>
      </c>
      <c r="H65" s="824" t="s">
        <v>40</v>
      </c>
      <c r="I65" s="824" t="s">
        <v>41</v>
      </c>
    </row>
    <row r="66" spans="1:9">
      <c r="A66" s="824" t="s">
        <v>42</v>
      </c>
      <c r="B66" s="825">
        <v>2000</v>
      </c>
      <c r="C66" s="824">
        <v>500</v>
      </c>
      <c r="D66" s="825">
        <v>4000</v>
      </c>
      <c r="E66" s="825">
        <v>5000</v>
      </c>
      <c r="F66" s="825">
        <v>10000</v>
      </c>
      <c r="G66" s="825">
        <v>6000</v>
      </c>
      <c r="H66" s="825">
        <v>12000</v>
      </c>
      <c r="I66" s="825">
        <v>13000</v>
      </c>
    </row>
    <row r="67" spans="1:9">
      <c r="A67" s="824" t="s">
        <v>43</v>
      </c>
      <c r="B67" s="825">
        <v>1921</v>
      </c>
      <c r="C67" s="824">
        <v>579</v>
      </c>
      <c r="D67" s="825">
        <v>4000</v>
      </c>
      <c r="E67" s="825">
        <v>5000</v>
      </c>
      <c r="F67" s="825">
        <v>9789</v>
      </c>
      <c r="G67" s="825">
        <v>6211</v>
      </c>
      <c r="H67" s="825">
        <v>12000</v>
      </c>
      <c r="I67" s="825">
        <v>13000</v>
      </c>
    </row>
    <row r="68" ht="15" customHeight="1" spans="1:9">
      <c r="A68" s="824" t="s">
        <v>44</v>
      </c>
      <c r="B68" s="825">
        <v>1842</v>
      </c>
      <c r="C68" s="824">
        <v>658</v>
      </c>
      <c r="D68" s="825">
        <v>4000</v>
      </c>
      <c r="E68" s="825">
        <v>5000</v>
      </c>
      <c r="F68" s="825">
        <v>9579</v>
      </c>
      <c r="G68" s="825">
        <v>6421</v>
      </c>
      <c r="H68" s="825">
        <v>12000</v>
      </c>
      <c r="I68" s="825">
        <v>13000</v>
      </c>
    </row>
    <row r="69" spans="1:9">
      <c r="A69" s="824" t="s">
        <v>45</v>
      </c>
      <c r="B69" s="825">
        <v>1763</v>
      </c>
      <c r="C69" s="824">
        <v>737</v>
      </c>
      <c r="D69" s="825">
        <v>4000</v>
      </c>
      <c r="E69" s="825">
        <v>5000</v>
      </c>
      <c r="F69" s="825">
        <v>9368</v>
      </c>
      <c r="G69" s="825">
        <v>6632</v>
      </c>
      <c r="H69" s="825">
        <v>12000</v>
      </c>
      <c r="I69" s="825">
        <v>13000</v>
      </c>
    </row>
    <row r="70" spans="1:9">
      <c r="A70" s="824" t="s">
        <v>46</v>
      </c>
      <c r="B70" s="825">
        <v>1684</v>
      </c>
      <c r="C70" s="824">
        <v>816</v>
      </c>
      <c r="D70" s="825">
        <v>4000</v>
      </c>
      <c r="E70" s="825">
        <v>5000</v>
      </c>
      <c r="F70" s="825">
        <v>9158</v>
      </c>
      <c r="G70" s="825">
        <v>6842</v>
      </c>
      <c r="H70" s="825">
        <v>12000</v>
      </c>
      <c r="I70" s="825">
        <v>13000</v>
      </c>
    </row>
    <row r="71" spans="1:9">
      <c r="A71" s="824" t="s">
        <v>47</v>
      </c>
      <c r="B71" s="825">
        <v>1605</v>
      </c>
      <c r="C71" s="824">
        <v>895</v>
      </c>
      <c r="D71" s="825">
        <v>4000</v>
      </c>
      <c r="E71" s="825">
        <v>5000</v>
      </c>
      <c r="F71" s="825">
        <v>8947</v>
      </c>
      <c r="G71" s="825">
        <v>7053</v>
      </c>
      <c r="H71" s="825">
        <v>12000</v>
      </c>
      <c r="I71" s="825">
        <v>13000</v>
      </c>
    </row>
    <row r="72" spans="1:9">
      <c r="A72" s="824" t="s">
        <v>48</v>
      </c>
      <c r="B72" s="825">
        <v>1526</v>
      </c>
      <c r="C72" s="824">
        <v>974</v>
      </c>
      <c r="D72" s="825">
        <v>4000</v>
      </c>
      <c r="E72" s="825">
        <v>5000</v>
      </c>
      <c r="F72" s="825">
        <v>8737</v>
      </c>
      <c r="G72" s="825">
        <v>7263</v>
      </c>
      <c r="H72" s="825">
        <v>12000</v>
      </c>
      <c r="I72" s="825">
        <v>13000</v>
      </c>
    </row>
    <row r="73" spans="1:9">
      <c r="A73" s="824" t="s">
        <v>49</v>
      </c>
      <c r="B73" s="825">
        <v>1447</v>
      </c>
      <c r="C73" s="825">
        <v>1053</v>
      </c>
      <c r="D73" s="825">
        <v>4000</v>
      </c>
      <c r="E73" s="825">
        <v>5000</v>
      </c>
      <c r="F73" s="825">
        <v>8526</v>
      </c>
      <c r="G73" s="825">
        <v>7474</v>
      </c>
      <c r="H73" s="825">
        <v>12000</v>
      </c>
      <c r="I73" s="825">
        <v>13000</v>
      </c>
    </row>
    <row r="74" spans="1:9">
      <c r="A74" s="824" t="s">
        <v>50</v>
      </c>
      <c r="B74" s="825">
        <v>1368</v>
      </c>
      <c r="C74" s="825">
        <v>1132</v>
      </c>
      <c r="D74" s="825">
        <v>4000</v>
      </c>
      <c r="E74" s="825">
        <v>5000</v>
      </c>
      <c r="F74" s="825">
        <v>8316</v>
      </c>
      <c r="G74" s="825">
        <v>7684</v>
      </c>
      <c r="H74" s="825">
        <v>12000</v>
      </c>
      <c r="I74" s="825">
        <v>13000</v>
      </c>
    </row>
    <row r="75" spans="1:9">
      <c r="A75" s="824" t="s">
        <v>51</v>
      </c>
      <c r="B75" s="825">
        <v>1289</v>
      </c>
      <c r="C75" s="825">
        <v>1211</v>
      </c>
      <c r="D75" s="825">
        <v>4000</v>
      </c>
      <c r="E75" s="825">
        <v>5000</v>
      </c>
      <c r="F75" s="825">
        <v>8105</v>
      </c>
      <c r="G75" s="825">
        <v>7895</v>
      </c>
      <c r="H75" s="825">
        <v>12000</v>
      </c>
      <c r="I75" s="825">
        <v>13000</v>
      </c>
    </row>
    <row r="76" spans="1:9">
      <c r="A76" s="824" t="s">
        <v>52</v>
      </c>
      <c r="B76" s="825">
        <v>1211</v>
      </c>
      <c r="C76" s="825">
        <v>1289</v>
      </c>
      <c r="D76" s="825">
        <v>4000</v>
      </c>
      <c r="E76" s="825">
        <v>5000</v>
      </c>
      <c r="F76" s="825">
        <v>7895</v>
      </c>
      <c r="G76" s="825">
        <v>8105</v>
      </c>
      <c r="H76" s="825">
        <v>12000</v>
      </c>
      <c r="I76" s="825">
        <v>13000</v>
      </c>
    </row>
    <row r="77" spans="1:9">
      <c r="A77" s="824" t="s">
        <v>53</v>
      </c>
      <c r="B77" s="825">
        <v>1132</v>
      </c>
      <c r="C77" s="825">
        <v>1368</v>
      </c>
      <c r="D77" s="825">
        <v>4000</v>
      </c>
      <c r="E77" s="825">
        <v>5000</v>
      </c>
      <c r="F77" s="825">
        <v>7684</v>
      </c>
      <c r="G77" s="825">
        <v>8316</v>
      </c>
      <c r="H77" s="825">
        <v>12000</v>
      </c>
      <c r="I77" s="825">
        <v>13000</v>
      </c>
    </row>
    <row r="78" spans="1:9">
      <c r="A78" s="824" t="s">
        <v>54</v>
      </c>
      <c r="B78" s="825">
        <v>1053</v>
      </c>
      <c r="C78" s="825">
        <v>1447</v>
      </c>
      <c r="D78" s="825">
        <v>4000</v>
      </c>
      <c r="E78" s="825">
        <v>5000</v>
      </c>
      <c r="F78" s="825">
        <v>7474</v>
      </c>
      <c r="G78" s="825">
        <v>8526</v>
      </c>
      <c r="H78" s="825">
        <v>12000</v>
      </c>
      <c r="I78" s="825">
        <v>13000</v>
      </c>
    </row>
    <row r="79" spans="1:9">
      <c r="A79" s="824" t="s">
        <v>55</v>
      </c>
      <c r="B79" s="824">
        <v>974</v>
      </c>
      <c r="C79" s="825">
        <v>1526</v>
      </c>
      <c r="D79" s="825">
        <v>4000</v>
      </c>
      <c r="E79" s="825">
        <v>5000</v>
      </c>
      <c r="F79" s="825">
        <v>7263</v>
      </c>
      <c r="G79" s="825">
        <v>8737</v>
      </c>
      <c r="H79" s="825">
        <v>12000</v>
      </c>
      <c r="I79" s="825">
        <v>13000</v>
      </c>
    </row>
    <row r="80" spans="1:9">
      <c r="A80" s="824" t="s">
        <v>56</v>
      </c>
      <c r="B80" s="824">
        <v>895</v>
      </c>
      <c r="C80" s="825">
        <v>1605</v>
      </c>
      <c r="D80" s="825">
        <v>4000</v>
      </c>
      <c r="E80" s="825">
        <v>5000</v>
      </c>
      <c r="F80" s="825">
        <v>7053</v>
      </c>
      <c r="G80" s="825">
        <v>8947</v>
      </c>
      <c r="H80" s="825">
        <v>12000</v>
      </c>
      <c r="I80" s="825">
        <v>13000</v>
      </c>
    </row>
    <row r="81" spans="1:9">
      <c r="A81" s="824" t="s">
        <v>57</v>
      </c>
      <c r="B81" s="824">
        <v>816</v>
      </c>
      <c r="C81" s="825">
        <v>1684</v>
      </c>
      <c r="D81" s="825">
        <v>4000</v>
      </c>
      <c r="E81" s="825">
        <v>5000</v>
      </c>
      <c r="F81" s="825">
        <v>6842</v>
      </c>
      <c r="G81" s="825">
        <v>9158</v>
      </c>
      <c r="H81" s="825">
        <v>12000</v>
      </c>
      <c r="I81" s="825">
        <v>13000</v>
      </c>
    </row>
    <row r="82" spans="1:9">
      <c r="A82" s="824" t="s">
        <v>58</v>
      </c>
      <c r="B82" s="824">
        <v>737</v>
      </c>
      <c r="C82" s="825">
        <v>1763</v>
      </c>
      <c r="D82" s="825">
        <v>4000</v>
      </c>
      <c r="E82" s="825">
        <v>5000</v>
      </c>
      <c r="F82" s="825">
        <v>6632</v>
      </c>
      <c r="G82" s="825">
        <v>9368</v>
      </c>
      <c r="H82" s="825">
        <v>12000</v>
      </c>
      <c r="I82" s="825">
        <v>13000</v>
      </c>
    </row>
    <row r="83" spans="1:9">
      <c r="A83" s="824" t="s">
        <v>59</v>
      </c>
      <c r="B83" s="824">
        <v>658</v>
      </c>
      <c r="C83" s="825">
        <v>1842</v>
      </c>
      <c r="D83" s="825">
        <v>4000</v>
      </c>
      <c r="E83" s="825">
        <v>5000</v>
      </c>
      <c r="F83" s="825">
        <v>6421</v>
      </c>
      <c r="G83" s="825">
        <v>9579</v>
      </c>
      <c r="H83" s="825">
        <v>12000</v>
      </c>
      <c r="I83" s="825">
        <v>13000</v>
      </c>
    </row>
    <row r="84" spans="1:9">
      <c r="A84" s="824" t="s">
        <v>60</v>
      </c>
      <c r="B84" s="824">
        <v>579</v>
      </c>
      <c r="C84" s="825">
        <v>1921</v>
      </c>
      <c r="D84" s="825">
        <v>4000</v>
      </c>
      <c r="E84" s="825">
        <v>5000</v>
      </c>
      <c r="F84" s="825">
        <v>6211</v>
      </c>
      <c r="G84" s="825">
        <v>9789</v>
      </c>
      <c r="H84" s="825">
        <v>12000</v>
      </c>
      <c r="I84" s="825">
        <v>13000</v>
      </c>
    </row>
    <row r="85" spans="1:9">
      <c r="A85" s="824" t="s">
        <v>61</v>
      </c>
      <c r="B85" s="824">
        <v>500</v>
      </c>
      <c r="C85" s="825">
        <v>2000</v>
      </c>
      <c r="D85" s="825">
        <v>4000</v>
      </c>
      <c r="E85" s="825">
        <v>5000</v>
      </c>
      <c r="F85" s="825">
        <v>6000</v>
      </c>
      <c r="G85" s="825">
        <v>10000</v>
      </c>
      <c r="H85" s="825">
        <v>12000</v>
      </c>
      <c r="I85" s="825">
        <v>13000</v>
      </c>
    </row>
    <row r="87" ht="15" customHeight="1" spans="1:1">
      <c r="A87" s="819" t="s">
        <v>34</v>
      </c>
    </row>
    <row r="88" ht="15" customHeight="1"/>
    <row r="89" ht="15" customHeight="1" spans="1:9">
      <c r="A89" s="823"/>
      <c r="B89" s="823" t="s">
        <v>62</v>
      </c>
      <c r="C89" s="823"/>
      <c r="D89" s="823"/>
      <c r="E89" s="823"/>
      <c r="F89" s="823" t="s">
        <v>63</v>
      </c>
      <c r="G89" s="823"/>
      <c r="H89" s="823"/>
      <c r="I89" s="823"/>
    </row>
    <row r="90" spans="1:9">
      <c r="A90" s="824" t="s">
        <v>37</v>
      </c>
      <c r="B90" s="824" t="s">
        <v>38</v>
      </c>
      <c r="C90" s="824" t="s">
        <v>39</v>
      </c>
      <c r="D90" s="824" t="s">
        <v>40</v>
      </c>
      <c r="E90" s="824" t="s">
        <v>41</v>
      </c>
      <c r="F90" s="824" t="s">
        <v>38</v>
      </c>
      <c r="G90" s="824" t="s">
        <v>39</v>
      </c>
      <c r="H90" s="824" t="s">
        <v>40</v>
      </c>
      <c r="I90" s="824" t="s">
        <v>41</v>
      </c>
    </row>
    <row r="91" spans="1:9">
      <c r="A91" s="824" t="s">
        <v>42</v>
      </c>
      <c r="B91" s="825">
        <v>14000</v>
      </c>
      <c r="C91" s="825">
        <v>10000</v>
      </c>
      <c r="D91" s="825">
        <v>16000</v>
      </c>
      <c r="E91" s="825">
        <v>17000</v>
      </c>
      <c r="F91" s="825">
        <v>16000</v>
      </c>
      <c r="G91" s="825">
        <v>12000</v>
      </c>
      <c r="H91" s="825">
        <v>18000</v>
      </c>
      <c r="I91" s="825">
        <v>19000</v>
      </c>
    </row>
    <row r="92" spans="1:9">
      <c r="A92" s="824" t="s">
        <v>43</v>
      </c>
      <c r="B92" s="825">
        <v>13789</v>
      </c>
      <c r="C92" s="825">
        <v>10211</v>
      </c>
      <c r="D92" s="825">
        <v>16000</v>
      </c>
      <c r="E92" s="825">
        <v>17000</v>
      </c>
      <c r="F92" s="825">
        <v>15789</v>
      </c>
      <c r="G92" s="825">
        <v>12211</v>
      </c>
      <c r="H92" s="825">
        <v>18000</v>
      </c>
      <c r="I92" s="825">
        <v>19000</v>
      </c>
    </row>
    <row r="93" spans="1:9">
      <c r="A93" s="824" t="s">
        <v>44</v>
      </c>
      <c r="B93" s="825">
        <v>13579</v>
      </c>
      <c r="C93" s="825">
        <v>10421</v>
      </c>
      <c r="D93" s="825">
        <v>16000</v>
      </c>
      <c r="E93" s="825">
        <v>17000</v>
      </c>
      <c r="F93" s="825">
        <v>15579</v>
      </c>
      <c r="G93" s="825">
        <v>12421</v>
      </c>
      <c r="H93" s="825">
        <v>18000</v>
      </c>
      <c r="I93" s="825">
        <v>19000</v>
      </c>
    </row>
    <row r="94" spans="1:9">
      <c r="A94" s="824" t="s">
        <v>45</v>
      </c>
      <c r="B94" s="825">
        <v>13368</v>
      </c>
      <c r="C94" s="825">
        <v>10632</v>
      </c>
      <c r="D94" s="825">
        <v>16000</v>
      </c>
      <c r="E94" s="825">
        <v>17000</v>
      </c>
      <c r="F94" s="825">
        <v>15368</v>
      </c>
      <c r="G94" s="825">
        <v>12632</v>
      </c>
      <c r="H94" s="825">
        <v>18000</v>
      </c>
      <c r="I94" s="825">
        <v>19000</v>
      </c>
    </row>
    <row r="95" spans="1:9">
      <c r="A95" s="824" t="s">
        <v>46</v>
      </c>
      <c r="B95" s="825">
        <v>13158</v>
      </c>
      <c r="C95" s="825">
        <v>10842</v>
      </c>
      <c r="D95" s="825">
        <v>16000</v>
      </c>
      <c r="E95" s="825">
        <v>17000</v>
      </c>
      <c r="F95" s="825">
        <v>15158</v>
      </c>
      <c r="G95" s="825">
        <v>12842</v>
      </c>
      <c r="H95" s="825">
        <v>18000</v>
      </c>
      <c r="I95" s="825">
        <v>19000</v>
      </c>
    </row>
    <row r="96" spans="1:9">
      <c r="A96" s="824" t="s">
        <v>47</v>
      </c>
      <c r="B96" s="825">
        <v>12947</v>
      </c>
      <c r="C96" s="825">
        <v>11053</v>
      </c>
      <c r="D96" s="825">
        <v>16000</v>
      </c>
      <c r="E96" s="825">
        <v>17000</v>
      </c>
      <c r="F96" s="825">
        <v>14947</v>
      </c>
      <c r="G96" s="825">
        <v>13053</v>
      </c>
      <c r="H96" s="825">
        <v>18000</v>
      </c>
      <c r="I96" s="825">
        <v>19000</v>
      </c>
    </row>
    <row r="97" spans="1:9">
      <c r="A97" s="824" t="s">
        <v>48</v>
      </c>
      <c r="B97" s="825">
        <v>12737</v>
      </c>
      <c r="C97" s="825">
        <v>11263</v>
      </c>
      <c r="D97" s="825">
        <v>16000</v>
      </c>
      <c r="E97" s="825">
        <v>17000</v>
      </c>
      <c r="F97" s="825">
        <v>14737</v>
      </c>
      <c r="G97" s="825">
        <v>13263</v>
      </c>
      <c r="H97" s="825">
        <v>18000</v>
      </c>
      <c r="I97" s="825">
        <v>19000</v>
      </c>
    </row>
    <row r="98" spans="1:9">
      <c r="A98" s="824" t="s">
        <v>49</v>
      </c>
      <c r="B98" s="825">
        <v>12526</v>
      </c>
      <c r="C98" s="825">
        <v>11474</v>
      </c>
      <c r="D98" s="825">
        <v>16000</v>
      </c>
      <c r="E98" s="825">
        <v>17000</v>
      </c>
      <c r="F98" s="825">
        <v>14526</v>
      </c>
      <c r="G98" s="825">
        <v>13474</v>
      </c>
      <c r="H98" s="825">
        <v>18000</v>
      </c>
      <c r="I98" s="825">
        <v>19000</v>
      </c>
    </row>
    <row r="99" spans="1:9">
      <c r="A99" s="824" t="s">
        <v>50</v>
      </c>
      <c r="B99" s="825">
        <v>12316</v>
      </c>
      <c r="C99" s="825">
        <v>11684</v>
      </c>
      <c r="D99" s="825">
        <v>16000</v>
      </c>
      <c r="E99" s="825">
        <v>17000</v>
      </c>
      <c r="F99" s="825">
        <v>14316</v>
      </c>
      <c r="G99" s="825">
        <v>13684</v>
      </c>
      <c r="H99" s="825">
        <v>18000</v>
      </c>
      <c r="I99" s="825">
        <v>19000</v>
      </c>
    </row>
    <row r="100" spans="1:9">
      <c r="A100" s="824" t="s">
        <v>51</v>
      </c>
      <c r="B100" s="825">
        <v>12105</v>
      </c>
      <c r="C100" s="825">
        <v>11895</v>
      </c>
      <c r="D100" s="825">
        <v>16000</v>
      </c>
      <c r="E100" s="825">
        <v>17000</v>
      </c>
      <c r="F100" s="825">
        <v>14105</v>
      </c>
      <c r="G100" s="825">
        <v>13895</v>
      </c>
      <c r="H100" s="825">
        <v>18000</v>
      </c>
      <c r="I100" s="825">
        <v>19000</v>
      </c>
    </row>
    <row r="101" spans="1:9">
      <c r="A101" s="824" t="s">
        <v>52</v>
      </c>
      <c r="B101" s="825">
        <v>11895</v>
      </c>
      <c r="C101" s="825">
        <v>12105</v>
      </c>
      <c r="D101" s="825">
        <v>16000</v>
      </c>
      <c r="E101" s="825">
        <v>17000</v>
      </c>
      <c r="F101" s="825">
        <v>13895</v>
      </c>
      <c r="G101" s="825">
        <v>14105</v>
      </c>
      <c r="H101" s="825">
        <v>18000</v>
      </c>
      <c r="I101" s="825">
        <v>19000</v>
      </c>
    </row>
    <row r="102" spans="1:9">
      <c r="A102" s="824" t="s">
        <v>53</v>
      </c>
      <c r="B102" s="825">
        <v>11684</v>
      </c>
      <c r="C102" s="825">
        <v>12316</v>
      </c>
      <c r="D102" s="825">
        <v>16000</v>
      </c>
      <c r="E102" s="825">
        <v>17000</v>
      </c>
      <c r="F102" s="825">
        <v>13684</v>
      </c>
      <c r="G102" s="825">
        <v>14316</v>
      </c>
      <c r="H102" s="825">
        <v>18000</v>
      </c>
      <c r="I102" s="825">
        <v>19000</v>
      </c>
    </row>
    <row r="103" spans="1:9">
      <c r="A103" s="824" t="s">
        <v>54</v>
      </c>
      <c r="B103" s="825">
        <v>11474</v>
      </c>
      <c r="C103" s="825">
        <v>12526</v>
      </c>
      <c r="D103" s="825">
        <v>16000</v>
      </c>
      <c r="E103" s="825">
        <v>17000</v>
      </c>
      <c r="F103" s="825">
        <v>13474</v>
      </c>
      <c r="G103" s="825">
        <v>14526</v>
      </c>
      <c r="H103" s="825">
        <v>18000</v>
      </c>
      <c r="I103" s="825">
        <v>19000</v>
      </c>
    </row>
    <row r="104" spans="1:9">
      <c r="A104" s="824" t="s">
        <v>55</v>
      </c>
      <c r="B104" s="825">
        <v>11263</v>
      </c>
      <c r="C104" s="825">
        <v>12737</v>
      </c>
      <c r="D104" s="825">
        <v>16000</v>
      </c>
      <c r="E104" s="825">
        <v>17000</v>
      </c>
      <c r="F104" s="825">
        <v>13263</v>
      </c>
      <c r="G104" s="825">
        <v>14737</v>
      </c>
      <c r="H104" s="825">
        <v>18000</v>
      </c>
      <c r="I104" s="825">
        <v>19000</v>
      </c>
    </row>
    <row r="105" spans="1:9">
      <c r="A105" s="824" t="s">
        <v>56</v>
      </c>
      <c r="B105" s="825">
        <v>11053</v>
      </c>
      <c r="C105" s="825">
        <v>12947</v>
      </c>
      <c r="D105" s="825">
        <v>16000</v>
      </c>
      <c r="E105" s="825">
        <v>17000</v>
      </c>
      <c r="F105" s="825">
        <v>13053</v>
      </c>
      <c r="G105" s="825">
        <v>14947</v>
      </c>
      <c r="H105" s="825">
        <v>18000</v>
      </c>
      <c r="I105" s="825">
        <v>19000</v>
      </c>
    </row>
    <row r="106" spans="1:9">
      <c r="A106" s="824" t="s">
        <v>57</v>
      </c>
      <c r="B106" s="825">
        <v>10842</v>
      </c>
      <c r="C106" s="825">
        <v>13158</v>
      </c>
      <c r="D106" s="825">
        <v>16000</v>
      </c>
      <c r="E106" s="825">
        <v>17000</v>
      </c>
      <c r="F106" s="825">
        <v>12842</v>
      </c>
      <c r="G106" s="825">
        <v>15158</v>
      </c>
      <c r="H106" s="825">
        <v>18000</v>
      </c>
      <c r="I106" s="825">
        <v>19000</v>
      </c>
    </row>
    <row r="107" spans="1:9">
      <c r="A107" s="824" t="s">
        <v>58</v>
      </c>
      <c r="B107" s="825">
        <v>10632</v>
      </c>
      <c r="C107" s="825">
        <v>13368</v>
      </c>
      <c r="D107" s="825">
        <v>16000</v>
      </c>
      <c r="E107" s="825">
        <v>17000</v>
      </c>
      <c r="F107" s="825">
        <v>12632</v>
      </c>
      <c r="G107" s="825">
        <v>15368</v>
      </c>
      <c r="H107" s="825">
        <v>18000</v>
      </c>
      <c r="I107" s="825">
        <v>19000</v>
      </c>
    </row>
    <row r="108" spans="1:9">
      <c r="A108" s="824" t="s">
        <v>59</v>
      </c>
      <c r="B108" s="825">
        <v>10421</v>
      </c>
      <c r="C108" s="825">
        <v>13579</v>
      </c>
      <c r="D108" s="825">
        <v>16000</v>
      </c>
      <c r="E108" s="825">
        <v>17000</v>
      </c>
      <c r="F108" s="825">
        <v>12421</v>
      </c>
      <c r="G108" s="825">
        <v>15579</v>
      </c>
      <c r="H108" s="825">
        <v>18000</v>
      </c>
      <c r="I108" s="825">
        <v>19000</v>
      </c>
    </row>
    <row r="109" spans="1:9">
      <c r="A109" s="824" t="s">
        <v>60</v>
      </c>
      <c r="B109" s="825">
        <v>10211</v>
      </c>
      <c r="C109" s="825">
        <v>13789</v>
      </c>
      <c r="D109" s="825">
        <v>16000</v>
      </c>
      <c r="E109" s="825">
        <v>17000</v>
      </c>
      <c r="F109" s="825">
        <v>12211</v>
      </c>
      <c r="G109" s="825">
        <v>15789</v>
      </c>
      <c r="H109" s="825">
        <v>18000</v>
      </c>
      <c r="I109" s="825">
        <v>19000</v>
      </c>
    </row>
    <row r="110" ht="15" customHeight="1" spans="1:9">
      <c r="A110" s="824" t="s">
        <v>61</v>
      </c>
      <c r="B110" s="825">
        <v>10000</v>
      </c>
      <c r="C110" s="825">
        <v>14000</v>
      </c>
      <c r="D110" s="825">
        <v>16000</v>
      </c>
      <c r="E110" s="825">
        <v>17000</v>
      </c>
      <c r="F110" s="825">
        <v>12000</v>
      </c>
      <c r="G110" s="825">
        <v>16000</v>
      </c>
      <c r="H110" s="825">
        <v>18000</v>
      </c>
      <c r="I110" s="825">
        <v>19000</v>
      </c>
    </row>
    <row r="112" ht="15" customHeight="1" spans="1:1">
      <c r="A112" s="819" t="s">
        <v>64</v>
      </c>
    </row>
    <row r="114" spans="1:1">
      <c r="A114" s="819" t="s">
        <v>65</v>
      </c>
    </row>
    <row r="115" ht="15" customHeight="1"/>
    <row r="116" ht="15" customHeight="1" spans="1:9">
      <c r="A116" s="823"/>
      <c r="B116" s="823" t="s">
        <v>35</v>
      </c>
      <c r="C116" s="823"/>
      <c r="D116" s="823"/>
      <c r="E116" s="823"/>
      <c r="F116" s="823" t="s">
        <v>36</v>
      </c>
      <c r="G116" s="823"/>
      <c r="H116" s="823"/>
      <c r="I116" s="823"/>
    </row>
    <row r="117" spans="1:9">
      <c r="A117" s="824" t="s">
        <v>37</v>
      </c>
      <c r="B117" s="824" t="s">
        <v>38</v>
      </c>
      <c r="C117" s="824" t="s">
        <v>39</v>
      </c>
      <c r="D117" s="824" t="s">
        <v>40</v>
      </c>
      <c r="E117" s="824" t="s">
        <v>41</v>
      </c>
      <c r="F117" s="824" t="s">
        <v>38</v>
      </c>
      <c r="G117" s="824" t="s">
        <v>39</v>
      </c>
      <c r="H117" s="824" t="s">
        <v>40</v>
      </c>
      <c r="I117" s="824" t="s">
        <v>41</v>
      </c>
    </row>
    <row r="118" spans="1:9">
      <c r="A118" s="824" t="s">
        <v>42</v>
      </c>
      <c r="B118" s="824">
        <v>100</v>
      </c>
      <c r="C118" s="824">
        <v>25</v>
      </c>
      <c r="D118" s="824">
        <v>200</v>
      </c>
      <c r="E118" s="824">
        <v>250</v>
      </c>
      <c r="F118" s="824">
        <v>500</v>
      </c>
      <c r="G118" s="824">
        <v>300</v>
      </c>
      <c r="H118" s="824">
        <v>600</v>
      </c>
      <c r="I118" s="824">
        <v>650</v>
      </c>
    </row>
    <row r="119" spans="1:9">
      <c r="A119" s="824" t="s">
        <v>43</v>
      </c>
      <c r="B119" s="824">
        <v>96</v>
      </c>
      <c r="C119" s="824">
        <v>29</v>
      </c>
      <c r="D119" s="824">
        <v>200</v>
      </c>
      <c r="E119" s="824">
        <v>250</v>
      </c>
      <c r="F119" s="824">
        <v>489</v>
      </c>
      <c r="G119" s="824">
        <v>311</v>
      </c>
      <c r="H119" s="824">
        <v>600</v>
      </c>
      <c r="I119" s="824">
        <v>650</v>
      </c>
    </row>
    <row r="120" spans="1:9">
      <c r="A120" s="824" t="s">
        <v>44</v>
      </c>
      <c r="B120" s="824">
        <v>92</v>
      </c>
      <c r="C120" s="824">
        <v>33</v>
      </c>
      <c r="D120" s="824">
        <v>200</v>
      </c>
      <c r="E120" s="824">
        <v>250</v>
      </c>
      <c r="F120" s="824">
        <v>479</v>
      </c>
      <c r="G120" s="824">
        <v>321</v>
      </c>
      <c r="H120" s="824">
        <v>600</v>
      </c>
      <c r="I120" s="824">
        <v>650</v>
      </c>
    </row>
    <row r="121" spans="1:9">
      <c r="A121" s="824" t="s">
        <v>45</v>
      </c>
      <c r="B121" s="824">
        <v>88</v>
      </c>
      <c r="C121" s="824">
        <v>37</v>
      </c>
      <c r="D121" s="824">
        <v>200</v>
      </c>
      <c r="E121" s="824">
        <v>250</v>
      </c>
      <c r="F121" s="824">
        <v>468</v>
      </c>
      <c r="G121" s="824">
        <v>332</v>
      </c>
      <c r="H121" s="824">
        <v>600</v>
      </c>
      <c r="I121" s="824">
        <v>650</v>
      </c>
    </row>
    <row r="122" spans="1:9">
      <c r="A122" s="824" t="s">
        <v>46</v>
      </c>
      <c r="B122" s="824">
        <v>84</v>
      </c>
      <c r="C122" s="824">
        <v>41</v>
      </c>
      <c r="D122" s="824">
        <v>200</v>
      </c>
      <c r="E122" s="824">
        <v>250</v>
      </c>
      <c r="F122" s="824">
        <v>458</v>
      </c>
      <c r="G122" s="824">
        <v>342</v>
      </c>
      <c r="H122" s="824">
        <v>600</v>
      </c>
      <c r="I122" s="824">
        <v>650</v>
      </c>
    </row>
    <row r="123" spans="1:9">
      <c r="A123" s="824" t="s">
        <v>47</v>
      </c>
      <c r="B123" s="824">
        <v>80</v>
      </c>
      <c r="C123" s="824">
        <v>45</v>
      </c>
      <c r="D123" s="824">
        <v>200</v>
      </c>
      <c r="E123" s="824">
        <v>250</v>
      </c>
      <c r="F123" s="824">
        <v>447</v>
      </c>
      <c r="G123" s="824">
        <v>353</v>
      </c>
      <c r="H123" s="824">
        <v>600</v>
      </c>
      <c r="I123" s="824">
        <v>650</v>
      </c>
    </row>
    <row r="124" spans="1:9">
      <c r="A124" s="824" t="s">
        <v>48</v>
      </c>
      <c r="B124" s="824">
        <v>76</v>
      </c>
      <c r="C124" s="824">
        <v>49</v>
      </c>
      <c r="D124" s="824">
        <v>200</v>
      </c>
      <c r="E124" s="824">
        <v>250</v>
      </c>
      <c r="F124" s="824">
        <v>437</v>
      </c>
      <c r="G124" s="824">
        <v>363</v>
      </c>
      <c r="H124" s="824">
        <v>600</v>
      </c>
      <c r="I124" s="824">
        <v>650</v>
      </c>
    </row>
    <row r="125" spans="1:9">
      <c r="A125" s="824" t="s">
        <v>49</v>
      </c>
      <c r="B125" s="824">
        <v>72</v>
      </c>
      <c r="C125" s="824">
        <v>53</v>
      </c>
      <c r="D125" s="824">
        <v>200</v>
      </c>
      <c r="E125" s="824">
        <v>250</v>
      </c>
      <c r="F125" s="824">
        <v>426</v>
      </c>
      <c r="G125" s="824">
        <v>374</v>
      </c>
      <c r="H125" s="824">
        <v>600</v>
      </c>
      <c r="I125" s="824">
        <v>650</v>
      </c>
    </row>
    <row r="126" spans="1:9">
      <c r="A126" s="824" t="s">
        <v>50</v>
      </c>
      <c r="B126" s="824">
        <v>68</v>
      </c>
      <c r="C126" s="824">
        <v>57</v>
      </c>
      <c r="D126" s="824">
        <v>200</v>
      </c>
      <c r="E126" s="824">
        <v>250</v>
      </c>
      <c r="F126" s="824">
        <v>416</v>
      </c>
      <c r="G126" s="824">
        <v>384</v>
      </c>
      <c r="H126" s="824">
        <v>600</v>
      </c>
      <c r="I126" s="824">
        <v>650</v>
      </c>
    </row>
    <row r="127" spans="1:9">
      <c r="A127" s="824" t="s">
        <v>51</v>
      </c>
      <c r="B127" s="824">
        <v>64</v>
      </c>
      <c r="C127" s="824">
        <v>61</v>
      </c>
      <c r="D127" s="824">
        <v>200</v>
      </c>
      <c r="E127" s="824">
        <v>250</v>
      </c>
      <c r="F127" s="824">
        <v>405</v>
      </c>
      <c r="G127" s="824">
        <v>395</v>
      </c>
      <c r="H127" s="824">
        <v>600</v>
      </c>
      <c r="I127" s="824">
        <v>650</v>
      </c>
    </row>
    <row r="128" spans="1:9">
      <c r="A128" s="824" t="s">
        <v>52</v>
      </c>
      <c r="B128" s="824">
        <v>61</v>
      </c>
      <c r="C128" s="824">
        <v>64</v>
      </c>
      <c r="D128" s="824">
        <v>200</v>
      </c>
      <c r="E128" s="824">
        <v>250</v>
      </c>
      <c r="F128" s="824">
        <v>395</v>
      </c>
      <c r="G128" s="824">
        <v>405</v>
      </c>
      <c r="H128" s="824">
        <v>600</v>
      </c>
      <c r="I128" s="824">
        <v>650</v>
      </c>
    </row>
    <row r="129" spans="1:9">
      <c r="A129" s="824" t="s">
        <v>53</v>
      </c>
      <c r="B129" s="824">
        <v>57</v>
      </c>
      <c r="C129" s="824">
        <v>68</v>
      </c>
      <c r="D129" s="824">
        <v>200</v>
      </c>
      <c r="E129" s="824">
        <v>250</v>
      </c>
      <c r="F129" s="824">
        <v>384</v>
      </c>
      <c r="G129" s="824">
        <v>416</v>
      </c>
      <c r="H129" s="824">
        <v>600</v>
      </c>
      <c r="I129" s="824">
        <v>650</v>
      </c>
    </row>
    <row r="130" spans="1:9">
      <c r="A130" s="824" t="s">
        <v>54</v>
      </c>
      <c r="B130" s="824">
        <v>53</v>
      </c>
      <c r="C130" s="824">
        <v>72</v>
      </c>
      <c r="D130" s="824">
        <v>200</v>
      </c>
      <c r="E130" s="824">
        <v>250</v>
      </c>
      <c r="F130" s="824">
        <v>374</v>
      </c>
      <c r="G130" s="824">
        <v>426</v>
      </c>
      <c r="H130" s="824">
        <v>600</v>
      </c>
      <c r="I130" s="824">
        <v>650</v>
      </c>
    </row>
    <row r="131" spans="1:9">
      <c r="A131" s="824" t="s">
        <v>55</v>
      </c>
      <c r="B131" s="824">
        <v>49</v>
      </c>
      <c r="C131" s="824">
        <v>76</v>
      </c>
      <c r="D131" s="824">
        <v>200</v>
      </c>
      <c r="E131" s="824">
        <v>250</v>
      </c>
      <c r="F131" s="824">
        <v>363</v>
      </c>
      <c r="G131" s="824">
        <v>437</v>
      </c>
      <c r="H131" s="824">
        <v>600</v>
      </c>
      <c r="I131" s="824">
        <v>650</v>
      </c>
    </row>
    <row r="132" spans="1:9">
      <c r="A132" s="824" t="s">
        <v>56</v>
      </c>
      <c r="B132" s="824">
        <v>45</v>
      </c>
      <c r="C132" s="824">
        <v>80</v>
      </c>
      <c r="D132" s="824">
        <v>200</v>
      </c>
      <c r="E132" s="824">
        <v>250</v>
      </c>
      <c r="F132" s="824">
        <v>353</v>
      </c>
      <c r="G132" s="824">
        <v>447</v>
      </c>
      <c r="H132" s="824">
        <v>600</v>
      </c>
      <c r="I132" s="824">
        <v>650</v>
      </c>
    </row>
    <row r="133" ht="15" customHeight="1" spans="1:9">
      <c r="A133" s="824" t="s">
        <v>57</v>
      </c>
      <c r="B133" s="824">
        <v>41</v>
      </c>
      <c r="C133" s="824">
        <v>84</v>
      </c>
      <c r="D133" s="824">
        <v>200</v>
      </c>
      <c r="E133" s="824">
        <v>250</v>
      </c>
      <c r="F133" s="824">
        <v>342</v>
      </c>
      <c r="G133" s="824">
        <v>458</v>
      </c>
      <c r="H133" s="824">
        <v>600</v>
      </c>
      <c r="I133" s="824">
        <v>650</v>
      </c>
    </row>
    <row r="134" spans="1:9">
      <c r="A134" s="824" t="s">
        <v>58</v>
      </c>
      <c r="B134" s="824">
        <v>37</v>
      </c>
      <c r="C134" s="824">
        <v>88</v>
      </c>
      <c r="D134" s="824">
        <v>200</v>
      </c>
      <c r="E134" s="824">
        <v>250</v>
      </c>
      <c r="F134" s="824">
        <v>332</v>
      </c>
      <c r="G134" s="824">
        <v>468</v>
      </c>
      <c r="H134" s="824">
        <v>600</v>
      </c>
      <c r="I134" s="824">
        <v>650</v>
      </c>
    </row>
    <row r="135" spans="1:9">
      <c r="A135" s="824" t="s">
        <v>59</v>
      </c>
      <c r="B135" s="824">
        <v>33</v>
      </c>
      <c r="C135" s="824">
        <v>92</v>
      </c>
      <c r="D135" s="824">
        <v>200</v>
      </c>
      <c r="E135" s="824">
        <v>250</v>
      </c>
      <c r="F135" s="824">
        <v>321</v>
      </c>
      <c r="G135" s="824">
        <v>479</v>
      </c>
      <c r="H135" s="824">
        <v>600</v>
      </c>
      <c r="I135" s="824">
        <v>650</v>
      </c>
    </row>
    <row r="136" spans="1:9">
      <c r="A136" s="824" t="s">
        <v>60</v>
      </c>
      <c r="B136" s="824">
        <v>29</v>
      </c>
      <c r="C136" s="824">
        <v>96</v>
      </c>
      <c r="D136" s="824">
        <v>200</v>
      </c>
      <c r="E136" s="824">
        <v>250</v>
      </c>
      <c r="F136" s="824">
        <v>311</v>
      </c>
      <c r="G136" s="824">
        <v>489</v>
      </c>
      <c r="H136" s="824">
        <v>600</v>
      </c>
      <c r="I136" s="824">
        <v>650</v>
      </c>
    </row>
    <row r="137" spans="1:9">
      <c r="A137" s="824" t="s">
        <v>61</v>
      </c>
      <c r="B137" s="824">
        <v>25</v>
      </c>
      <c r="C137" s="824">
        <v>100</v>
      </c>
      <c r="D137" s="824">
        <v>200</v>
      </c>
      <c r="E137" s="824">
        <v>250</v>
      </c>
      <c r="F137" s="824">
        <v>300</v>
      </c>
      <c r="G137" s="824">
        <v>500</v>
      </c>
      <c r="H137" s="824">
        <v>600</v>
      </c>
      <c r="I137" s="824">
        <v>650</v>
      </c>
    </row>
    <row r="139" spans="1:1">
      <c r="A139" s="819" t="s">
        <v>65</v>
      </c>
    </row>
    <row r="140" ht="15" customHeight="1"/>
    <row r="141" ht="15" customHeight="1" spans="1:9">
      <c r="A141" s="823"/>
      <c r="B141" s="823" t="s">
        <v>62</v>
      </c>
      <c r="C141" s="823"/>
      <c r="D141" s="823"/>
      <c r="E141" s="823"/>
      <c r="F141" s="823" t="s">
        <v>63</v>
      </c>
      <c r="G141" s="823"/>
      <c r="H141" s="823"/>
      <c r="I141" s="823"/>
    </row>
    <row r="142" spans="1:9">
      <c r="A142" s="824" t="s">
        <v>37</v>
      </c>
      <c r="B142" s="824" t="s">
        <v>38</v>
      </c>
      <c r="C142" s="824" t="s">
        <v>39</v>
      </c>
      <c r="D142" s="824" t="s">
        <v>40</v>
      </c>
      <c r="E142" s="824" t="s">
        <v>41</v>
      </c>
      <c r="F142" s="824" t="s">
        <v>38</v>
      </c>
      <c r="G142" s="824" t="s">
        <v>39</v>
      </c>
      <c r="H142" s="824" t="s">
        <v>40</v>
      </c>
      <c r="I142" s="824" t="s">
        <v>41</v>
      </c>
    </row>
    <row r="143" spans="1:9">
      <c r="A143" s="824" t="s">
        <v>42</v>
      </c>
      <c r="B143" s="824">
        <v>700</v>
      </c>
      <c r="C143" s="824">
        <v>500</v>
      </c>
      <c r="D143" s="824">
        <v>800</v>
      </c>
      <c r="E143" s="824">
        <v>850</v>
      </c>
      <c r="F143" s="824">
        <v>800</v>
      </c>
      <c r="G143" s="824">
        <v>600</v>
      </c>
      <c r="H143" s="826">
        <v>1000</v>
      </c>
      <c r="I143" s="826">
        <v>1050</v>
      </c>
    </row>
    <row r="144" spans="1:9">
      <c r="A144" s="824" t="s">
        <v>43</v>
      </c>
      <c r="B144" s="824">
        <v>689</v>
      </c>
      <c r="C144" s="824">
        <v>511</v>
      </c>
      <c r="D144" s="824">
        <v>800</v>
      </c>
      <c r="E144" s="824">
        <v>850</v>
      </c>
      <c r="F144" s="824">
        <v>789</v>
      </c>
      <c r="G144" s="824">
        <v>611</v>
      </c>
      <c r="H144" s="826">
        <v>1000</v>
      </c>
      <c r="I144" s="826">
        <v>1050</v>
      </c>
    </row>
    <row r="145" spans="1:9">
      <c r="A145" s="824" t="s">
        <v>44</v>
      </c>
      <c r="B145" s="824">
        <v>679</v>
      </c>
      <c r="C145" s="824">
        <v>521</v>
      </c>
      <c r="D145" s="824">
        <v>800</v>
      </c>
      <c r="E145" s="824">
        <v>850</v>
      </c>
      <c r="F145" s="824">
        <v>779</v>
      </c>
      <c r="G145" s="824">
        <v>621</v>
      </c>
      <c r="H145" s="826">
        <v>1000</v>
      </c>
      <c r="I145" s="826">
        <v>1050</v>
      </c>
    </row>
    <row r="146" spans="1:9">
      <c r="A146" s="824" t="s">
        <v>45</v>
      </c>
      <c r="B146" s="824">
        <v>668</v>
      </c>
      <c r="C146" s="824">
        <v>532</v>
      </c>
      <c r="D146" s="824">
        <v>800</v>
      </c>
      <c r="E146" s="824">
        <v>850</v>
      </c>
      <c r="F146" s="824">
        <v>768</v>
      </c>
      <c r="G146" s="824">
        <v>632</v>
      </c>
      <c r="H146" s="826">
        <v>1000</v>
      </c>
      <c r="I146" s="826">
        <v>1050</v>
      </c>
    </row>
    <row r="147" spans="1:9">
      <c r="A147" s="824" t="s">
        <v>46</v>
      </c>
      <c r="B147" s="824">
        <v>658</v>
      </c>
      <c r="C147" s="824">
        <v>542</v>
      </c>
      <c r="D147" s="824">
        <v>800</v>
      </c>
      <c r="E147" s="824">
        <v>850</v>
      </c>
      <c r="F147" s="824">
        <v>758</v>
      </c>
      <c r="G147" s="824">
        <v>642</v>
      </c>
      <c r="H147" s="826">
        <v>1000</v>
      </c>
      <c r="I147" s="826">
        <v>1050</v>
      </c>
    </row>
    <row r="148" spans="1:9">
      <c r="A148" s="824" t="s">
        <v>47</v>
      </c>
      <c r="B148" s="824">
        <v>647</v>
      </c>
      <c r="C148" s="824">
        <v>553</v>
      </c>
      <c r="D148" s="824">
        <v>800</v>
      </c>
      <c r="E148" s="824">
        <v>850</v>
      </c>
      <c r="F148" s="824">
        <v>747</v>
      </c>
      <c r="G148" s="824">
        <v>653</v>
      </c>
      <c r="H148" s="826">
        <v>1000</v>
      </c>
      <c r="I148" s="826">
        <v>1050</v>
      </c>
    </row>
    <row r="149" spans="1:9">
      <c r="A149" s="824" t="s">
        <v>48</v>
      </c>
      <c r="B149" s="824">
        <v>637</v>
      </c>
      <c r="C149" s="824">
        <v>563</v>
      </c>
      <c r="D149" s="824">
        <v>800</v>
      </c>
      <c r="E149" s="824">
        <v>850</v>
      </c>
      <c r="F149" s="824">
        <v>737</v>
      </c>
      <c r="G149" s="824">
        <v>663</v>
      </c>
      <c r="H149" s="826">
        <v>1000</v>
      </c>
      <c r="I149" s="826">
        <v>1050</v>
      </c>
    </row>
    <row r="150" spans="1:9">
      <c r="A150" s="824" t="s">
        <v>49</v>
      </c>
      <c r="B150" s="824">
        <v>626</v>
      </c>
      <c r="C150" s="824">
        <v>574</v>
      </c>
      <c r="D150" s="824">
        <v>800</v>
      </c>
      <c r="E150" s="824">
        <v>850</v>
      </c>
      <c r="F150" s="824">
        <v>726</v>
      </c>
      <c r="G150" s="824">
        <v>674</v>
      </c>
      <c r="H150" s="826">
        <v>1000</v>
      </c>
      <c r="I150" s="826">
        <v>1050</v>
      </c>
    </row>
    <row r="151" spans="1:9">
      <c r="A151" s="824" t="s">
        <v>50</v>
      </c>
      <c r="B151" s="824">
        <v>616</v>
      </c>
      <c r="C151" s="824">
        <v>584</v>
      </c>
      <c r="D151" s="824">
        <v>800</v>
      </c>
      <c r="E151" s="824">
        <v>850</v>
      </c>
      <c r="F151" s="824">
        <v>716</v>
      </c>
      <c r="G151" s="824">
        <v>684</v>
      </c>
      <c r="H151" s="826">
        <v>1000</v>
      </c>
      <c r="I151" s="826">
        <v>1050</v>
      </c>
    </row>
    <row r="152" spans="1:9">
      <c r="A152" s="824" t="s">
        <v>51</v>
      </c>
      <c r="B152" s="824">
        <v>605</v>
      </c>
      <c r="C152" s="824">
        <v>595</v>
      </c>
      <c r="D152" s="824">
        <v>800</v>
      </c>
      <c r="E152" s="824">
        <v>850</v>
      </c>
      <c r="F152" s="824">
        <v>705</v>
      </c>
      <c r="G152" s="824">
        <v>695</v>
      </c>
      <c r="H152" s="826">
        <v>1000</v>
      </c>
      <c r="I152" s="826">
        <v>1050</v>
      </c>
    </row>
    <row r="153" spans="1:9">
      <c r="A153" s="824" t="s">
        <v>52</v>
      </c>
      <c r="B153" s="824">
        <v>595</v>
      </c>
      <c r="C153" s="824">
        <v>605</v>
      </c>
      <c r="D153" s="824">
        <v>800</v>
      </c>
      <c r="E153" s="824">
        <v>850</v>
      </c>
      <c r="F153" s="824">
        <v>695</v>
      </c>
      <c r="G153" s="824">
        <v>705</v>
      </c>
      <c r="H153" s="826">
        <v>1000</v>
      </c>
      <c r="I153" s="826">
        <v>1050</v>
      </c>
    </row>
    <row r="154" spans="1:9">
      <c r="A154" s="824" t="s">
        <v>53</v>
      </c>
      <c r="B154" s="824">
        <v>584</v>
      </c>
      <c r="C154" s="824">
        <v>616</v>
      </c>
      <c r="D154" s="824">
        <v>800</v>
      </c>
      <c r="E154" s="824">
        <v>850</v>
      </c>
      <c r="F154" s="824">
        <v>684</v>
      </c>
      <c r="G154" s="824">
        <v>716</v>
      </c>
      <c r="H154" s="826">
        <v>1000</v>
      </c>
      <c r="I154" s="826">
        <v>1050</v>
      </c>
    </row>
    <row r="155" spans="1:9">
      <c r="A155" s="824" t="s">
        <v>54</v>
      </c>
      <c r="B155" s="824">
        <v>574</v>
      </c>
      <c r="C155" s="824">
        <v>626</v>
      </c>
      <c r="D155" s="824">
        <v>800</v>
      </c>
      <c r="E155" s="824">
        <v>850</v>
      </c>
      <c r="F155" s="824">
        <v>674</v>
      </c>
      <c r="G155" s="824">
        <v>726</v>
      </c>
      <c r="H155" s="826">
        <v>1000</v>
      </c>
      <c r="I155" s="826">
        <v>1050</v>
      </c>
    </row>
    <row r="156" spans="1:9">
      <c r="A156" s="824" t="s">
        <v>55</v>
      </c>
      <c r="B156" s="824">
        <v>563</v>
      </c>
      <c r="C156" s="824">
        <v>637</v>
      </c>
      <c r="D156" s="824">
        <v>800</v>
      </c>
      <c r="E156" s="824">
        <v>850</v>
      </c>
      <c r="F156" s="824">
        <v>663</v>
      </c>
      <c r="G156" s="824">
        <v>737</v>
      </c>
      <c r="H156" s="826">
        <v>1000</v>
      </c>
      <c r="I156" s="826">
        <v>1050</v>
      </c>
    </row>
    <row r="157" spans="1:9">
      <c r="A157" s="824" t="s">
        <v>56</v>
      </c>
      <c r="B157" s="824">
        <v>553</v>
      </c>
      <c r="C157" s="824">
        <v>647</v>
      </c>
      <c r="D157" s="824">
        <v>800</v>
      </c>
      <c r="E157" s="824">
        <v>850</v>
      </c>
      <c r="F157" s="824">
        <v>653</v>
      </c>
      <c r="G157" s="824">
        <v>747</v>
      </c>
      <c r="H157" s="826">
        <v>1000</v>
      </c>
      <c r="I157" s="826">
        <v>1050</v>
      </c>
    </row>
    <row r="158" spans="1:9">
      <c r="A158" s="824" t="s">
        <v>57</v>
      </c>
      <c r="B158" s="824">
        <v>542</v>
      </c>
      <c r="C158" s="824">
        <v>658</v>
      </c>
      <c r="D158" s="824">
        <v>800</v>
      </c>
      <c r="E158" s="824">
        <v>850</v>
      </c>
      <c r="F158" s="824">
        <v>642</v>
      </c>
      <c r="G158" s="824">
        <v>758</v>
      </c>
      <c r="H158" s="826">
        <v>1000</v>
      </c>
      <c r="I158" s="826">
        <v>1050</v>
      </c>
    </row>
    <row r="159" spans="1:9">
      <c r="A159" s="824" t="s">
        <v>58</v>
      </c>
      <c r="B159" s="824">
        <v>532</v>
      </c>
      <c r="C159" s="824">
        <v>668</v>
      </c>
      <c r="D159" s="824">
        <v>800</v>
      </c>
      <c r="E159" s="824">
        <v>850</v>
      </c>
      <c r="F159" s="824">
        <v>632</v>
      </c>
      <c r="G159" s="824">
        <v>768</v>
      </c>
      <c r="H159" s="826">
        <v>1000</v>
      </c>
      <c r="I159" s="826">
        <v>1050</v>
      </c>
    </row>
    <row r="160" spans="1:9">
      <c r="A160" s="824" t="s">
        <v>59</v>
      </c>
      <c r="B160" s="824">
        <v>521</v>
      </c>
      <c r="C160" s="824">
        <v>679</v>
      </c>
      <c r="D160" s="824">
        <v>800</v>
      </c>
      <c r="E160" s="824">
        <v>850</v>
      </c>
      <c r="F160" s="824">
        <v>621</v>
      </c>
      <c r="G160" s="824">
        <v>779</v>
      </c>
      <c r="H160" s="826">
        <v>1000</v>
      </c>
      <c r="I160" s="826">
        <v>1050</v>
      </c>
    </row>
    <row r="161" spans="1:9">
      <c r="A161" s="824" t="s">
        <v>60</v>
      </c>
      <c r="B161" s="824">
        <v>511</v>
      </c>
      <c r="C161" s="824">
        <v>689</v>
      </c>
      <c r="D161" s="824">
        <v>800</v>
      </c>
      <c r="E161" s="824">
        <v>850</v>
      </c>
      <c r="F161" s="824">
        <v>611</v>
      </c>
      <c r="G161" s="824">
        <v>789</v>
      </c>
      <c r="H161" s="826">
        <v>1000</v>
      </c>
      <c r="I161" s="826">
        <v>1050</v>
      </c>
    </row>
    <row r="162" spans="1:9">
      <c r="A162" s="824" t="s">
        <v>61</v>
      </c>
      <c r="B162" s="824">
        <v>500</v>
      </c>
      <c r="C162" s="824">
        <v>700</v>
      </c>
      <c r="D162" s="824">
        <v>800</v>
      </c>
      <c r="E162" s="824">
        <v>850</v>
      </c>
      <c r="F162" s="824">
        <v>600</v>
      </c>
      <c r="G162" s="824">
        <v>800</v>
      </c>
      <c r="H162" s="826">
        <v>1000</v>
      </c>
      <c r="I162" s="826">
        <v>1050</v>
      </c>
    </row>
    <row r="164" spans="1:1">
      <c r="A164" s="819" t="s">
        <v>66</v>
      </c>
    </row>
    <row r="166" spans="1:1">
      <c r="A166" s="820" t="s">
        <v>28</v>
      </c>
    </row>
    <row r="168" ht="23.25" spans="1:1">
      <c r="A168" s="822" t="s">
        <v>14</v>
      </c>
    </row>
    <row r="170" ht="17.25" spans="1:1">
      <c r="A170" s="827" t="s">
        <v>67</v>
      </c>
    </row>
    <row r="172" spans="1:1">
      <c r="A172" s="819" t="s">
        <v>68</v>
      </c>
    </row>
    <row r="174" spans="1:2">
      <c r="A174" s="824" t="s">
        <v>35</v>
      </c>
      <c r="B174" s="824" t="s">
        <v>69</v>
      </c>
    </row>
    <row r="175" spans="1:2">
      <c r="A175" s="824" t="s">
        <v>36</v>
      </c>
      <c r="B175" s="824" t="s">
        <v>70</v>
      </c>
    </row>
    <row r="176" spans="1:2">
      <c r="A176" s="824" t="s">
        <v>62</v>
      </c>
      <c r="B176" s="824" t="s">
        <v>71</v>
      </c>
    </row>
    <row r="177" spans="1:2">
      <c r="A177" s="824" t="s">
        <v>63</v>
      </c>
      <c r="B177" s="824" t="s">
        <v>72</v>
      </c>
    </row>
    <row r="179" spans="1:1">
      <c r="A179" s="819" t="s">
        <v>73</v>
      </c>
    </row>
    <row r="181" ht="17.25" spans="1:1">
      <c r="A181" s="827" t="s">
        <v>74</v>
      </c>
    </row>
    <row r="183" spans="1:1">
      <c r="A183" s="819" t="s">
        <v>75</v>
      </c>
    </row>
    <row r="185" spans="1:5">
      <c r="A185" s="823"/>
      <c r="B185" s="823" t="s">
        <v>35</v>
      </c>
      <c r="C185" s="823" t="s">
        <v>36</v>
      </c>
      <c r="D185" s="823" t="s">
        <v>62</v>
      </c>
      <c r="E185" s="823" t="s">
        <v>63</v>
      </c>
    </row>
    <row r="186" spans="1:5">
      <c r="A186" s="824" t="s">
        <v>38</v>
      </c>
      <c r="B186" s="828">
        <v>0.3</v>
      </c>
      <c r="C186" s="828">
        <v>0.35</v>
      </c>
      <c r="D186" s="828">
        <v>0.4</v>
      </c>
      <c r="E186" s="828">
        <v>0.4</v>
      </c>
    </row>
    <row r="187" spans="1:5">
      <c r="A187" s="824" t="s">
        <v>39</v>
      </c>
      <c r="B187" s="828">
        <v>0.3</v>
      </c>
      <c r="C187" s="828">
        <v>0.35</v>
      </c>
      <c r="D187" s="828">
        <v>0.4</v>
      </c>
      <c r="E187" s="828">
        <v>0.4</v>
      </c>
    </row>
    <row r="188" spans="1:5">
      <c r="A188" s="824" t="s">
        <v>40</v>
      </c>
      <c r="B188" s="828">
        <v>0.2</v>
      </c>
      <c r="C188" s="828">
        <v>0.25</v>
      </c>
      <c r="D188" s="828">
        <v>0.3</v>
      </c>
      <c r="E188" s="828">
        <v>0.3</v>
      </c>
    </row>
    <row r="189" spans="1:5">
      <c r="A189" s="824" t="s">
        <v>41</v>
      </c>
      <c r="B189" s="828">
        <v>0.22</v>
      </c>
      <c r="C189" s="828">
        <v>0.28</v>
      </c>
      <c r="D189" s="828">
        <v>0.25</v>
      </c>
      <c r="E189" s="828">
        <v>0.25</v>
      </c>
    </row>
    <row r="191" spans="1:1">
      <c r="A191" s="819" t="s">
        <v>76</v>
      </c>
    </row>
    <row r="193" spans="1:1">
      <c r="A193" s="820" t="s">
        <v>28</v>
      </c>
    </row>
    <row r="195" ht="23.25" spans="1:1">
      <c r="A195" s="822" t="s">
        <v>15</v>
      </c>
    </row>
    <row r="197" ht="17.25" spans="1:1">
      <c r="A197" s="827" t="s">
        <v>77</v>
      </c>
    </row>
    <row r="199" spans="1:5">
      <c r="A199" s="823"/>
      <c r="B199" s="823" t="s">
        <v>35</v>
      </c>
      <c r="C199" s="823" t="s">
        <v>36</v>
      </c>
      <c r="D199" s="823" t="s">
        <v>62</v>
      </c>
      <c r="E199" s="823" t="s">
        <v>63</v>
      </c>
    </row>
    <row r="200" ht="25.5" spans="1:5">
      <c r="A200" s="824" t="s">
        <v>78</v>
      </c>
      <c r="B200" s="824">
        <v>100</v>
      </c>
      <c r="C200" s="824">
        <v>200</v>
      </c>
      <c r="D200" s="824">
        <v>400</v>
      </c>
      <c r="E200" s="824">
        <v>500</v>
      </c>
    </row>
    <row r="201" ht="25.5" spans="1:5">
      <c r="A201" s="824" t="s">
        <v>79</v>
      </c>
      <c r="B201" s="824">
        <v>150</v>
      </c>
      <c r="C201" s="824">
        <v>250</v>
      </c>
      <c r="D201" s="824">
        <v>180</v>
      </c>
      <c r="E201" s="824">
        <v>160</v>
      </c>
    </row>
    <row r="202" ht="25.5" spans="1:5">
      <c r="A202" s="824" t="s">
        <v>80</v>
      </c>
      <c r="B202" s="824">
        <v>300</v>
      </c>
      <c r="C202" s="824">
        <v>1500</v>
      </c>
      <c r="D202" s="824">
        <v>2000</v>
      </c>
      <c r="E202" s="824">
        <v>3000</v>
      </c>
    </row>
    <row r="204" ht="17.25" spans="1:1">
      <c r="A204" s="827" t="s">
        <v>81</v>
      </c>
    </row>
    <row r="206" spans="1:1">
      <c r="A206" s="819" t="s">
        <v>82</v>
      </c>
    </row>
    <row r="208" spans="1:1">
      <c r="A208" s="819" t="s">
        <v>83</v>
      </c>
    </row>
    <row r="210" spans="1:1">
      <c r="A210" s="819" t="s">
        <v>84</v>
      </c>
    </row>
    <row r="212" spans="1:1">
      <c r="A212" s="819" t="s">
        <v>85</v>
      </c>
    </row>
    <row r="214" spans="1:1">
      <c r="A214" s="819" t="s">
        <v>86</v>
      </c>
    </row>
    <row r="216" ht="17.25" spans="1:1">
      <c r="A216" s="827" t="s">
        <v>87</v>
      </c>
    </row>
    <row r="218" spans="1:1">
      <c r="A218" s="819" t="s">
        <v>88</v>
      </c>
    </row>
    <row r="220" spans="1:1">
      <c r="A220" s="819" t="s">
        <v>89</v>
      </c>
    </row>
    <row r="222" spans="1:1">
      <c r="A222" s="819" t="s">
        <v>90</v>
      </c>
    </row>
    <row r="224" spans="1:1">
      <c r="A224" s="819" t="s">
        <v>91</v>
      </c>
    </row>
    <row r="226" ht="17.25" spans="1:1">
      <c r="A226" s="827" t="s">
        <v>92</v>
      </c>
    </row>
    <row r="228" ht="15.75" spans="1:1">
      <c r="A228" s="829" t="s">
        <v>93</v>
      </c>
    </row>
    <row r="230" spans="1:1">
      <c r="A230" s="819" t="s">
        <v>94</v>
      </c>
    </row>
    <row r="232" spans="1:2">
      <c r="A232" s="824" t="s">
        <v>95</v>
      </c>
      <c r="B232" s="824" t="s">
        <v>96</v>
      </c>
    </row>
    <row r="233" spans="1:2">
      <c r="A233" s="824">
        <v>2000000</v>
      </c>
      <c r="B233" s="824">
        <v>0.93</v>
      </c>
    </row>
    <row r="234" spans="1:2">
      <c r="A234" s="824">
        <v>1500000</v>
      </c>
      <c r="B234" s="824">
        <v>0.95</v>
      </c>
    </row>
    <row r="235" spans="1:2">
      <c r="A235" s="824">
        <v>1000000</v>
      </c>
      <c r="B235" s="824">
        <v>0.97</v>
      </c>
    </row>
    <row r="236" spans="1:2">
      <c r="A236" s="824">
        <v>0</v>
      </c>
      <c r="B236" s="824">
        <v>1</v>
      </c>
    </row>
    <row r="238" ht="15.75" spans="1:1">
      <c r="A238" s="829" t="s">
        <v>97</v>
      </c>
    </row>
    <row r="240" spans="1:1">
      <c r="A240" s="819" t="s">
        <v>98</v>
      </c>
    </row>
    <row r="242" ht="15.75" spans="1:1">
      <c r="A242" s="829" t="s">
        <v>99</v>
      </c>
    </row>
    <row r="244" spans="1:1">
      <c r="A244" s="819" t="s">
        <v>100</v>
      </c>
    </row>
    <row r="246" ht="17.25" spans="1:1">
      <c r="A246" s="827" t="s">
        <v>101</v>
      </c>
    </row>
    <row r="248" ht="15.75" spans="1:1">
      <c r="A248" s="829" t="s">
        <v>101</v>
      </c>
    </row>
    <row r="250" spans="1:1">
      <c r="A250" s="819" t="s">
        <v>102</v>
      </c>
    </row>
    <row r="252" spans="1:3">
      <c r="A252" s="823"/>
      <c r="B252" s="823" t="s">
        <v>103</v>
      </c>
      <c r="C252" s="823" t="s">
        <v>104</v>
      </c>
    </row>
    <row r="253" spans="1:3">
      <c r="A253" s="823" t="s">
        <v>35</v>
      </c>
      <c r="B253" s="824">
        <v>4000</v>
      </c>
      <c r="C253" s="824">
        <v>5000</v>
      </c>
    </row>
    <row r="254" spans="1:3">
      <c r="A254" s="823" t="s">
        <v>36</v>
      </c>
      <c r="B254" s="824">
        <v>6000</v>
      </c>
      <c r="C254" s="824">
        <v>7000</v>
      </c>
    </row>
    <row r="255" spans="1:3">
      <c r="A255" s="823" t="s">
        <v>62</v>
      </c>
      <c r="B255" s="824">
        <v>8000</v>
      </c>
      <c r="C255" s="824">
        <v>9000</v>
      </c>
    </row>
    <row r="256" spans="1:3">
      <c r="A256" s="823" t="s">
        <v>63</v>
      </c>
      <c r="B256" s="824">
        <v>8000</v>
      </c>
      <c r="C256" s="824">
        <v>9000</v>
      </c>
    </row>
    <row r="258" ht="15.75" spans="1:1">
      <c r="A258" s="829" t="s">
        <v>105</v>
      </c>
    </row>
    <row r="260" spans="1:1">
      <c r="A260" s="819" t="s">
        <v>106</v>
      </c>
    </row>
    <row r="262" spans="1:1">
      <c r="A262" s="820" t="s">
        <v>28</v>
      </c>
    </row>
    <row r="264" ht="23.25" spans="1:1">
      <c r="A264" s="822" t="s">
        <v>16</v>
      </c>
    </row>
    <row r="266" ht="17.25" spans="1:1">
      <c r="A266" s="827" t="s">
        <v>107</v>
      </c>
    </row>
    <row r="268" spans="1:1">
      <c r="A268" s="819" t="s">
        <v>108</v>
      </c>
    </row>
    <row r="270" spans="1:1">
      <c r="A270" s="819" t="s">
        <v>109</v>
      </c>
    </row>
    <row r="272" ht="17.25" spans="1:1">
      <c r="A272" s="827" t="s">
        <v>110</v>
      </c>
    </row>
    <row r="274" spans="1:1">
      <c r="A274" s="819" t="s">
        <v>111</v>
      </c>
    </row>
    <row r="276" spans="1:6">
      <c r="A276" s="738"/>
      <c r="B276" s="824" t="s">
        <v>112</v>
      </c>
      <c r="C276" s="824" t="s">
        <v>113</v>
      </c>
      <c r="D276" s="824" t="s">
        <v>114</v>
      </c>
      <c r="E276" s="824" t="s">
        <v>115</v>
      </c>
      <c r="F276" s="824" t="s">
        <v>116</v>
      </c>
    </row>
    <row r="277" spans="1:6">
      <c r="A277" s="824" t="s">
        <v>35</v>
      </c>
      <c r="B277" s="826">
        <v>100000</v>
      </c>
      <c r="C277" s="826">
        <v>200000</v>
      </c>
      <c r="D277" s="826">
        <v>300000</v>
      </c>
      <c r="E277" s="826">
        <v>400000</v>
      </c>
      <c r="F277" s="826">
        <v>500000</v>
      </c>
    </row>
    <row r="278" spans="1:6">
      <c r="A278" s="824" t="s">
        <v>36</v>
      </c>
      <c r="B278" s="826">
        <v>200000</v>
      </c>
      <c r="C278" s="826">
        <v>350000</v>
      </c>
      <c r="D278" s="826">
        <v>480000</v>
      </c>
      <c r="E278" s="826">
        <v>600000</v>
      </c>
      <c r="F278" s="826">
        <v>700000</v>
      </c>
    </row>
    <row r="279" spans="1:6">
      <c r="A279" s="824" t="s">
        <v>62</v>
      </c>
      <c r="B279" s="826">
        <v>300000</v>
      </c>
      <c r="C279" s="826">
        <v>450000</v>
      </c>
      <c r="D279" s="826">
        <v>580000</v>
      </c>
      <c r="E279" s="826">
        <v>700000</v>
      </c>
      <c r="F279" s="826">
        <v>800000</v>
      </c>
    </row>
    <row r="280" spans="1:6">
      <c r="A280" s="824" t="s">
        <v>63</v>
      </c>
      <c r="B280" s="826">
        <v>500000</v>
      </c>
      <c r="C280" s="826">
        <v>600000</v>
      </c>
      <c r="D280" s="826">
        <v>700000</v>
      </c>
      <c r="E280" s="826">
        <v>850000</v>
      </c>
      <c r="F280" s="826">
        <v>1000000</v>
      </c>
    </row>
    <row r="282" spans="1:1">
      <c r="A282" s="819" t="s">
        <v>117</v>
      </c>
    </row>
    <row r="284" spans="1:1">
      <c r="A284" s="819" t="s">
        <v>118</v>
      </c>
    </row>
    <row r="286" spans="1:1">
      <c r="A286" s="819" t="s">
        <v>119</v>
      </c>
    </row>
    <row r="288" spans="1:1">
      <c r="A288" s="820" t="s">
        <v>28</v>
      </c>
    </row>
    <row r="290" ht="23.25" spans="1:1">
      <c r="A290" s="822" t="s">
        <v>17</v>
      </c>
    </row>
    <row r="292" ht="17.25" spans="1:1">
      <c r="A292" s="827" t="s">
        <v>120</v>
      </c>
    </row>
    <row r="294" spans="1:1">
      <c r="A294" s="819" t="s">
        <v>121</v>
      </c>
    </row>
    <row r="296" ht="17.25" spans="1:1">
      <c r="A296" s="827" t="s">
        <v>122</v>
      </c>
    </row>
    <row r="298" spans="1:1">
      <c r="A298" s="819" t="s">
        <v>123</v>
      </c>
    </row>
    <row r="300" ht="17.25" spans="1:1">
      <c r="A300" s="827" t="s">
        <v>124</v>
      </c>
    </row>
    <row r="302" ht="15.75" spans="1:1">
      <c r="A302" s="829" t="s">
        <v>125</v>
      </c>
    </row>
    <row r="304" spans="1:1">
      <c r="A304" s="819" t="s">
        <v>126</v>
      </c>
    </row>
    <row r="306" spans="1:1">
      <c r="A306" s="819" t="s">
        <v>127</v>
      </c>
    </row>
    <row r="308" spans="1:1">
      <c r="A308" s="819" t="s">
        <v>128</v>
      </c>
    </row>
    <row r="310" spans="1:1">
      <c r="A310" s="819" t="s">
        <v>129</v>
      </c>
    </row>
    <row r="312" spans="1:1">
      <c r="A312" s="819" t="s">
        <v>130</v>
      </c>
    </row>
    <row r="314" ht="15.75" spans="1:1">
      <c r="A314" s="829" t="s">
        <v>131</v>
      </c>
    </row>
    <row r="316" spans="1:1">
      <c r="A316" s="819" t="s">
        <v>132</v>
      </c>
    </row>
    <row r="318" spans="1:1">
      <c r="A318" s="819" t="s">
        <v>133</v>
      </c>
    </row>
    <row r="320" spans="1:1">
      <c r="A320" s="819" t="s">
        <v>134</v>
      </c>
    </row>
    <row r="322" spans="1:1">
      <c r="A322" s="820" t="s">
        <v>28</v>
      </c>
    </row>
    <row r="324" ht="23.25" spans="1:1">
      <c r="A324" s="822" t="s">
        <v>18</v>
      </c>
    </row>
    <row r="326" ht="17.25" spans="1:1">
      <c r="A326" s="827" t="s">
        <v>135</v>
      </c>
    </row>
    <row r="328" spans="1:1">
      <c r="A328" s="819" t="s">
        <v>136</v>
      </c>
    </row>
    <row r="330" spans="1:1">
      <c r="A330" s="819" t="s">
        <v>137</v>
      </c>
    </row>
    <row r="332" spans="1:1">
      <c r="A332" s="819" t="s">
        <v>138</v>
      </c>
    </row>
    <row r="334" spans="1:1">
      <c r="A334" s="819" t="s">
        <v>139</v>
      </c>
    </row>
    <row r="336" ht="17.25" spans="1:1">
      <c r="A336" s="827" t="s">
        <v>140</v>
      </c>
    </row>
    <row r="338" spans="1:1">
      <c r="A338" s="819" t="s">
        <v>141</v>
      </c>
    </row>
    <row r="340" ht="17.25" spans="1:1">
      <c r="A340" s="827" t="s">
        <v>142</v>
      </c>
    </row>
    <row r="342" spans="1:1">
      <c r="A342" s="819" t="s">
        <v>143</v>
      </c>
    </row>
    <row r="344" spans="1:1">
      <c r="A344" s="820" t="s">
        <v>28</v>
      </c>
    </row>
    <row r="346" ht="23.25" spans="1:1">
      <c r="A346" s="822" t="s">
        <v>19</v>
      </c>
    </row>
    <row r="348" ht="17.25" spans="1:1">
      <c r="A348" s="827" t="s">
        <v>144</v>
      </c>
    </row>
    <row r="350" spans="1:1">
      <c r="A350" s="819" t="s">
        <v>145</v>
      </c>
    </row>
    <row r="352" spans="1:1">
      <c r="A352" s="819" t="s">
        <v>146</v>
      </c>
    </row>
    <row r="354" spans="1:1">
      <c r="A354" s="819" t="s">
        <v>147</v>
      </c>
    </row>
    <row r="356" ht="17.25" spans="1:1">
      <c r="A356" s="827" t="s">
        <v>148</v>
      </c>
    </row>
    <row r="358" ht="15.75" spans="1:1">
      <c r="A358" s="829" t="s">
        <v>149</v>
      </c>
    </row>
    <row r="360" spans="1:1">
      <c r="A360" s="819" t="s">
        <v>150</v>
      </c>
    </row>
    <row r="362" spans="1:1">
      <c r="A362" s="819" t="s">
        <v>151</v>
      </c>
    </row>
    <row r="364" ht="17.25" spans="1:1">
      <c r="A364" s="827" t="s">
        <v>152</v>
      </c>
    </row>
    <row r="366" spans="1:1">
      <c r="A366" s="819" t="s">
        <v>153</v>
      </c>
    </row>
    <row r="368" spans="1:1">
      <c r="A368" s="820" t="s">
        <v>28</v>
      </c>
    </row>
    <row r="370" ht="23.25" spans="1:1">
      <c r="A370" s="822" t="s">
        <v>20</v>
      </c>
    </row>
    <row r="372" spans="1:1">
      <c r="A372" s="819" t="s">
        <v>154</v>
      </c>
    </row>
    <row r="374" spans="1:1">
      <c r="A374" s="819" t="s">
        <v>155</v>
      </c>
    </row>
    <row r="376" spans="1:1">
      <c r="A376" s="819" t="s">
        <v>156</v>
      </c>
    </row>
    <row r="378" spans="1:1">
      <c r="A378" s="819" t="s">
        <v>157</v>
      </c>
    </row>
    <row r="380" spans="1:1">
      <c r="A380" s="819" t="s">
        <v>158</v>
      </c>
    </row>
    <row r="382" spans="1:1">
      <c r="A382" s="819" t="s">
        <v>159</v>
      </c>
    </row>
    <row r="384" spans="1:1">
      <c r="A384" s="819" t="s">
        <v>160</v>
      </c>
    </row>
    <row r="386" spans="1:1">
      <c r="A386" s="819" t="s">
        <v>161</v>
      </c>
    </row>
    <row r="388" spans="1:1">
      <c r="A388" s="819" t="s">
        <v>162</v>
      </c>
    </row>
    <row r="390" spans="1:1">
      <c r="A390" s="819" t="s">
        <v>163</v>
      </c>
    </row>
    <row r="392" spans="1:1">
      <c r="A392" s="819" t="s">
        <v>164</v>
      </c>
    </row>
    <row r="394" spans="1:1">
      <c r="A394" s="820" t="s">
        <v>28</v>
      </c>
    </row>
    <row r="396" ht="23.25" spans="1:1">
      <c r="A396" s="822" t="s">
        <v>21</v>
      </c>
    </row>
    <row r="398" spans="1:1">
      <c r="A398" s="819" t="s">
        <v>165</v>
      </c>
    </row>
    <row r="400" spans="1:1">
      <c r="A400" s="819" t="s">
        <v>166</v>
      </c>
    </row>
    <row r="402" spans="1:1">
      <c r="A402" s="819" t="s">
        <v>167</v>
      </c>
    </row>
    <row r="404" spans="1:1">
      <c r="A404" s="819" t="s">
        <v>168</v>
      </c>
    </row>
    <row r="406" spans="1:1">
      <c r="A406" s="819" t="s">
        <v>169</v>
      </c>
    </row>
    <row r="408" spans="1:1">
      <c r="A408" s="819" t="s">
        <v>170</v>
      </c>
    </row>
    <row r="410" spans="1:1">
      <c r="A410" s="820" t="s">
        <v>28</v>
      </c>
    </row>
    <row r="412" spans="1:1">
      <c r="A412" s="819" t="s">
        <v>171</v>
      </c>
    </row>
    <row r="413" spans="1:1">
      <c r="A413" s="820" t="s">
        <v>172</v>
      </c>
    </row>
    <row r="414" spans="1:1">
      <c r="A414" s="820" t="s">
        <v>172</v>
      </c>
    </row>
  </sheetData>
  <mergeCells count="8">
    <mergeCell ref="B64:E64"/>
    <mergeCell ref="F64:I64"/>
    <mergeCell ref="B89:E89"/>
    <mergeCell ref="F89:I89"/>
    <mergeCell ref="B116:E116"/>
    <mergeCell ref="F116:I116"/>
    <mergeCell ref="B141:E141"/>
    <mergeCell ref="F141:I141"/>
  </mergeCells>
  <hyperlinks>
    <hyperlink ref="A414" r:id="rId3" display="京ICP备09047967号-6"/>
    <hyperlink ref="A3" r:id="rId4" display="主页"/>
    <hyperlink ref="A4" r:id="rId5" display="网络对抗"/>
    <hyperlink ref="A5" r:id="rId6" display="人机对战"/>
    <hyperlink ref="A6" r:id="rId7" display="赛区"/>
    <hyperlink ref="A9" r:id="rId8" display="离开比赛"/>
    <hyperlink ref="A14" r:id="rId9" display="成绩报表 团队成绩"/>
    <hyperlink ref="A18" location="general" display="一、一般规则"/>
    <hyperlink ref="A19" location="market" display="二、市场机制"/>
    <hyperlink ref="A20" location="ship" display="三、产品分销"/>
    <hyperlink ref="A21" location="reorder" display="四、库存与预订"/>
    <hyperlink ref="A22" location="producing" display="五、生产作业"/>
    <hyperlink ref="A23" location="r_d" display="六、研究开发"/>
    <hyperlink ref="A24" location="human" display="七、人员招聘、退休与解聘"/>
    <hyperlink ref="A25" location="finance" display="八、资金筹措"/>
    <hyperlink ref="A26" location="tax" display="九、纳税与分红"/>
    <hyperlink ref="A27" location="cash" display="十、现金收支次序"/>
    <hyperlink ref="A28" location="score" display="十一、评判标准"/>
    <hyperlink ref="A44" location="top" display="返回顶部"/>
    <hyperlink ref="A56" location="top" display="返回顶部"/>
    <hyperlink ref="A166" location="top" display="返回顶部"/>
    <hyperlink ref="A193" location="top" display="返回顶部"/>
    <hyperlink ref="A262" location="top" display="返回顶部"/>
    <hyperlink ref="A288" location="top" display="返回顶部"/>
    <hyperlink ref="A322" location="top" display="返回顶部"/>
    <hyperlink ref="A344" location="top" display="返回顶部"/>
    <hyperlink ref="A368" location="top" display="返回顶部"/>
    <hyperlink ref="A394" location="top" display="返回顶部"/>
    <hyperlink ref="A410" location="top" display="返回顶部"/>
    <hyperlink ref="A413" r:id="rId3" display="京ICP备09047967号-6"/>
  </hyperlinks>
  <pageMargins left="0.7" right="0.7" top="0.75" bottom="0.75" header="0.3" footer="0.3"/>
  <headerFooter/>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AM80"/>
  <sheetViews>
    <sheetView zoomScale="85" zoomScaleNormal="85" workbookViewId="0">
      <selection activeCell="G2" sqref="G2"/>
    </sheetView>
  </sheetViews>
  <sheetFormatPr defaultColWidth="9" defaultRowHeight="13.5" customHeight="1"/>
  <cols>
    <col min="1" max="1" width="23.4513274336283" style="767" customWidth="1"/>
    <col min="2" max="2" width="13" style="767" customWidth="1"/>
    <col min="3" max="3" width="11.0884955752212" style="767" customWidth="1"/>
    <col min="4" max="4" width="15.0884955752212" style="767" customWidth="1"/>
    <col min="5" max="5" width="11.6371681415929" style="767" customWidth="1"/>
    <col min="6" max="6" width="10.4513274336283" style="767" customWidth="1"/>
    <col min="7" max="7" width="12.3628318584071" style="767" customWidth="1"/>
    <col min="8" max="8" width="10.4513274336283" style="767" customWidth="1"/>
    <col min="9" max="9" width="13.0884955752212" style="767" customWidth="1"/>
    <col min="10" max="10" width="9" style="767"/>
    <col min="11" max="11" width="16" style="767" customWidth="1"/>
    <col min="12" max="12" width="9" style="767"/>
    <col min="13" max="14" width="8.08849557522124" style="767" customWidth="1"/>
    <col min="15" max="15" width="9.36283185840708" style="767" customWidth="1"/>
    <col min="16" max="17" width="8.08849557522124" style="767" customWidth="1"/>
    <col min="18" max="18" width="11.3628318584071" style="767" customWidth="1"/>
    <col min="19" max="19" width="9.63716814159292" style="767" customWidth="1"/>
    <col min="20" max="20" width="12.6371681415929" style="767" customWidth="1"/>
    <col min="21" max="27" width="9" style="767"/>
    <col min="28" max="28" width="9" style="767" customWidth="1"/>
    <col min="29" max="29" width="7.63716814159292" style="767" customWidth="1"/>
    <col min="30" max="30" width="5.63716814159292" style="767" customWidth="1"/>
    <col min="31" max="16384" width="9" style="767"/>
  </cols>
  <sheetData>
    <row r="1" customHeight="1" spans="1:11">
      <c r="A1" s="768" t="s">
        <v>173</v>
      </c>
      <c r="B1" s="769">
        <v>3</v>
      </c>
      <c r="C1" s="770"/>
      <c r="D1" s="771"/>
      <c r="E1" s="771"/>
      <c r="F1" s="772" t="s">
        <v>174</v>
      </c>
      <c r="G1" s="773"/>
      <c r="H1" s="772" t="s">
        <v>175</v>
      </c>
      <c r="I1" s="769" t="e">
        <f>LEFT((RIGHT(I3,LEN(I3)-FIND("meid=",I3)-4)),FIND("&amp;per",(RIGHT(I3,LEN(I3)-FIND("meid=",I3)-4)),1)-1)</f>
        <v>#VALUE!</v>
      </c>
      <c r="J1" s="772" t="s">
        <v>176</v>
      </c>
      <c r="K1" s="769" t="s">
        <v>177</v>
      </c>
    </row>
    <row r="2" customHeight="1" spans="1:29">
      <c r="A2" s="768" t="s">
        <v>178</v>
      </c>
      <c r="B2" s="769">
        <v>2</v>
      </c>
      <c r="C2" s="774" t="s">
        <v>179</v>
      </c>
      <c r="D2" s="774" t="s">
        <v>180</v>
      </c>
      <c r="E2" s="774"/>
      <c r="F2" s="772" t="s">
        <v>181</v>
      </c>
      <c r="G2" s="773"/>
      <c r="H2" s="772" t="s">
        <v>182</v>
      </c>
      <c r="I2" s="769" t="e">
        <f>(RIGHT(I3,LEN(I3)-FIND("amid=",I3)-4))</f>
        <v>#VALUE!</v>
      </c>
      <c r="J2" s="806" t="s">
        <v>183</v>
      </c>
      <c r="K2" s="769" t="e">
        <f>LEFT((RIGHT(I3,LEN(I3)-FIND("odid=",I3)-4)),FIND("&amp;",(RIGHT(I3,LEN(I3)-FIND("odid=",I3)-4)),1)-1)</f>
        <v>#VALUE!</v>
      </c>
      <c r="AC2" s="815"/>
    </row>
    <row r="3" ht="18.75" customHeight="1" spans="1:11">
      <c r="A3" s="768"/>
      <c r="C3" s="775"/>
      <c r="D3" s="775"/>
      <c r="E3" s="776"/>
      <c r="F3" s="777" t="s">
        <v>184</v>
      </c>
      <c r="G3" s="777"/>
      <c r="H3" s="777"/>
      <c r="I3" s="807"/>
      <c r="J3" s="781"/>
      <c r="K3" s="781"/>
    </row>
    <row r="4" customHeight="1" spans="1:23">
      <c r="A4" s="768" t="s">
        <v>185</v>
      </c>
      <c r="B4" s="769"/>
      <c r="C4" s="778"/>
      <c r="D4" s="779" t="s">
        <v>186</v>
      </c>
      <c r="E4" s="780"/>
      <c r="F4" s="781"/>
      <c r="G4" s="782" t="s">
        <v>187</v>
      </c>
      <c r="H4" s="783"/>
      <c r="I4" s="781"/>
      <c r="J4" s="781"/>
      <c r="K4" s="808" t="s">
        <v>188</v>
      </c>
      <c r="L4" s="808" t="s">
        <v>189</v>
      </c>
      <c r="M4" s="808" t="s">
        <v>190</v>
      </c>
      <c r="N4" s="808" t="s">
        <v>191</v>
      </c>
      <c r="O4" s="808" t="s">
        <v>192</v>
      </c>
      <c r="P4" s="808" t="s">
        <v>193</v>
      </c>
      <c r="Q4" s="808" t="s">
        <v>194</v>
      </c>
      <c r="R4" s="808" t="s">
        <v>195</v>
      </c>
      <c r="S4" s="808" t="s">
        <v>196</v>
      </c>
      <c r="T4" s="781"/>
      <c r="U4" s="781"/>
      <c r="V4" s="781"/>
      <c r="W4" s="781"/>
    </row>
    <row r="5" customHeight="1" spans="1:23">
      <c r="A5" s="768" t="s">
        <v>197</v>
      </c>
      <c r="B5" s="769"/>
      <c r="C5" s="778"/>
      <c r="D5" s="782" t="s">
        <v>198</v>
      </c>
      <c r="E5" s="769"/>
      <c r="F5" s="781"/>
      <c r="G5" s="782" t="s">
        <v>199</v>
      </c>
      <c r="H5" s="769"/>
      <c r="I5" s="781"/>
      <c r="J5" s="781"/>
      <c r="K5" s="808" t="s">
        <v>200</v>
      </c>
      <c r="L5" s="791"/>
      <c r="M5" s="791"/>
      <c r="N5" s="791"/>
      <c r="O5" s="791"/>
      <c r="P5" s="791"/>
      <c r="Q5" s="791"/>
      <c r="R5" s="791"/>
      <c r="S5" s="791"/>
      <c r="T5" s="781"/>
      <c r="U5" s="781"/>
      <c r="V5" s="781"/>
      <c r="W5" s="781"/>
    </row>
    <row r="6" customHeight="1" spans="1:23">
      <c r="A6" s="768" t="s">
        <v>201</v>
      </c>
      <c r="B6" s="769"/>
      <c r="C6" s="778"/>
      <c r="D6" s="782" t="s">
        <v>202</v>
      </c>
      <c r="E6" s="769"/>
      <c r="F6" s="781"/>
      <c r="G6" s="782" t="s">
        <v>203</v>
      </c>
      <c r="H6" s="784">
        <v>0.03</v>
      </c>
      <c r="I6" s="809"/>
      <c r="J6" s="809"/>
      <c r="K6" s="810" t="s">
        <v>204</v>
      </c>
      <c r="L6" s="791"/>
      <c r="M6" s="791"/>
      <c r="N6" s="791"/>
      <c r="O6" s="791"/>
      <c r="P6" s="791"/>
      <c r="Q6" s="791"/>
      <c r="R6" s="791"/>
      <c r="S6" s="791"/>
      <c r="T6" s="781"/>
      <c r="U6" s="781"/>
      <c r="V6" s="781"/>
      <c r="W6" s="781"/>
    </row>
    <row r="7" customHeight="1" spans="1:23">
      <c r="A7" s="768" t="s">
        <v>205</v>
      </c>
      <c r="B7" s="769"/>
      <c r="C7" s="778"/>
      <c r="D7" s="782" t="s">
        <v>206</v>
      </c>
      <c r="E7" s="769"/>
      <c r="F7" s="781"/>
      <c r="G7" s="778"/>
      <c r="H7" s="781"/>
      <c r="I7" s="809"/>
      <c r="J7" s="809"/>
      <c r="K7" s="781"/>
      <c r="L7" s="781"/>
      <c r="M7" s="781"/>
      <c r="N7" s="781"/>
      <c r="O7" s="781"/>
      <c r="P7" s="781"/>
      <c r="Q7" s="781"/>
      <c r="R7" s="781"/>
      <c r="S7" s="781"/>
      <c r="T7" s="781"/>
      <c r="U7" s="781"/>
      <c r="V7" s="781"/>
      <c r="W7" s="781"/>
    </row>
    <row r="8" customHeight="1" spans="1:23">
      <c r="A8" s="768" t="s">
        <v>207</v>
      </c>
      <c r="B8" s="785"/>
      <c r="C8" s="778"/>
      <c r="D8" s="782" t="s">
        <v>208</v>
      </c>
      <c r="E8" s="769"/>
      <c r="F8" s="781"/>
      <c r="G8" s="778"/>
      <c r="H8" s="778"/>
      <c r="I8" s="809"/>
      <c r="J8" s="809"/>
      <c r="K8" s="811" t="s">
        <v>209</v>
      </c>
      <c r="L8" s="808" t="s">
        <v>210</v>
      </c>
      <c r="M8" s="808" t="s">
        <v>211</v>
      </c>
      <c r="N8" s="808" t="s">
        <v>212</v>
      </c>
      <c r="O8" s="808" t="s">
        <v>213</v>
      </c>
      <c r="P8" s="808" t="s">
        <v>214</v>
      </c>
      <c r="Q8" s="808" t="s">
        <v>215</v>
      </c>
      <c r="R8" s="808" t="s">
        <v>216</v>
      </c>
      <c r="S8" s="808" t="s">
        <v>217</v>
      </c>
      <c r="T8" s="781"/>
      <c r="U8" s="781"/>
      <c r="V8" s="781"/>
      <c r="W8" s="781"/>
    </row>
    <row r="9" customHeight="1" spans="1:23">
      <c r="A9" s="768" t="s">
        <v>218</v>
      </c>
      <c r="B9" s="769"/>
      <c r="C9" s="778"/>
      <c r="D9" s="778"/>
      <c r="E9" s="778"/>
      <c r="F9" s="778"/>
      <c r="G9" s="781"/>
      <c r="H9" s="781"/>
      <c r="I9" s="809"/>
      <c r="J9" s="809"/>
      <c r="K9" s="811" t="s">
        <v>200</v>
      </c>
      <c r="L9" s="769"/>
      <c r="M9" s="769"/>
      <c r="N9" s="769"/>
      <c r="O9" s="769"/>
      <c r="P9" s="769"/>
      <c r="Q9" s="769"/>
      <c r="R9" s="769"/>
      <c r="S9" s="769"/>
      <c r="T9" s="781"/>
      <c r="U9" s="781"/>
      <c r="V9" s="781"/>
      <c r="W9" s="781"/>
    </row>
    <row r="10" customHeight="1" spans="1:23">
      <c r="A10" s="768" t="s">
        <v>219</v>
      </c>
      <c r="B10" s="769"/>
      <c r="C10" s="778"/>
      <c r="D10" s="782" t="s">
        <v>220</v>
      </c>
      <c r="E10" s="782" t="s">
        <v>198</v>
      </c>
      <c r="F10" s="782" t="s">
        <v>202</v>
      </c>
      <c r="G10" s="786" t="s">
        <v>206</v>
      </c>
      <c r="H10" s="782" t="s">
        <v>208</v>
      </c>
      <c r="I10" s="809"/>
      <c r="J10" s="809"/>
      <c r="K10" s="811" t="s">
        <v>204</v>
      </c>
      <c r="L10" s="769"/>
      <c r="M10" s="769"/>
      <c r="N10" s="769"/>
      <c r="O10" s="769"/>
      <c r="P10" s="769"/>
      <c r="Q10" s="769"/>
      <c r="R10" s="785"/>
      <c r="S10" s="785"/>
      <c r="T10" s="781"/>
      <c r="U10" s="781"/>
      <c r="V10" s="781"/>
      <c r="W10" s="781"/>
    </row>
    <row r="11" customHeight="1" spans="1:23">
      <c r="A11" s="768" t="s">
        <v>221</v>
      </c>
      <c r="B11" s="769"/>
      <c r="C11" s="778"/>
      <c r="D11" s="787" t="s">
        <v>38</v>
      </c>
      <c r="E11" s="788"/>
      <c r="F11" s="788"/>
      <c r="G11" s="788"/>
      <c r="H11" s="788"/>
      <c r="I11" s="809"/>
      <c r="J11" s="809"/>
      <c r="K11" s="781"/>
      <c r="L11" s="781"/>
      <c r="M11" s="781"/>
      <c r="N11" s="781"/>
      <c r="O11" s="781"/>
      <c r="P11" s="781"/>
      <c r="Q11" s="781"/>
      <c r="R11" s="781"/>
      <c r="S11" s="781"/>
      <c r="T11" s="781"/>
      <c r="U11" s="781"/>
      <c r="V11" s="781"/>
      <c r="W11" s="781"/>
    </row>
    <row r="12" customHeight="1" spans="1:23">
      <c r="A12" s="768" t="s">
        <v>105</v>
      </c>
      <c r="B12" s="769"/>
      <c r="C12" s="778"/>
      <c r="D12" s="787" t="s">
        <v>39</v>
      </c>
      <c r="E12" s="788"/>
      <c r="F12" s="788"/>
      <c r="G12" s="788"/>
      <c r="H12" s="788"/>
      <c r="I12" s="809"/>
      <c r="J12" s="809"/>
      <c r="K12" s="811" t="s">
        <v>222</v>
      </c>
      <c r="L12" s="811" t="s">
        <v>38</v>
      </c>
      <c r="M12" s="811" t="s">
        <v>39</v>
      </c>
      <c r="N12" s="811" t="s">
        <v>40</v>
      </c>
      <c r="O12" s="811" t="s">
        <v>41</v>
      </c>
      <c r="P12" s="781"/>
      <c r="Q12" s="781"/>
      <c r="R12" s="781"/>
      <c r="S12" s="781"/>
      <c r="T12" s="781"/>
      <c r="U12" s="781"/>
      <c r="V12" s="781"/>
      <c r="W12" s="781"/>
    </row>
    <row r="13" customHeight="1" spans="1:23">
      <c r="A13" s="768" t="s">
        <v>223</v>
      </c>
      <c r="B13" s="769"/>
      <c r="C13" s="778"/>
      <c r="D13" s="787" t="s">
        <v>40</v>
      </c>
      <c r="E13" s="788"/>
      <c r="F13" s="788"/>
      <c r="G13" s="788"/>
      <c r="H13" s="788"/>
      <c r="I13" s="809"/>
      <c r="J13" s="809"/>
      <c r="K13" s="811" t="s">
        <v>198</v>
      </c>
      <c r="L13" s="769">
        <f>IF(B1=1,INT(L5-(B6-1)*(L5-M5)/(B5-1)+0.5),L5-(B6-1)*(L5-M5)/(B5-1))</f>
        <v>0</v>
      </c>
      <c r="M13" s="769">
        <f>IF(B1=1,INT(M5+(B6-1)*(L5-M5)/(B5-1)+0.5),M5+(B6-1)*(L5-M5)/(B5-1))</f>
        <v>0</v>
      </c>
      <c r="N13" s="769">
        <f>N5</f>
        <v>0</v>
      </c>
      <c r="O13" s="769">
        <f>O5</f>
        <v>0</v>
      </c>
      <c r="P13" s="781"/>
      <c r="Q13" s="781"/>
      <c r="R13" s="781"/>
      <c r="S13" s="781"/>
      <c r="T13" s="781"/>
      <c r="U13" s="781"/>
      <c r="V13" s="781"/>
      <c r="W13" s="781"/>
    </row>
    <row r="14" customHeight="1" spans="1:23">
      <c r="A14" s="768" t="s">
        <v>224</v>
      </c>
      <c r="B14" s="769"/>
      <c r="C14" s="778"/>
      <c r="D14" s="787" t="s">
        <v>41</v>
      </c>
      <c r="E14" s="788"/>
      <c r="F14" s="788"/>
      <c r="G14" s="788"/>
      <c r="H14" s="788"/>
      <c r="I14" s="781"/>
      <c r="J14" s="781"/>
      <c r="K14" s="811" t="s">
        <v>202</v>
      </c>
      <c r="L14" s="769">
        <f>IF(B1=1,INT(P5-(B6-1)*(P5-Q5)/(B5-1)+0.5),P5-(B6-1)*(P5-Q5)/(B5-1))</f>
        <v>0</v>
      </c>
      <c r="M14" s="769">
        <f>IF(B1=1,INT(Q5+(B6-1)*(P5-Q5)/(B5-1)+0.5),Q5+(B6-1)*(P5-Q5)/(B5-1))</f>
        <v>0</v>
      </c>
      <c r="N14" s="769">
        <f>R5</f>
        <v>0</v>
      </c>
      <c r="O14" s="769">
        <f>S5</f>
        <v>0</v>
      </c>
      <c r="P14" s="781"/>
      <c r="Q14" s="781"/>
      <c r="R14" s="781"/>
      <c r="S14" s="781"/>
      <c r="T14" s="781"/>
      <c r="U14" s="781"/>
      <c r="V14" s="781"/>
      <c r="W14" s="781"/>
    </row>
    <row r="15" customHeight="1" spans="1:23">
      <c r="A15" s="768" t="s">
        <v>225</v>
      </c>
      <c r="B15" s="769"/>
      <c r="C15" s="778"/>
      <c r="D15" s="781"/>
      <c r="E15" s="781"/>
      <c r="F15" s="789"/>
      <c r="G15" s="789"/>
      <c r="H15" s="789"/>
      <c r="I15" s="781"/>
      <c r="J15" s="781"/>
      <c r="K15" s="811" t="s">
        <v>206</v>
      </c>
      <c r="L15" s="769">
        <f>IF(B1=1,INT(L6-(B6-1)*(L6-M6)/(B5-1)+0.5),L6-(B6-1)*(L6-M6)/(B5-1))</f>
        <v>0</v>
      </c>
      <c r="M15" s="769">
        <f>IF(B1=1,INT(M6+(B6-1)*(L6-M6)/(B5-1)+0.5),M6+(B6-1)*(L6-M6)/(B5-1))</f>
        <v>0</v>
      </c>
      <c r="N15" s="769">
        <f>N6</f>
        <v>0</v>
      </c>
      <c r="O15" s="769">
        <f>O6</f>
        <v>0</v>
      </c>
      <c r="P15" s="781"/>
      <c r="Q15" s="781"/>
      <c r="R15" s="781"/>
      <c r="S15" s="781"/>
      <c r="U15" s="781"/>
      <c r="V15" s="781"/>
      <c r="W15" s="781"/>
    </row>
    <row r="16" customHeight="1" spans="1:23">
      <c r="A16" s="768" t="s">
        <v>226</v>
      </c>
      <c r="B16" s="769"/>
      <c r="C16" s="778"/>
      <c r="D16" s="782" t="s">
        <v>227</v>
      </c>
      <c r="E16" s="782" t="s">
        <v>198</v>
      </c>
      <c r="F16" s="782" t="s">
        <v>202</v>
      </c>
      <c r="G16" s="782" t="s">
        <v>206</v>
      </c>
      <c r="H16" s="782" t="s">
        <v>208</v>
      </c>
      <c r="I16" s="781"/>
      <c r="J16" s="781"/>
      <c r="K16" s="811" t="s">
        <v>208</v>
      </c>
      <c r="L16" s="769">
        <f>IF(B1=1,INT(P6-(B6-1)*(P6-Q6)/(B5-1)+0.5),P6-(B6-1)*(P6-Q6)/(B5-1))</f>
        <v>0</v>
      </c>
      <c r="M16" s="769">
        <f>IF(B1=1,INT(Q6+(B6-1)*(P6-Q6)/(B5-1)+0.5),Q6+(B6-1)*(P6-Q6)/(B5-1))</f>
        <v>0</v>
      </c>
      <c r="N16" s="769">
        <f>R6</f>
        <v>0</v>
      </c>
      <c r="O16" s="769">
        <f>S6</f>
        <v>0</v>
      </c>
      <c r="P16" s="781"/>
      <c r="Q16" s="781"/>
      <c r="R16" s="781"/>
      <c r="S16" s="781"/>
      <c r="U16" s="781"/>
      <c r="V16" s="781"/>
      <c r="W16" s="781"/>
    </row>
    <row r="17" customHeight="1" spans="1:23">
      <c r="A17" s="768" t="s">
        <v>228</v>
      </c>
      <c r="B17" s="769"/>
      <c r="C17" s="778"/>
      <c r="D17" s="787" t="s">
        <v>229</v>
      </c>
      <c r="E17" s="769"/>
      <c r="F17" s="769"/>
      <c r="G17" s="769"/>
      <c r="H17" s="769"/>
      <c r="I17" s="781"/>
      <c r="J17" s="781"/>
      <c r="K17" s="812"/>
      <c r="L17" s="813"/>
      <c r="M17" s="813"/>
      <c r="N17" s="813"/>
      <c r="O17" s="813"/>
      <c r="P17" s="781"/>
      <c r="Q17" s="781"/>
      <c r="R17" s="781"/>
      <c r="S17" s="781"/>
      <c r="U17" s="781"/>
      <c r="V17" s="781"/>
      <c r="W17" s="781"/>
    </row>
    <row r="18" customHeight="1" spans="1:23">
      <c r="A18" s="768" t="s">
        <v>230</v>
      </c>
      <c r="B18" s="769"/>
      <c r="C18" s="778"/>
      <c r="D18" s="787" t="s">
        <v>231</v>
      </c>
      <c r="E18" s="769"/>
      <c r="F18" s="769"/>
      <c r="G18" s="769"/>
      <c r="H18" s="769"/>
      <c r="I18" s="781"/>
      <c r="J18" s="781"/>
      <c r="K18" s="811" t="s">
        <v>232</v>
      </c>
      <c r="L18" s="811" t="s">
        <v>38</v>
      </c>
      <c r="M18" s="811" t="s">
        <v>39</v>
      </c>
      <c r="N18" s="811" t="s">
        <v>40</v>
      </c>
      <c r="O18" s="811" t="s">
        <v>41</v>
      </c>
      <c r="P18" s="781"/>
      <c r="Q18" s="781"/>
      <c r="R18" s="781"/>
      <c r="S18" s="781"/>
      <c r="U18" s="781"/>
      <c r="V18" s="781"/>
      <c r="W18" s="781"/>
    </row>
    <row r="19" customHeight="1" spans="1:23">
      <c r="A19" s="768" t="s">
        <v>233</v>
      </c>
      <c r="B19" s="769">
        <v>1</v>
      </c>
      <c r="C19" s="778"/>
      <c r="D19" s="787" t="s">
        <v>234</v>
      </c>
      <c r="E19" s="769"/>
      <c r="F19" s="769"/>
      <c r="G19" s="769"/>
      <c r="H19" s="769"/>
      <c r="I19" s="790" t="s">
        <v>235</v>
      </c>
      <c r="J19" s="781"/>
      <c r="K19" s="811" t="s">
        <v>198</v>
      </c>
      <c r="L19" s="769">
        <f>IF(B1=1,INT(L9-(B6-1)*(L9-M9)/(B5-1)+0.5),L9-(B6-1)*(L9-M9)/(B5-1))</f>
        <v>0</v>
      </c>
      <c r="M19" s="769">
        <f>IF(B1=1,INT(M9+(B6-1)*(L9-M9)/(B5-1)+0.5),M9+(B6-1)*(L9-M9)/(B5-1))</f>
        <v>0</v>
      </c>
      <c r="N19" s="769">
        <f>N9</f>
        <v>0</v>
      </c>
      <c r="O19" s="769">
        <f>O9</f>
        <v>0</v>
      </c>
      <c r="P19" s="781"/>
      <c r="Q19" s="781"/>
      <c r="R19" s="781"/>
      <c r="S19" s="781"/>
      <c r="U19" s="781"/>
      <c r="V19" s="781"/>
      <c r="W19" s="781"/>
    </row>
    <row r="20" customHeight="1" spans="1:23">
      <c r="A20" s="768" t="s">
        <v>236</v>
      </c>
      <c r="B20" s="769">
        <v>1.4</v>
      </c>
      <c r="C20" s="778"/>
      <c r="D20" s="790" t="s">
        <v>237</v>
      </c>
      <c r="E20" s="769" t="e">
        <f>E18/E17</f>
        <v>#DIV/0!</v>
      </c>
      <c r="F20" s="769" t="e">
        <f t="shared" ref="F20:H20" si="0">F18/F17</f>
        <v>#DIV/0!</v>
      </c>
      <c r="G20" s="769" t="e">
        <f t="shared" si="0"/>
        <v>#DIV/0!</v>
      </c>
      <c r="H20" s="769" t="e">
        <f t="shared" si="0"/>
        <v>#DIV/0!</v>
      </c>
      <c r="I20" s="769" t="e">
        <f>AVERAGE(E20:H20)*2</f>
        <v>#DIV/0!</v>
      </c>
      <c r="J20" s="781"/>
      <c r="K20" s="811" t="s">
        <v>202</v>
      </c>
      <c r="L20" s="769">
        <f>IF(B1=1,INT(P9-(B6-1)*(P9-Q9)/(B5-1)+0.5),P9-(B6-1)*(P9-Q9)/(B5-1))</f>
        <v>0</v>
      </c>
      <c r="M20" s="769">
        <f>IF(B1=1,INT(Q9+(B6-1)*(P9-Q9)/(B5-1)+0.5),Q9+(B6-1)*(P9-Q9)/(B5-1))</f>
        <v>0</v>
      </c>
      <c r="N20" s="769">
        <f>R9</f>
        <v>0</v>
      </c>
      <c r="O20" s="769">
        <f>S9</f>
        <v>0</v>
      </c>
      <c r="P20" s="781"/>
      <c r="Q20" s="781"/>
      <c r="R20" s="781"/>
      <c r="S20" s="781"/>
      <c r="U20" s="781"/>
      <c r="V20" s="781"/>
      <c r="W20" s="781"/>
    </row>
    <row r="21" customHeight="1" spans="1:23">
      <c r="A21" s="768" t="s">
        <v>238</v>
      </c>
      <c r="B21" s="791"/>
      <c r="C21" s="778"/>
      <c r="D21" s="790" t="s">
        <v>239</v>
      </c>
      <c r="E21" s="769"/>
      <c r="F21" s="769"/>
      <c r="G21" s="769"/>
      <c r="H21" s="769"/>
      <c r="I21" s="781"/>
      <c r="J21" s="781"/>
      <c r="K21" s="811" t="s">
        <v>206</v>
      </c>
      <c r="L21" s="769">
        <f>IF(B1=1,INT(L10-(B6-1)*(L10-M10)/(B5-1)+0.5),L10-(B6-1)*(L10-M10)/(B5-1))</f>
        <v>0</v>
      </c>
      <c r="M21" s="769">
        <f>IF(B1=1,INT(M10+(B6-1)*(L10-M10)/(B5-1)+0.5),M10+(B6-1)*(L10-M10)/(B5-1))</f>
        <v>0</v>
      </c>
      <c r="N21" s="769">
        <f>N10</f>
        <v>0</v>
      </c>
      <c r="O21" s="769">
        <f>O10</f>
        <v>0</v>
      </c>
      <c r="P21" s="781"/>
      <c r="Q21" s="781"/>
      <c r="R21" s="781"/>
      <c r="S21" s="781"/>
      <c r="U21" s="781"/>
      <c r="V21" s="781"/>
      <c r="W21" s="781"/>
    </row>
    <row r="22" customHeight="1" spans="1:23">
      <c r="A22" s="772" t="s">
        <v>240</v>
      </c>
      <c r="B22" s="769"/>
      <c r="C22" s="792">
        <f>B23/4</f>
        <v>0</v>
      </c>
      <c r="D22" s="790" t="s">
        <v>241</v>
      </c>
      <c r="E22" s="769">
        <f>E17*$B8*H5/520+E18*$B15+E19</f>
        <v>0</v>
      </c>
      <c r="F22" s="769">
        <f>F17*$B8*H5/520+F18*$B15+F19</f>
        <v>0</v>
      </c>
      <c r="G22" s="769">
        <f>G17*$B8*H5/520+G18*$B15+G19</f>
        <v>0</v>
      </c>
      <c r="H22" s="769">
        <f>H17*$B8*H5/520+H18*$B15+H19</f>
        <v>0</v>
      </c>
      <c r="I22" s="781"/>
      <c r="J22" s="781"/>
      <c r="K22" s="811" t="s">
        <v>208</v>
      </c>
      <c r="L22" s="769">
        <f>IF(B1=1,INT(P10-(B6-1)*(P10-Q10)/(B5-1)+0.5),P10-(B6-1)*(P10-Q10)/(B5-1))</f>
        <v>0</v>
      </c>
      <c r="M22" s="769">
        <f>IF(B1=1,INT(Q10+(B6-1)*(P10-Q10)/(B5-1)+0.5),Q10+(B6-1)*(P10-Q10)/(B5-1))</f>
        <v>0</v>
      </c>
      <c r="N22" s="769">
        <f>R10</f>
        <v>0</v>
      </c>
      <c r="O22" s="769">
        <f>S10</f>
        <v>0</v>
      </c>
      <c r="P22" s="781"/>
      <c r="Q22" s="781"/>
      <c r="R22" s="781"/>
      <c r="S22" s="781"/>
      <c r="U22" s="781"/>
      <c r="V22" s="781"/>
      <c r="W22" s="781"/>
    </row>
    <row r="23" customHeight="1" spans="1:23">
      <c r="A23" s="768" t="s">
        <v>242</v>
      </c>
      <c r="B23" s="769"/>
      <c r="C23" s="792">
        <f>1-E26-B10-B7/2</f>
        <v>1</v>
      </c>
      <c r="D23" s="781"/>
      <c r="E23" s="769">
        <f>E17*$B8*H5/1300+E18*$B15+E19</f>
        <v>0</v>
      </c>
      <c r="F23" s="769">
        <f>F17*$B8*H5/1300+F18*$B15+F19</f>
        <v>0</v>
      </c>
      <c r="G23" s="769">
        <f>G17*$B8*H5/1300+G18*$B15+G19</f>
        <v>0</v>
      </c>
      <c r="H23" s="769">
        <f>H17*$B8*H5/1300+H18*$B15+H19</f>
        <v>0</v>
      </c>
      <c r="I23" s="781"/>
      <c r="J23" s="781"/>
      <c r="K23" s="781"/>
      <c r="L23" s="781"/>
      <c r="M23" s="781"/>
      <c r="N23" s="781"/>
      <c r="O23" s="781"/>
      <c r="P23" s="781"/>
      <c r="Q23" s="781"/>
      <c r="R23" s="781"/>
      <c r="S23" s="781"/>
      <c r="U23" s="781"/>
      <c r="V23" s="781"/>
      <c r="W23" s="781"/>
    </row>
    <row r="24" customHeight="1" spans="1:23">
      <c r="A24" s="768" t="s">
        <v>243</v>
      </c>
      <c r="B24" s="769"/>
      <c r="C24" s="792">
        <f>1-E26-B10-B7</f>
        <v>1</v>
      </c>
      <c r="D24" s="789"/>
      <c r="E24" s="789"/>
      <c r="F24" s="789"/>
      <c r="G24" s="793" t="s">
        <v>244</v>
      </c>
      <c r="H24" s="793" t="s">
        <v>245</v>
      </c>
      <c r="I24" s="794" t="s">
        <v>246</v>
      </c>
      <c r="J24" s="781"/>
      <c r="K24" s="781"/>
      <c r="L24" s="781"/>
      <c r="M24" s="781"/>
      <c r="N24" s="781"/>
      <c r="O24" s="781"/>
      <c r="P24" s="781"/>
      <c r="Q24" s="781"/>
      <c r="R24" s="781"/>
      <c r="S24" s="781"/>
      <c r="U24" s="781"/>
      <c r="V24" s="781"/>
      <c r="W24" s="781"/>
    </row>
    <row r="25" customHeight="1" spans="1:23">
      <c r="A25" s="768" t="s">
        <v>247</v>
      </c>
      <c r="B25" s="769"/>
      <c r="C25" s="778"/>
      <c r="D25" s="794" t="s">
        <v>248</v>
      </c>
      <c r="E25" s="794" t="s">
        <v>249</v>
      </c>
      <c r="F25" s="789"/>
      <c r="G25" s="794" t="s">
        <v>198</v>
      </c>
      <c r="H25" s="769"/>
      <c r="I25" s="769"/>
      <c r="J25" s="781"/>
      <c r="K25" s="781"/>
      <c r="L25" s="781"/>
      <c r="M25" s="781"/>
      <c r="N25" s="781"/>
      <c r="O25" s="781"/>
      <c r="P25" s="781"/>
      <c r="Q25" s="781"/>
      <c r="R25" s="781"/>
      <c r="S25" s="781"/>
      <c r="U25" s="781"/>
      <c r="V25" s="781"/>
      <c r="W25" s="781"/>
    </row>
    <row r="26" customHeight="1" spans="1:23">
      <c r="A26" s="768" t="s">
        <v>250</v>
      </c>
      <c r="B26" s="769"/>
      <c r="C26" s="778"/>
      <c r="D26" s="795">
        <v>2000000</v>
      </c>
      <c r="E26" s="769"/>
      <c r="F26" s="789"/>
      <c r="G26" s="794" t="s">
        <v>202</v>
      </c>
      <c r="H26" s="769"/>
      <c r="I26" s="769"/>
      <c r="J26" s="781"/>
      <c r="K26" s="781"/>
      <c r="L26" s="781"/>
      <c r="M26" s="781"/>
      <c r="N26" s="781"/>
      <c r="O26" s="781"/>
      <c r="P26" s="781"/>
      <c r="Q26" s="781"/>
      <c r="R26" s="781"/>
      <c r="S26" s="781"/>
      <c r="U26" s="781"/>
      <c r="V26" s="781"/>
      <c r="W26" s="781"/>
    </row>
    <row r="27" customHeight="1" spans="1:23">
      <c r="A27" s="768" t="s">
        <v>251</v>
      </c>
      <c r="B27" s="769"/>
      <c r="C27" s="778"/>
      <c r="D27" s="795">
        <v>1500000</v>
      </c>
      <c r="E27" s="769"/>
      <c r="F27" s="789"/>
      <c r="G27" s="794" t="s">
        <v>206</v>
      </c>
      <c r="H27" s="769"/>
      <c r="I27" s="769"/>
      <c r="J27" s="781"/>
      <c r="K27" s="781"/>
      <c r="L27" s="781"/>
      <c r="M27" s="781"/>
      <c r="N27" s="781"/>
      <c r="O27" s="781"/>
      <c r="P27" s="781"/>
      <c r="Q27" s="781"/>
      <c r="R27" s="781"/>
      <c r="S27" s="781"/>
      <c r="U27" s="781"/>
      <c r="V27" s="781"/>
      <c r="W27" s="781"/>
    </row>
    <row r="28" customHeight="1" spans="1:23">
      <c r="A28" s="768"/>
      <c r="B28" s="769"/>
      <c r="C28" s="778"/>
      <c r="D28" s="795">
        <v>1000000</v>
      </c>
      <c r="E28" s="769"/>
      <c r="F28" s="789"/>
      <c r="G28" s="794" t="s">
        <v>208</v>
      </c>
      <c r="H28" s="769"/>
      <c r="I28" s="769"/>
      <c r="J28" s="781"/>
      <c r="K28" s="781"/>
      <c r="L28" s="781"/>
      <c r="M28" s="781"/>
      <c r="N28" s="781"/>
      <c r="O28" s="781"/>
      <c r="P28" s="781"/>
      <c r="Q28" s="781"/>
      <c r="R28" s="781"/>
      <c r="S28" s="781"/>
      <c r="U28" s="781"/>
      <c r="V28" s="781"/>
      <c r="W28" s="781"/>
    </row>
    <row r="29" customHeight="1" spans="1:23">
      <c r="A29" s="796" t="s">
        <v>252</v>
      </c>
      <c r="B29" s="796"/>
      <c r="C29" s="778"/>
      <c r="D29" s="797"/>
      <c r="E29" s="789"/>
      <c r="F29" s="789"/>
      <c r="G29" s="789"/>
      <c r="H29" s="789"/>
      <c r="I29" s="789"/>
      <c r="J29" s="781"/>
      <c r="K29" s="804" t="s">
        <v>253</v>
      </c>
      <c r="L29" s="804" t="s">
        <v>254</v>
      </c>
      <c r="M29" s="781"/>
      <c r="N29" s="781"/>
      <c r="O29" s="781"/>
      <c r="P29" s="781"/>
      <c r="Q29" s="781"/>
      <c r="R29" s="781"/>
      <c r="S29" s="781"/>
      <c r="U29" s="781"/>
      <c r="V29" s="781"/>
      <c r="W29" s="781"/>
    </row>
    <row r="30" customHeight="1" spans="1:23">
      <c r="A30" s="768" t="s">
        <v>255</v>
      </c>
      <c r="B30" s="769"/>
      <c r="C30" s="778"/>
      <c r="D30" s="794" t="s">
        <v>256</v>
      </c>
      <c r="E30" s="794" t="s">
        <v>257</v>
      </c>
      <c r="F30" s="794" t="s">
        <v>258</v>
      </c>
      <c r="G30" s="794" t="s">
        <v>259</v>
      </c>
      <c r="H30" s="794" t="s">
        <v>260</v>
      </c>
      <c r="I30" s="794" t="s">
        <v>261</v>
      </c>
      <c r="J30" s="781"/>
      <c r="K30" s="814">
        <f>IF(B1=1,D28,D26)</f>
        <v>2000000</v>
      </c>
      <c r="L30" s="804">
        <f>IF(K30=D26,E26,E28)</f>
        <v>0</v>
      </c>
      <c r="M30" s="781"/>
      <c r="N30" s="781"/>
      <c r="O30" s="781"/>
      <c r="P30" s="781"/>
      <c r="Q30" s="781"/>
      <c r="R30" s="781"/>
      <c r="S30" s="781"/>
      <c r="U30" s="781"/>
      <c r="V30" s="781"/>
      <c r="W30" s="781"/>
    </row>
    <row r="31" customHeight="1" spans="1:23">
      <c r="A31" s="768" t="s">
        <v>262</v>
      </c>
      <c r="B31" s="769"/>
      <c r="C31" s="778"/>
      <c r="D31" s="798" t="s">
        <v>263</v>
      </c>
      <c r="E31" s="785"/>
      <c r="F31" s="785"/>
      <c r="G31" s="785"/>
      <c r="H31" s="785"/>
      <c r="I31" s="785"/>
      <c r="J31" s="781"/>
      <c r="K31" s="814">
        <f>D27</f>
        <v>1500000</v>
      </c>
      <c r="L31" s="804">
        <f>E27</f>
        <v>0</v>
      </c>
      <c r="M31" s="781"/>
      <c r="N31" s="781"/>
      <c r="O31" s="781"/>
      <c r="P31" s="781"/>
      <c r="Q31" s="781"/>
      <c r="R31" s="781"/>
      <c r="S31" s="781"/>
      <c r="T31" s="781"/>
      <c r="U31" s="781"/>
      <c r="V31" s="781"/>
      <c r="W31" s="781"/>
    </row>
    <row r="32" customHeight="1" spans="1:23">
      <c r="A32" s="768" t="s">
        <v>264</v>
      </c>
      <c r="B32" s="769"/>
      <c r="C32" s="778"/>
      <c r="D32" s="798" t="s">
        <v>265</v>
      </c>
      <c r="E32" s="785"/>
      <c r="F32" s="785"/>
      <c r="G32" s="785"/>
      <c r="H32" s="785"/>
      <c r="I32" s="785"/>
      <c r="J32" s="781"/>
      <c r="K32" s="814">
        <f>IF(B1=1,D26,D28)</f>
        <v>1000000</v>
      </c>
      <c r="L32" s="804">
        <f>IF(K32=D26,E26,E28)</f>
        <v>0</v>
      </c>
      <c r="M32" s="781"/>
      <c r="N32" s="781"/>
      <c r="O32" s="781"/>
      <c r="P32" s="781"/>
      <c r="Q32" s="781"/>
      <c r="R32" s="781"/>
      <c r="S32" s="781"/>
      <c r="T32" s="781"/>
      <c r="U32" s="781"/>
      <c r="V32" s="781"/>
      <c r="W32" s="781"/>
    </row>
    <row r="33" customHeight="1" spans="1:23">
      <c r="A33" s="768" t="s">
        <v>266</v>
      </c>
      <c r="B33" s="769"/>
      <c r="C33" s="778"/>
      <c r="D33" s="798" t="s">
        <v>267</v>
      </c>
      <c r="E33" s="785"/>
      <c r="F33" s="785"/>
      <c r="G33" s="785"/>
      <c r="H33" s="785"/>
      <c r="I33" s="785"/>
      <c r="J33" s="781"/>
      <c r="K33" s="781"/>
      <c r="L33" s="781"/>
      <c r="M33" s="781"/>
      <c r="N33" s="781"/>
      <c r="O33" s="781"/>
      <c r="P33" s="781"/>
      <c r="Q33" s="781"/>
      <c r="R33" s="781"/>
      <c r="S33" s="781"/>
      <c r="T33" s="781"/>
      <c r="U33" s="781"/>
      <c r="V33" s="781"/>
      <c r="W33" s="781"/>
    </row>
    <row r="34" customHeight="1" spans="1:23">
      <c r="A34" s="768" t="s">
        <v>268</v>
      </c>
      <c r="B34" s="769"/>
      <c r="C34" s="778"/>
      <c r="D34" s="799" t="s">
        <v>269</v>
      </c>
      <c r="E34" s="785"/>
      <c r="F34" s="785"/>
      <c r="G34" s="785"/>
      <c r="H34" s="785"/>
      <c r="I34" s="785"/>
      <c r="J34" s="781"/>
      <c r="K34" s="781"/>
      <c r="L34" s="781"/>
      <c r="M34" s="781"/>
      <c r="N34" s="781"/>
      <c r="O34" s="781"/>
      <c r="P34" s="781"/>
      <c r="Q34" s="781"/>
      <c r="R34" s="781"/>
      <c r="S34" s="781"/>
      <c r="T34" s="781"/>
      <c r="U34" s="781"/>
      <c r="V34" s="781"/>
      <c r="W34" s="781"/>
    </row>
    <row r="35" customHeight="1" spans="1:39">
      <c r="A35" s="768" t="s">
        <v>270</v>
      </c>
      <c r="B35" s="769"/>
      <c r="C35" s="778"/>
      <c r="D35" s="800" t="s">
        <v>271</v>
      </c>
      <c r="E35" s="769"/>
      <c r="F35" s="769"/>
      <c r="G35" s="769"/>
      <c r="H35" s="769"/>
      <c r="I35" s="769"/>
      <c r="J35" s="781"/>
      <c r="K35" s="781"/>
      <c r="L35" s="781"/>
      <c r="M35" s="781"/>
      <c r="N35" s="781"/>
      <c r="O35" s="781"/>
      <c r="P35" s="781"/>
      <c r="Q35" s="781"/>
      <c r="R35" s="781"/>
      <c r="S35" s="781"/>
      <c r="T35" s="781"/>
      <c r="U35" s="781"/>
      <c r="V35" s="781"/>
      <c r="W35" s="781"/>
      <c r="AI35" s="767" t="s">
        <v>37</v>
      </c>
      <c r="AJ35" s="767" t="s">
        <v>35</v>
      </c>
      <c r="AK35" s="767" t="s">
        <v>36</v>
      </c>
      <c r="AL35" s="767" t="s">
        <v>62</v>
      </c>
      <c r="AM35" s="767" t="s">
        <v>63</v>
      </c>
    </row>
    <row r="36" customHeight="1" spans="1:37">
      <c r="A36" s="768" t="s">
        <v>272</v>
      </c>
      <c r="B36" s="769"/>
      <c r="C36" s="778"/>
      <c r="D36" s="789"/>
      <c r="E36" s="789"/>
      <c r="F36" s="789"/>
      <c r="G36" s="789"/>
      <c r="H36" s="789"/>
      <c r="I36" s="789"/>
      <c r="J36" s="781"/>
      <c r="K36" s="781"/>
      <c r="L36" s="781"/>
      <c r="M36" s="781"/>
      <c r="N36" s="781"/>
      <c r="O36" s="781"/>
      <c r="P36" s="781"/>
      <c r="Q36" s="781"/>
      <c r="R36" s="781"/>
      <c r="S36" s="781"/>
      <c r="T36" s="781"/>
      <c r="U36" s="781"/>
      <c r="V36" s="781"/>
      <c r="W36" s="781"/>
      <c r="AI36" s="767" t="s">
        <v>38</v>
      </c>
      <c r="AJ36" s="767" t="s">
        <v>39</v>
      </c>
      <c r="AK36" s="767" t="s">
        <v>40</v>
      </c>
    </row>
    <row r="37" customHeight="1" spans="1:23">
      <c r="A37" s="781"/>
      <c r="B37" s="781"/>
      <c r="C37" s="778"/>
      <c r="D37" s="801" t="s">
        <v>273</v>
      </c>
      <c r="E37" s="801" t="s">
        <v>257</v>
      </c>
      <c r="F37" s="801" t="s">
        <v>258</v>
      </c>
      <c r="G37" s="801" t="s">
        <v>259</v>
      </c>
      <c r="H37" s="801" t="s">
        <v>260</v>
      </c>
      <c r="I37" s="801" t="s">
        <v>261</v>
      </c>
      <c r="J37" s="781"/>
      <c r="K37" s="781"/>
      <c r="L37" s="781"/>
      <c r="M37" s="781"/>
      <c r="N37" s="781"/>
      <c r="O37" s="781"/>
      <c r="P37" s="781"/>
      <c r="Q37" s="781"/>
      <c r="R37" s="781"/>
      <c r="S37" s="781"/>
      <c r="T37" s="781"/>
      <c r="U37" s="781"/>
      <c r="V37" s="781"/>
      <c r="W37" s="781"/>
    </row>
    <row r="38" customHeight="1" spans="1:23">
      <c r="A38" s="781"/>
      <c r="B38" s="802">
        <f>2000000*(1-VLOOKUP(2000000,D26:E28,2,FALSE))-2*1000000*(1-VLOOKUP(1000000,D26:E28,2,FALSE))+B9-1000000*B7</f>
        <v>0</v>
      </c>
      <c r="C38" s="802">
        <f>B38-1000000*B24/4</f>
        <v>0</v>
      </c>
      <c r="D38" s="803" t="s">
        <v>263</v>
      </c>
      <c r="E38" s="802">
        <f>E31</f>
        <v>0</v>
      </c>
      <c r="F38" s="802">
        <f t="shared" ref="F38:I41" si="1">F31-E31</f>
        <v>0</v>
      </c>
      <c r="G38" s="802">
        <f t="shared" si="1"/>
        <v>0</v>
      </c>
      <c r="H38" s="802">
        <f t="shared" si="1"/>
        <v>0</v>
      </c>
      <c r="I38" s="802">
        <f t="shared" si="1"/>
        <v>0</v>
      </c>
      <c r="J38" s="781"/>
      <c r="K38" s="781"/>
      <c r="L38" s="781"/>
      <c r="M38" s="781"/>
      <c r="N38" s="781"/>
      <c r="O38" s="781"/>
      <c r="P38" s="781"/>
      <c r="Q38" s="781"/>
      <c r="R38" s="781"/>
      <c r="S38" s="781"/>
      <c r="T38" s="781"/>
      <c r="U38" s="781"/>
      <c r="V38" s="781"/>
      <c r="W38" s="781"/>
    </row>
    <row r="39" customHeight="1" spans="1:23">
      <c r="A39" s="781"/>
      <c r="B39" s="802">
        <f>2000000*(1-VLOOKUP(2000000,D26:E28,2,FALSE))+1000000*(1-VLOOKUP(1000000,D26:E28,2,FALSE))-2*1500000*(1-VLOOKUP(1500000,D26:E28,2,FALSE))-(2000000-1500000)*B7</f>
        <v>0</v>
      </c>
      <c r="C39" s="781"/>
      <c r="D39" s="803" t="s">
        <v>265</v>
      </c>
      <c r="E39" s="802">
        <f>E32</f>
        <v>0</v>
      </c>
      <c r="F39" s="802">
        <f t="shared" si="1"/>
        <v>0</v>
      </c>
      <c r="G39" s="802">
        <f t="shared" si="1"/>
        <v>0</v>
      </c>
      <c r="H39" s="802">
        <f t="shared" si="1"/>
        <v>0</v>
      </c>
      <c r="I39" s="802">
        <f t="shared" si="1"/>
        <v>0</v>
      </c>
      <c r="J39" s="781"/>
      <c r="K39" s="781"/>
      <c r="L39" s="781"/>
      <c r="M39" s="781"/>
      <c r="N39" s="781"/>
      <c r="O39" s="781"/>
      <c r="P39" s="781"/>
      <c r="Q39" s="781"/>
      <c r="R39" s="781"/>
      <c r="S39" s="781"/>
      <c r="T39" s="781"/>
      <c r="U39" s="781"/>
      <c r="V39" s="781"/>
      <c r="W39" s="781"/>
    </row>
    <row r="40" customHeight="1" spans="1:23">
      <c r="A40" s="781"/>
      <c r="B40" s="802"/>
      <c r="C40" s="781"/>
      <c r="D40" s="803" t="s">
        <v>267</v>
      </c>
      <c r="E40" s="802">
        <f>E33</f>
        <v>0</v>
      </c>
      <c r="F40" s="802">
        <f t="shared" si="1"/>
        <v>0</v>
      </c>
      <c r="G40" s="802">
        <f t="shared" si="1"/>
        <v>0</v>
      </c>
      <c r="H40" s="802">
        <f t="shared" si="1"/>
        <v>0</v>
      </c>
      <c r="I40" s="802">
        <f t="shared" si="1"/>
        <v>0</v>
      </c>
      <c r="J40" s="781"/>
      <c r="K40" s="781"/>
      <c r="L40" s="781"/>
      <c r="M40" s="781"/>
      <c r="N40" s="781"/>
      <c r="O40" s="781"/>
      <c r="P40" s="781"/>
      <c r="Q40" s="781"/>
      <c r="R40" s="781"/>
      <c r="S40" s="781"/>
      <c r="T40" s="781"/>
      <c r="U40" s="781"/>
      <c r="V40" s="781"/>
      <c r="W40" s="781"/>
    </row>
    <row r="41" customHeight="1" spans="1:23">
      <c r="A41" s="781"/>
      <c r="B41" s="802">
        <f>2000000*(1-VLOOKUP(2000000,D26:E28,2,FALSE))-(2000000-1000000)/2*B7-1000000*(1-VLOOKUP(1000000,D26:E28,2,FALSE))</f>
        <v>1000000</v>
      </c>
      <c r="C41" s="781"/>
      <c r="D41" s="803" t="s">
        <v>269</v>
      </c>
      <c r="E41" s="802">
        <f>E34</f>
        <v>0</v>
      </c>
      <c r="F41" s="802">
        <f t="shared" si="1"/>
        <v>0</v>
      </c>
      <c r="G41" s="802">
        <f t="shared" si="1"/>
        <v>0</v>
      </c>
      <c r="H41" s="802">
        <f t="shared" si="1"/>
        <v>0</v>
      </c>
      <c r="I41" s="802">
        <f t="shared" si="1"/>
        <v>0</v>
      </c>
      <c r="J41" s="781"/>
      <c r="K41" s="781"/>
      <c r="L41" s="781"/>
      <c r="M41" s="781"/>
      <c r="N41" s="781"/>
      <c r="O41" s="781"/>
      <c r="P41" s="781"/>
      <c r="Q41" s="781"/>
      <c r="R41" s="781"/>
      <c r="S41" s="781"/>
      <c r="T41" s="781"/>
      <c r="U41" s="781"/>
      <c r="V41" s="781"/>
      <c r="W41" s="781"/>
    </row>
    <row r="42" customHeight="1" spans="1:23">
      <c r="A42" s="781"/>
      <c r="B42" s="802">
        <f>-(2000000-1000000)/2*B7-(1000000*(1-VLOOKUP(1000000,D26:E28,2,FALSE))-B9)</f>
        <v>-1000000</v>
      </c>
      <c r="C42" s="781"/>
      <c r="D42" s="781"/>
      <c r="E42" s="781"/>
      <c r="F42" s="781"/>
      <c r="G42" s="781"/>
      <c r="H42" s="781"/>
      <c r="I42" s="781"/>
      <c r="J42" s="781"/>
      <c r="K42" s="781"/>
      <c r="L42" s="781"/>
      <c r="M42" s="781"/>
      <c r="N42" s="781"/>
      <c r="O42" s="781"/>
      <c r="P42" s="781"/>
      <c r="Q42" s="781"/>
      <c r="R42" s="781"/>
      <c r="S42" s="781"/>
      <c r="T42" s="781"/>
      <c r="U42" s="781"/>
      <c r="V42" s="781"/>
      <c r="W42" s="781"/>
    </row>
    <row r="43" customHeight="1" spans="1:23">
      <c r="A43" s="781"/>
      <c r="B43" s="781"/>
      <c r="C43" s="781"/>
      <c r="D43" s="781"/>
      <c r="E43" s="781"/>
      <c r="F43" s="781"/>
      <c r="G43" s="781"/>
      <c r="H43" s="781"/>
      <c r="I43" s="781"/>
      <c r="J43" s="781"/>
      <c r="K43" s="781"/>
      <c r="L43" s="781"/>
      <c r="M43" s="781"/>
      <c r="N43" s="781"/>
      <c r="O43" s="781"/>
      <c r="P43" s="781"/>
      <c r="Q43" s="781"/>
      <c r="R43" s="781"/>
      <c r="S43" s="781"/>
      <c r="T43" s="781"/>
      <c r="U43" s="781"/>
      <c r="V43" s="781"/>
      <c r="W43" s="781"/>
    </row>
    <row r="44" customHeight="1" spans="1:23">
      <c r="A44" s="781"/>
      <c r="B44" s="781"/>
      <c r="C44" s="781"/>
      <c r="D44" s="781"/>
      <c r="E44" s="781"/>
      <c r="F44" s="781"/>
      <c r="G44" s="781"/>
      <c r="H44" s="781"/>
      <c r="I44" s="781"/>
      <c r="J44" s="781"/>
      <c r="K44" s="781"/>
      <c r="L44" s="781"/>
      <c r="M44" s="781"/>
      <c r="N44" s="781"/>
      <c r="O44" s="781"/>
      <c r="P44" s="781"/>
      <c r="Q44" s="781"/>
      <c r="R44" s="781"/>
      <c r="S44" s="781"/>
      <c r="T44" s="781"/>
      <c r="U44" s="781"/>
      <c r="V44" s="781"/>
      <c r="W44" s="781"/>
    </row>
    <row r="45" customHeight="1" spans="1:23">
      <c r="A45" s="781"/>
      <c r="B45" s="781"/>
      <c r="C45" s="781"/>
      <c r="D45" s="801" t="s">
        <v>227</v>
      </c>
      <c r="E45" s="801" t="s">
        <v>198</v>
      </c>
      <c r="F45" s="801" t="s">
        <v>202</v>
      </c>
      <c r="G45" s="801" t="s">
        <v>206</v>
      </c>
      <c r="H45" s="801" t="s">
        <v>208</v>
      </c>
      <c r="I45" s="781"/>
      <c r="J45" s="781"/>
      <c r="K45" s="781"/>
      <c r="L45" s="781"/>
      <c r="M45" s="781"/>
      <c r="N45" s="781"/>
      <c r="O45" s="781"/>
      <c r="P45" s="781"/>
      <c r="Q45" s="781"/>
      <c r="R45" s="781"/>
      <c r="S45" s="781"/>
      <c r="T45" s="781"/>
      <c r="U45" s="781"/>
      <c r="V45" s="781"/>
      <c r="W45" s="781"/>
    </row>
    <row r="46" customHeight="1" spans="1:23">
      <c r="A46" s="781"/>
      <c r="B46" s="781"/>
      <c r="C46" s="781"/>
      <c r="D46" s="803" t="s">
        <v>229</v>
      </c>
      <c r="E46" s="804">
        <v>100</v>
      </c>
      <c r="F46" s="804">
        <v>180</v>
      </c>
      <c r="G46" s="804">
        <v>380</v>
      </c>
      <c r="H46" s="804">
        <v>500</v>
      </c>
      <c r="I46" s="781"/>
      <c r="J46" s="781"/>
      <c r="K46" s="781"/>
      <c r="L46" s="781"/>
      <c r="M46" s="781"/>
      <c r="N46" s="781"/>
      <c r="O46" s="781"/>
      <c r="P46" s="781"/>
      <c r="Q46" s="781"/>
      <c r="R46" s="781"/>
      <c r="S46" s="781"/>
      <c r="T46" s="781"/>
      <c r="U46" s="781"/>
      <c r="V46" s="781"/>
      <c r="W46" s="781"/>
    </row>
    <row r="47" customHeight="1" spans="1:23">
      <c r="A47" s="781"/>
      <c r="B47" s="781"/>
      <c r="C47" s="781"/>
      <c r="D47" s="803" t="s">
        <v>231</v>
      </c>
      <c r="E47" s="804">
        <v>150</v>
      </c>
      <c r="F47" s="804">
        <v>220</v>
      </c>
      <c r="G47" s="804">
        <v>200</v>
      </c>
      <c r="H47" s="804">
        <v>180</v>
      </c>
      <c r="I47" s="781"/>
      <c r="J47" s="781"/>
      <c r="K47" s="781"/>
      <c r="L47" s="781"/>
      <c r="M47" s="781"/>
      <c r="N47" s="781"/>
      <c r="O47" s="781"/>
      <c r="P47" s="781"/>
      <c r="Q47" s="781"/>
      <c r="R47" s="781"/>
      <c r="S47" s="781"/>
      <c r="T47" s="781"/>
      <c r="U47" s="781"/>
      <c r="V47" s="781"/>
      <c r="W47" s="781"/>
    </row>
    <row r="48" customHeight="1" spans="1:23">
      <c r="A48" s="781"/>
      <c r="B48" s="781"/>
      <c r="C48" s="781"/>
      <c r="D48" s="803" t="s">
        <v>234</v>
      </c>
      <c r="E48" s="804">
        <v>300</v>
      </c>
      <c r="F48" s="804">
        <v>1200</v>
      </c>
      <c r="G48" s="804">
        <v>2000</v>
      </c>
      <c r="H48" s="804">
        <v>3000</v>
      </c>
      <c r="I48" s="781"/>
      <c r="J48" s="781"/>
      <c r="K48" s="781"/>
      <c r="L48" s="781"/>
      <c r="M48" s="781"/>
      <c r="N48" s="781"/>
      <c r="O48" s="781"/>
      <c r="P48" s="781"/>
      <c r="Q48" s="781"/>
      <c r="R48" s="781"/>
      <c r="S48" s="781"/>
      <c r="T48" s="781"/>
      <c r="U48" s="781"/>
      <c r="V48" s="781"/>
      <c r="W48" s="781"/>
    </row>
    <row r="49" customHeight="1" spans="1:23">
      <c r="A49" s="781"/>
      <c r="B49" s="781"/>
      <c r="C49" s="781"/>
      <c r="D49" s="804" t="s">
        <v>237</v>
      </c>
      <c r="E49" s="805">
        <f>E47/E46</f>
        <v>1.5</v>
      </c>
      <c r="F49" s="805">
        <f>F47/F46</f>
        <v>1.22222222222222</v>
      </c>
      <c r="G49" s="805">
        <f>G47/G46</f>
        <v>0.526315789473684</v>
      </c>
      <c r="H49" s="805">
        <f>H47/H46</f>
        <v>0.36</v>
      </c>
      <c r="I49" s="781"/>
      <c r="J49" s="781"/>
      <c r="K49" s="781"/>
      <c r="L49" s="781"/>
      <c r="M49" s="781"/>
      <c r="N49" s="781"/>
      <c r="O49" s="781"/>
      <c r="P49" s="781"/>
      <c r="Q49" s="781"/>
      <c r="R49" s="781"/>
      <c r="S49" s="781"/>
      <c r="T49" s="781"/>
      <c r="U49" s="781"/>
      <c r="V49" s="781"/>
      <c r="W49" s="781"/>
    </row>
    <row r="50" customHeight="1" spans="1:23">
      <c r="A50" s="781"/>
      <c r="B50" s="781"/>
      <c r="C50" s="781"/>
      <c r="D50" s="804" t="s">
        <v>239</v>
      </c>
      <c r="E50" s="805">
        <f>E48/E46</f>
        <v>3</v>
      </c>
      <c r="F50" s="805">
        <f>F48/F46</f>
        <v>6.66666666666667</v>
      </c>
      <c r="G50" s="805">
        <f>G48/G46</f>
        <v>5.26315789473684</v>
      </c>
      <c r="H50" s="805">
        <f>H48/H46</f>
        <v>6</v>
      </c>
      <c r="I50" s="781"/>
      <c r="J50" s="781"/>
      <c r="K50" s="781"/>
      <c r="L50" s="781"/>
      <c r="M50" s="781"/>
      <c r="N50" s="781"/>
      <c r="O50" s="781"/>
      <c r="P50" s="781"/>
      <c r="Q50" s="781"/>
      <c r="R50" s="781"/>
      <c r="S50" s="781"/>
      <c r="T50" s="781"/>
      <c r="U50" s="781"/>
      <c r="V50" s="781"/>
      <c r="W50" s="781"/>
    </row>
    <row r="51" customHeight="1" spans="1:23">
      <c r="A51" s="781"/>
      <c r="B51" s="781"/>
      <c r="C51" s="781"/>
      <c r="D51" s="781"/>
      <c r="E51" s="781"/>
      <c r="F51" s="781"/>
      <c r="G51" s="781"/>
      <c r="H51" s="781"/>
      <c r="I51" s="781"/>
      <c r="J51" s="781"/>
      <c r="K51" s="781"/>
      <c r="L51" s="781"/>
      <c r="M51" s="781"/>
      <c r="N51" s="781"/>
      <c r="O51" s="781"/>
      <c r="P51" s="781"/>
      <c r="Q51" s="781"/>
      <c r="R51" s="781"/>
      <c r="S51" s="781"/>
      <c r="T51" s="781"/>
      <c r="U51" s="781"/>
      <c r="V51" s="781"/>
      <c r="W51" s="781"/>
    </row>
    <row r="52" customHeight="1" spans="1:23">
      <c r="A52" s="781"/>
      <c r="B52" s="781"/>
      <c r="C52" s="781"/>
      <c r="D52" s="781"/>
      <c r="E52" s="781"/>
      <c r="F52" s="781"/>
      <c r="G52" s="781"/>
      <c r="H52" s="781"/>
      <c r="I52" s="781"/>
      <c r="J52" s="781"/>
      <c r="K52" s="781"/>
      <c r="L52" s="781"/>
      <c r="M52" s="781"/>
      <c r="N52" s="781"/>
      <c r="O52" s="781"/>
      <c r="P52" s="781"/>
      <c r="Q52" s="781"/>
      <c r="R52" s="781"/>
      <c r="S52" s="781"/>
      <c r="T52" s="781"/>
      <c r="U52" s="781"/>
      <c r="V52" s="781"/>
      <c r="W52" s="781"/>
    </row>
    <row r="53" customHeight="1" spans="1:23">
      <c r="A53" s="781"/>
      <c r="B53" s="781"/>
      <c r="C53" s="781"/>
      <c r="D53" s="781"/>
      <c r="E53" s="781"/>
      <c r="F53" s="781"/>
      <c r="G53" s="781"/>
      <c r="H53" s="781"/>
      <c r="I53" s="781"/>
      <c r="J53" s="781"/>
      <c r="K53" s="781"/>
      <c r="L53" s="781"/>
      <c r="M53" s="781"/>
      <c r="N53" s="781"/>
      <c r="O53" s="781"/>
      <c r="P53" s="781"/>
      <c r="Q53" s="781"/>
      <c r="R53" s="781"/>
      <c r="S53" s="781"/>
      <c r="T53" s="781"/>
      <c r="U53" s="781"/>
      <c r="V53" s="781"/>
      <c r="W53" s="781"/>
    </row>
    <row r="54" customHeight="1" spans="1:23">
      <c r="A54" s="781"/>
      <c r="B54" s="781"/>
      <c r="C54" s="781"/>
      <c r="D54" s="781"/>
      <c r="E54" s="781"/>
      <c r="F54" s="781"/>
      <c r="G54" s="781"/>
      <c r="H54" s="781"/>
      <c r="I54" s="781"/>
      <c r="J54" s="781"/>
      <c r="K54" s="781"/>
      <c r="L54" s="781"/>
      <c r="M54" s="781"/>
      <c r="N54" s="781"/>
      <c r="O54" s="781"/>
      <c r="P54" s="781"/>
      <c r="Q54" s="781"/>
      <c r="R54" s="781"/>
      <c r="S54" s="781"/>
      <c r="T54" s="781"/>
      <c r="U54" s="781"/>
      <c r="V54" s="781"/>
      <c r="W54" s="781"/>
    </row>
    <row r="55" customHeight="1" spans="1:23">
      <c r="A55" s="781"/>
      <c r="B55" s="781"/>
      <c r="C55" s="781"/>
      <c r="D55" s="781"/>
      <c r="E55" s="781"/>
      <c r="F55" s="781"/>
      <c r="G55" s="781"/>
      <c r="H55" s="781"/>
      <c r="I55" s="781"/>
      <c r="J55" s="781"/>
      <c r="K55" s="781"/>
      <c r="L55" s="781"/>
      <c r="M55" s="781"/>
      <c r="N55" s="781"/>
      <c r="O55" s="781"/>
      <c r="P55" s="781"/>
      <c r="Q55" s="781"/>
      <c r="R55" s="781"/>
      <c r="S55" s="781"/>
      <c r="T55" s="781"/>
      <c r="U55" s="781"/>
      <c r="V55" s="781"/>
      <c r="W55" s="781"/>
    </row>
    <row r="56" customHeight="1" spans="1:23">
      <c r="A56" s="781"/>
      <c r="B56" s="781"/>
      <c r="C56" s="781"/>
      <c r="D56" s="781"/>
      <c r="E56" s="781"/>
      <c r="F56" s="781"/>
      <c r="G56" s="781"/>
      <c r="H56" s="781"/>
      <c r="I56" s="781"/>
      <c r="J56" s="781"/>
      <c r="K56" s="781"/>
      <c r="L56" s="781"/>
      <c r="M56" s="781"/>
      <c r="N56" s="781"/>
      <c r="O56" s="781"/>
      <c r="P56" s="781"/>
      <c r="Q56" s="781"/>
      <c r="R56" s="781"/>
      <c r="S56" s="781"/>
      <c r="T56" s="781"/>
      <c r="U56" s="781"/>
      <c r="V56" s="781"/>
      <c r="W56" s="781"/>
    </row>
    <row r="57" customHeight="1" spans="1:23">
      <c r="A57" s="781"/>
      <c r="B57" s="781"/>
      <c r="C57" s="781"/>
      <c r="D57" s="781"/>
      <c r="E57" s="781"/>
      <c r="F57" s="781"/>
      <c r="G57" s="781"/>
      <c r="H57" s="781"/>
      <c r="I57" s="781"/>
      <c r="J57" s="781"/>
      <c r="K57" s="781"/>
      <c r="L57" s="781"/>
      <c r="M57" s="781"/>
      <c r="N57" s="781"/>
      <c r="O57" s="781"/>
      <c r="P57" s="781"/>
      <c r="Q57" s="781"/>
      <c r="R57" s="781"/>
      <c r="S57" s="781"/>
      <c r="T57" s="781"/>
      <c r="U57" s="781"/>
      <c r="V57" s="781"/>
      <c r="W57" s="781"/>
    </row>
    <row r="58" customHeight="1" spans="1:23">
      <c r="A58" s="781"/>
      <c r="B58" s="781"/>
      <c r="C58" s="781"/>
      <c r="D58" s="781"/>
      <c r="E58" s="781"/>
      <c r="F58" s="781"/>
      <c r="G58" s="781"/>
      <c r="H58" s="781"/>
      <c r="I58" s="781"/>
      <c r="J58" s="781"/>
      <c r="K58" s="781"/>
      <c r="L58" s="781"/>
      <c r="M58" s="781"/>
      <c r="N58" s="781"/>
      <c r="O58" s="781"/>
      <c r="P58" s="781"/>
      <c r="Q58" s="781"/>
      <c r="R58" s="781"/>
      <c r="S58" s="781"/>
      <c r="T58" s="781"/>
      <c r="U58" s="781"/>
      <c r="V58" s="781"/>
      <c r="W58" s="781"/>
    </row>
    <row r="59" customHeight="1" spans="1:23">
      <c r="A59" s="781"/>
      <c r="B59" s="781"/>
      <c r="C59" s="781"/>
      <c r="D59" s="781"/>
      <c r="E59" s="781"/>
      <c r="F59" s="781"/>
      <c r="G59" s="781"/>
      <c r="H59" s="781"/>
      <c r="I59" s="781"/>
      <c r="J59" s="781"/>
      <c r="K59" s="781"/>
      <c r="L59" s="781"/>
      <c r="M59" s="781"/>
      <c r="N59" s="781"/>
      <c r="O59" s="781"/>
      <c r="P59" s="781"/>
      <c r="Q59" s="781"/>
      <c r="R59" s="781"/>
      <c r="S59" s="781"/>
      <c r="T59" s="781"/>
      <c r="U59" s="781"/>
      <c r="V59" s="781"/>
      <c r="W59" s="781"/>
    </row>
    <row r="60" customHeight="1" spans="1:23">
      <c r="A60" s="781"/>
      <c r="B60" s="781"/>
      <c r="C60" s="781"/>
      <c r="D60" s="781"/>
      <c r="E60" s="781"/>
      <c r="F60" s="781"/>
      <c r="G60" s="781"/>
      <c r="H60" s="781"/>
      <c r="I60" s="781"/>
      <c r="J60" s="781"/>
      <c r="K60" s="781"/>
      <c r="L60" s="781"/>
      <c r="M60" s="781"/>
      <c r="N60" s="781"/>
      <c r="O60" s="781"/>
      <c r="P60" s="781"/>
      <c r="Q60" s="781"/>
      <c r="R60" s="781"/>
      <c r="S60" s="781"/>
      <c r="T60" s="781"/>
      <c r="U60" s="781"/>
      <c r="V60" s="781"/>
      <c r="W60" s="781"/>
    </row>
    <row r="61" customHeight="1" spans="1:23">
      <c r="A61" s="781"/>
      <c r="B61" s="781"/>
      <c r="C61" s="781"/>
      <c r="D61" s="781"/>
      <c r="E61" s="781"/>
      <c r="F61" s="781"/>
      <c r="G61" s="781"/>
      <c r="H61" s="781"/>
      <c r="I61" s="781"/>
      <c r="J61" s="781"/>
      <c r="K61" s="781"/>
      <c r="L61" s="781"/>
      <c r="M61" s="781"/>
      <c r="N61" s="781"/>
      <c r="O61" s="781"/>
      <c r="P61" s="781"/>
      <c r="Q61" s="781"/>
      <c r="R61" s="781"/>
      <c r="S61" s="781"/>
      <c r="T61" s="781"/>
      <c r="U61" s="781"/>
      <c r="V61" s="781"/>
      <c r="W61" s="781"/>
    </row>
    <row r="62" customHeight="1" spans="1:23">
      <c r="A62" s="781"/>
      <c r="B62" s="781"/>
      <c r="C62" s="781"/>
      <c r="D62" s="781"/>
      <c r="E62" s="781"/>
      <c r="F62" s="781"/>
      <c r="G62" s="781"/>
      <c r="H62" s="781"/>
      <c r="I62" s="781"/>
      <c r="J62" s="781"/>
      <c r="K62" s="781"/>
      <c r="L62" s="781"/>
      <c r="M62" s="781"/>
      <c r="N62" s="781"/>
      <c r="O62" s="781"/>
      <c r="P62" s="781"/>
      <c r="Q62" s="781"/>
      <c r="R62" s="781"/>
      <c r="S62" s="781"/>
      <c r="T62" s="781"/>
      <c r="U62" s="781"/>
      <c r="V62" s="781"/>
      <c r="W62" s="781"/>
    </row>
    <row r="63" customHeight="1" spans="13:23">
      <c r="M63" s="781"/>
      <c r="N63" s="781"/>
      <c r="O63" s="781"/>
      <c r="P63" s="781"/>
      <c r="Q63" s="781"/>
      <c r="R63" s="781"/>
      <c r="S63" s="781"/>
      <c r="T63" s="781"/>
      <c r="U63" s="781"/>
      <c r="V63" s="781"/>
      <c r="W63" s="781"/>
    </row>
    <row r="64" customHeight="1" spans="13:23">
      <c r="M64" s="781"/>
      <c r="N64" s="781"/>
      <c r="O64" s="781"/>
      <c r="P64" s="781"/>
      <c r="Q64" s="781"/>
      <c r="R64" s="781"/>
      <c r="S64" s="781"/>
      <c r="T64" s="781"/>
      <c r="U64" s="781"/>
      <c r="V64" s="781"/>
      <c r="W64" s="781"/>
    </row>
    <row r="65" customHeight="1" spans="13:23">
      <c r="M65" s="781"/>
      <c r="N65" s="781"/>
      <c r="O65" s="781"/>
      <c r="P65" s="781"/>
      <c r="Q65" s="781"/>
      <c r="R65" s="781"/>
      <c r="S65" s="781"/>
      <c r="T65" s="781"/>
      <c r="U65" s="781"/>
      <c r="V65" s="781"/>
      <c r="W65" s="781"/>
    </row>
    <row r="66" customHeight="1" spans="13:23">
      <c r="M66" s="781"/>
      <c r="N66" s="781"/>
      <c r="O66" s="781"/>
      <c r="P66" s="781"/>
      <c r="Q66" s="781"/>
      <c r="R66" s="781"/>
      <c r="S66" s="781"/>
      <c r="T66" s="781"/>
      <c r="U66" s="781"/>
      <c r="V66" s="781"/>
      <c r="W66" s="781"/>
    </row>
    <row r="67" customHeight="1" spans="13:23">
      <c r="M67" s="781"/>
      <c r="N67" s="781"/>
      <c r="O67" s="781"/>
      <c r="P67" s="781"/>
      <c r="Q67" s="781"/>
      <c r="R67" s="781"/>
      <c r="S67" s="781"/>
      <c r="T67" s="781"/>
      <c r="U67" s="781"/>
      <c r="V67" s="781"/>
      <c r="W67" s="781"/>
    </row>
    <row r="68" customHeight="1" spans="13:23">
      <c r="M68" s="781"/>
      <c r="N68" s="781"/>
      <c r="O68" s="781"/>
      <c r="P68" s="781"/>
      <c r="Q68" s="781"/>
      <c r="R68" s="781"/>
      <c r="S68" s="781"/>
      <c r="T68" s="781"/>
      <c r="U68" s="781"/>
      <c r="V68" s="781"/>
      <c r="W68" s="781"/>
    </row>
    <row r="69" customHeight="1" spans="13:23">
      <c r="M69" s="781"/>
      <c r="N69" s="781"/>
      <c r="O69" s="781"/>
      <c r="P69" s="781"/>
      <c r="Q69" s="781"/>
      <c r="R69" s="781"/>
      <c r="S69" s="781"/>
      <c r="T69" s="781"/>
      <c r="U69" s="781"/>
      <c r="V69" s="781"/>
      <c r="W69" s="781"/>
    </row>
    <row r="70" customHeight="1" spans="13:23">
      <c r="M70" s="781"/>
      <c r="N70" s="781"/>
      <c r="O70" s="781"/>
      <c r="P70" s="781"/>
      <c r="Q70" s="781"/>
      <c r="R70" s="781"/>
      <c r="S70" s="781"/>
      <c r="T70" s="781"/>
      <c r="U70" s="781"/>
      <c r="V70" s="781"/>
      <c r="W70" s="781"/>
    </row>
    <row r="71" customHeight="1" spans="13:23">
      <c r="M71" s="781"/>
      <c r="N71" s="781"/>
      <c r="O71" s="781"/>
      <c r="P71" s="781"/>
      <c r="Q71" s="781"/>
      <c r="R71" s="781"/>
      <c r="S71" s="781"/>
      <c r="T71" s="781"/>
      <c r="U71" s="781"/>
      <c r="V71" s="781"/>
      <c r="W71" s="781"/>
    </row>
    <row r="72" customHeight="1" spans="13:23">
      <c r="M72" s="781"/>
      <c r="N72" s="781"/>
      <c r="O72" s="781"/>
      <c r="P72" s="781"/>
      <c r="Q72" s="781"/>
      <c r="R72" s="781"/>
      <c r="S72" s="781"/>
      <c r="T72" s="781"/>
      <c r="U72" s="781"/>
      <c r="V72" s="781"/>
      <c r="W72" s="781"/>
    </row>
    <row r="73" customHeight="1" spans="13:23">
      <c r="M73" s="781"/>
      <c r="N73" s="781"/>
      <c r="O73" s="781"/>
      <c r="P73" s="781"/>
      <c r="Q73" s="781"/>
      <c r="R73" s="781"/>
      <c r="S73" s="781"/>
      <c r="T73" s="781"/>
      <c r="U73" s="781"/>
      <c r="V73" s="781"/>
      <c r="W73" s="781"/>
    </row>
    <row r="74" customHeight="1" spans="13:23">
      <c r="M74" s="781"/>
      <c r="N74" s="781"/>
      <c r="O74" s="781"/>
      <c r="P74" s="781"/>
      <c r="Q74" s="781"/>
      <c r="R74" s="781"/>
      <c r="S74" s="781"/>
      <c r="T74" s="781"/>
      <c r="U74" s="781"/>
      <c r="V74" s="781"/>
      <c r="W74" s="781"/>
    </row>
    <row r="75" customHeight="1" spans="13:23">
      <c r="M75" s="781"/>
      <c r="N75" s="781"/>
      <c r="O75" s="781"/>
      <c r="P75" s="781"/>
      <c r="Q75" s="781"/>
      <c r="R75" s="781"/>
      <c r="S75" s="781"/>
      <c r="T75" s="781"/>
      <c r="U75" s="781"/>
      <c r="V75" s="781"/>
      <c r="W75" s="781"/>
    </row>
    <row r="76" customHeight="1" spans="13:23">
      <c r="M76" s="781"/>
      <c r="N76" s="781"/>
      <c r="O76" s="781"/>
      <c r="P76" s="781"/>
      <c r="Q76" s="781"/>
      <c r="R76" s="781"/>
      <c r="S76" s="781"/>
      <c r="T76" s="781"/>
      <c r="U76" s="781"/>
      <c r="V76" s="781"/>
      <c r="W76" s="781"/>
    </row>
    <row r="77" customHeight="1" spans="13:23">
      <c r="M77" s="781"/>
      <c r="N77" s="781"/>
      <c r="O77" s="781"/>
      <c r="P77" s="781"/>
      <c r="Q77" s="781"/>
      <c r="R77" s="781"/>
      <c r="S77" s="781"/>
      <c r="T77" s="781"/>
      <c r="U77" s="781"/>
      <c r="V77" s="781"/>
      <c r="W77" s="781"/>
    </row>
    <row r="78" customHeight="1" spans="13:23">
      <c r="M78" s="781"/>
      <c r="N78" s="781"/>
      <c r="O78" s="781"/>
      <c r="P78" s="781"/>
      <c r="Q78" s="781"/>
      <c r="R78" s="781"/>
      <c r="S78" s="781"/>
      <c r="T78" s="781"/>
      <c r="U78" s="781"/>
      <c r="V78" s="781"/>
      <c r="W78" s="781"/>
    </row>
    <row r="79" customHeight="1" spans="13:23">
      <c r="M79" s="781"/>
      <c r="N79" s="781"/>
      <c r="O79" s="781"/>
      <c r="P79" s="781"/>
      <c r="Q79" s="781"/>
      <c r="R79" s="781"/>
      <c r="S79" s="781"/>
      <c r="T79" s="781"/>
      <c r="U79" s="781"/>
      <c r="V79" s="781"/>
      <c r="W79" s="781"/>
    </row>
    <row r="80" customHeight="1" spans="13:23">
      <c r="M80" s="781"/>
      <c r="N80" s="781"/>
      <c r="O80" s="781"/>
      <c r="P80" s="781"/>
      <c r="Q80" s="781"/>
      <c r="R80" s="781"/>
      <c r="S80" s="781"/>
      <c r="T80" s="781"/>
      <c r="U80" s="781"/>
      <c r="V80" s="781"/>
      <c r="W80" s="781"/>
    </row>
  </sheetData>
  <sheetProtection selectLockedCells="1"/>
  <mergeCells count="5">
    <mergeCell ref="C1:E1"/>
    <mergeCell ref="F3:H3"/>
    <mergeCell ref="D4:E4"/>
    <mergeCell ref="A29:B29"/>
    <mergeCell ref="I6:J13"/>
  </mergeCells>
  <dataValidations count="5">
    <dataValidation type="list" allowBlank="1" showErrorMessage="1" errorTitle="错的的比赛系统" error="请选择正确的比赛系统" sqref="B1">
      <formula1>"1,2,3"</formula1>
    </dataValidation>
    <dataValidation type="list" allowBlank="1" showInputMessage="1" showErrorMessage="1" sqref="K1">
      <formula1>"edu.ibizsim.cn,www.ibizsim.cn"</formula1>
    </dataValidation>
    <dataValidation type="list" showErrorMessage="1" errorTitle="错的的模板模式" error="请选择正确的模板模式" sqref="B2" showDropDown="1">
      <formula1>"2"</formula1>
    </dataValidation>
    <dataValidation type="list" allowBlank="1" showInputMessage="1" showErrorMessage="1" sqref="B5">
      <formula1>"2,3,4,5,6,7,8,9,10,11,12,13,14,15,16,17,18,19,20"</formula1>
    </dataValidation>
    <dataValidation type="list" allowBlank="1" showInputMessage="1" showErrorMessage="1" sqref="B6">
      <formula1>"1,2,3,4,5,6,7,8,9,10,11,12,13,14,15,16,17,18,19,20"</formula1>
    </dataValidation>
  </dataValidations>
  <pageMargins left="0.698611111111111" right="0.698611111111111" top="0.75" bottom="0.75" header="0.3" footer="0.3"/>
  <pageSetup paperSize="9" firstPageNumber="4294963191" orientation="portrait" useFirstPageNumber="1"/>
  <headerFooter alignWithMargins="0"/>
  <ignoredErrors>
    <ignoredError sqref="B39" evalError="1" unlockedFormula="1"/>
    <ignoredError sqref="B38:I38 C37:I37 B40:I43 C39:I39" unlockedFormula="1"/>
  </ignoredErrors>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AY259"/>
  <sheetViews>
    <sheetView workbookViewId="0">
      <selection activeCell="I17" sqref="I17"/>
    </sheetView>
  </sheetViews>
  <sheetFormatPr defaultColWidth="9" defaultRowHeight="13.5"/>
  <cols>
    <col min="2" max="3" width="10" customWidth="1"/>
    <col min="5" max="5" width="10" customWidth="1"/>
    <col min="6" max="6" width="13.4513274336283" customWidth="1"/>
    <col min="13" max="13" width="2.36283185840708" customWidth="1"/>
    <col min="14" max="14" width="0.902654867256637" hidden="1" customWidth="1"/>
    <col min="15" max="15" width="22.4513274336283" hidden="1" customWidth="1"/>
    <col min="16" max="16" width="6.90265486725664" customWidth="1"/>
    <col min="17" max="17" width="9.36283185840708" hidden="1" customWidth="1"/>
  </cols>
  <sheetData>
    <row r="1" spans="1:6">
      <c r="A1" s="756" t="s">
        <v>274</v>
      </c>
      <c r="B1" s="757"/>
      <c r="C1" s="757"/>
      <c r="D1" s="757"/>
      <c r="E1" s="757"/>
      <c r="F1" s="757"/>
    </row>
    <row r="2" spans="1:6">
      <c r="A2" s="756" t="s">
        <v>275</v>
      </c>
      <c r="B2" s="756" t="s">
        <v>38</v>
      </c>
      <c r="C2" s="756" t="s">
        <v>39</v>
      </c>
      <c r="D2" s="756" t="s">
        <v>40</v>
      </c>
      <c r="E2" s="756" t="s">
        <v>41</v>
      </c>
      <c r="F2" s="756" t="s">
        <v>276</v>
      </c>
    </row>
    <row r="3" spans="1:8">
      <c r="A3" s="756" t="s">
        <v>198</v>
      </c>
      <c r="B3" s="758"/>
      <c r="C3" s="758"/>
      <c r="D3" s="758"/>
      <c r="E3" s="758"/>
      <c r="F3" s="758"/>
      <c r="H3" t="s">
        <v>277</v>
      </c>
    </row>
    <row r="4" spans="1:8">
      <c r="A4" s="756" t="s">
        <v>202</v>
      </c>
      <c r="B4" s="758"/>
      <c r="C4" s="758"/>
      <c r="D4" s="758"/>
      <c r="E4" s="758"/>
      <c r="F4" s="758"/>
      <c r="H4" t="s">
        <v>278</v>
      </c>
    </row>
    <row r="5" spans="1:8">
      <c r="A5" s="756" t="s">
        <v>206</v>
      </c>
      <c r="B5" s="758"/>
      <c r="C5" s="758"/>
      <c r="D5" s="758"/>
      <c r="E5" s="758"/>
      <c r="F5" s="758">
        <v>0</v>
      </c>
      <c r="H5" t="s">
        <v>279</v>
      </c>
    </row>
    <row r="6" spans="1:6">
      <c r="A6" s="756" t="s">
        <v>208</v>
      </c>
      <c r="B6" s="758"/>
      <c r="C6" s="758"/>
      <c r="D6" s="758"/>
      <c r="E6" s="758"/>
      <c r="F6" s="758">
        <v>0</v>
      </c>
    </row>
    <row r="7" spans="1:6">
      <c r="A7" s="756" t="s">
        <v>280</v>
      </c>
      <c r="B7" s="758"/>
      <c r="C7" s="758"/>
      <c r="D7" s="758"/>
      <c r="E7" s="758">
        <v>0</v>
      </c>
      <c r="F7" s="759" t="s">
        <v>281</v>
      </c>
    </row>
    <row r="8" ht="14.25" customHeight="1" spans="1:43">
      <c r="A8" s="756" t="s">
        <v>282</v>
      </c>
      <c r="B8" s="756" t="s">
        <v>38</v>
      </c>
      <c r="C8" s="756" t="s">
        <v>39</v>
      </c>
      <c r="D8" s="756" t="s">
        <v>40</v>
      </c>
      <c r="E8" s="756" t="s">
        <v>41</v>
      </c>
      <c r="F8" s="758"/>
      <c r="AI8" t="s">
        <v>283</v>
      </c>
      <c r="AJ8" t="s">
        <v>284</v>
      </c>
      <c r="AK8" t="s">
        <v>285</v>
      </c>
      <c r="AL8" t="s">
        <v>286</v>
      </c>
      <c r="AM8" t="s">
        <v>287</v>
      </c>
      <c r="AN8" t="s">
        <v>288</v>
      </c>
      <c r="AO8" t="s">
        <v>289</v>
      </c>
      <c r="AP8" t="s">
        <v>290</v>
      </c>
      <c r="AQ8" t="s">
        <v>291</v>
      </c>
    </row>
    <row r="9" spans="1:43">
      <c r="A9" s="756" t="s">
        <v>198</v>
      </c>
      <c r="B9" s="758"/>
      <c r="C9" s="758"/>
      <c r="D9" s="758"/>
      <c r="E9" s="758"/>
      <c r="F9" s="760" t="s">
        <v>292</v>
      </c>
      <c r="AI9">
        <v>1</v>
      </c>
      <c r="AJ9">
        <v>1</v>
      </c>
      <c r="AK9">
        <v>0</v>
      </c>
      <c r="AL9">
        <v>116</v>
      </c>
      <c r="AM9">
        <v>116</v>
      </c>
      <c r="AN9" s="726">
        <v>0.05</v>
      </c>
      <c r="AO9">
        <v>0</v>
      </c>
      <c r="AP9">
        <v>8</v>
      </c>
      <c r="AQ9">
        <v>4</v>
      </c>
    </row>
    <row r="10" ht="15.75" spans="1:43">
      <c r="A10" s="756" t="s">
        <v>202</v>
      </c>
      <c r="B10" s="758"/>
      <c r="C10" s="758"/>
      <c r="D10" s="758"/>
      <c r="E10" s="758"/>
      <c r="F10" s="758"/>
      <c r="H10" s="761" t="s">
        <v>293</v>
      </c>
      <c r="I10" s="761"/>
      <c r="J10" s="763" t="s">
        <v>294</v>
      </c>
      <c r="N10" s="764" t="s">
        <v>295</v>
      </c>
      <c r="O10" s="765" t="e">
        <f>初始化表!I1</f>
        <v>#VALUE!</v>
      </c>
      <c r="AI10">
        <v>1</v>
      </c>
      <c r="AJ10">
        <v>2</v>
      </c>
      <c r="AK10">
        <v>0</v>
      </c>
      <c r="AL10">
        <v>116</v>
      </c>
      <c r="AM10">
        <v>116</v>
      </c>
      <c r="AN10" s="726">
        <v>0.05</v>
      </c>
      <c r="AO10">
        <v>0</v>
      </c>
      <c r="AP10">
        <v>8</v>
      </c>
      <c r="AQ10">
        <v>4</v>
      </c>
    </row>
    <row r="11" ht="15.75" spans="1:43">
      <c r="A11" s="756" t="s">
        <v>206</v>
      </c>
      <c r="B11" s="758"/>
      <c r="C11" s="762"/>
      <c r="D11" s="758"/>
      <c r="E11" s="758"/>
      <c r="F11" s="760" t="s">
        <v>296</v>
      </c>
      <c r="N11" s="764" t="s">
        <v>182</v>
      </c>
      <c r="O11" s="765" t="e">
        <f>初始化表!I2</f>
        <v>#VALUE!</v>
      </c>
      <c r="AI11">
        <v>1</v>
      </c>
      <c r="AJ11">
        <v>3</v>
      </c>
      <c r="AK11">
        <v>0</v>
      </c>
      <c r="AL11">
        <v>154</v>
      </c>
      <c r="AM11">
        <v>154</v>
      </c>
      <c r="AN11" s="726">
        <v>0.05</v>
      </c>
      <c r="AO11">
        <v>0</v>
      </c>
      <c r="AP11">
        <v>73</v>
      </c>
      <c r="AQ11">
        <v>6</v>
      </c>
    </row>
    <row r="12" ht="15.75" spans="1:43">
      <c r="A12" s="756" t="s">
        <v>208</v>
      </c>
      <c r="B12" s="758">
        <v>0</v>
      </c>
      <c r="C12" s="758">
        <v>0</v>
      </c>
      <c r="D12" s="758">
        <v>0</v>
      </c>
      <c r="E12" s="758">
        <v>0</v>
      </c>
      <c r="F12" s="758"/>
      <c r="N12" s="764" t="s">
        <v>297</v>
      </c>
      <c r="O12" s="765" t="e">
        <f>初始化表!K2</f>
        <v>#VALUE!</v>
      </c>
      <c r="Q12" t="e">
        <f>O12+J15</f>
        <v>#VALUE!</v>
      </c>
      <c r="AI12">
        <v>1</v>
      </c>
      <c r="AJ12">
        <v>4</v>
      </c>
      <c r="AK12">
        <v>0</v>
      </c>
      <c r="AL12">
        <v>155</v>
      </c>
      <c r="AM12">
        <v>155</v>
      </c>
      <c r="AN12" s="726">
        <v>0.05</v>
      </c>
      <c r="AO12">
        <v>0</v>
      </c>
      <c r="AP12">
        <v>68</v>
      </c>
      <c r="AQ12">
        <v>6</v>
      </c>
    </row>
    <row r="13" spans="1:43">
      <c r="A13" s="756" t="s">
        <v>298</v>
      </c>
      <c r="B13" s="756" t="s">
        <v>103</v>
      </c>
      <c r="C13" s="756" t="s">
        <v>299</v>
      </c>
      <c r="D13" s="756" t="s">
        <v>104</v>
      </c>
      <c r="E13" s="756" t="s">
        <v>300</v>
      </c>
      <c r="F13" s="756" t="s">
        <v>110</v>
      </c>
      <c r="AI13">
        <v>2</v>
      </c>
      <c r="AJ13">
        <v>1</v>
      </c>
      <c r="AK13">
        <v>2</v>
      </c>
      <c r="AL13">
        <v>97</v>
      </c>
      <c r="AM13">
        <v>70</v>
      </c>
      <c r="AN13" s="726">
        <v>0.05</v>
      </c>
      <c r="AO13">
        <v>8</v>
      </c>
      <c r="AP13">
        <v>0</v>
      </c>
      <c r="AQ13">
        <v>3</v>
      </c>
    </row>
    <row r="14" spans="1:43">
      <c r="A14" s="756" t="s">
        <v>198</v>
      </c>
      <c r="B14" s="758"/>
      <c r="C14" s="758"/>
      <c r="D14" s="758">
        <v>0</v>
      </c>
      <c r="E14" s="758">
        <v>0</v>
      </c>
      <c r="F14" s="758">
        <v>0</v>
      </c>
      <c r="AI14">
        <v>2</v>
      </c>
      <c r="AJ14">
        <v>2</v>
      </c>
      <c r="AK14">
        <v>2</v>
      </c>
      <c r="AL14">
        <v>97</v>
      </c>
      <c r="AM14">
        <v>70</v>
      </c>
      <c r="AN14" s="726">
        <v>0.05</v>
      </c>
      <c r="AO14">
        <v>8</v>
      </c>
      <c r="AP14">
        <v>0</v>
      </c>
      <c r="AQ14">
        <v>3</v>
      </c>
    </row>
    <row r="15" spans="1:43">
      <c r="A15" s="756" t="s">
        <v>202</v>
      </c>
      <c r="B15" s="758"/>
      <c r="C15" s="758"/>
      <c r="D15" s="758">
        <v>0</v>
      </c>
      <c r="E15" s="758">
        <v>0</v>
      </c>
      <c r="F15" s="758">
        <v>0</v>
      </c>
      <c r="I15" t="s">
        <v>301</v>
      </c>
      <c r="J15" s="763">
        <v>1</v>
      </c>
      <c r="K15" t="s">
        <v>302</v>
      </c>
      <c r="Q15" s="766" t="str">
        <f>IF(J15=1,"第1期",IF(J15=2,"第2期",IF(J15=3,"第3期",IF(J15=4,"第4期",IF(J15=5,"第5期",IF(J15=6,"第6期",IF(J15=7,"第7期","第8期")))))))</f>
        <v>第1期</v>
      </c>
      <c r="AI15">
        <v>2</v>
      </c>
      <c r="AJ15">
        <v>3</v>
      </c>
      <c r="AK15">
        <v>5</v>
      </c>
      <c r="AL15">
        <v>135</v>
      </c>
      <c r="AM15">
        <v>106</v>
      </c>
      <c r="AN15" s="726">
        <v>0.05</v>
      </c>
      <c r="AO15">
        <v>10</v>
      </c>
      <c r="AP15">
        <v>0</v>
      </c>
      <c r="AQ15">
        <v>4</v>
      </c>
    </row>
    <row r="16" spans="1:43">
      <c r="A16" s="756" t="s">
        <v>206</v>
      </c>
      <c r="B16" s="758">
        <v>0</v>
      </c>
      <c r="C16" s="758">
        <v>0</v>
      </c>
      <c r="D16" s="758">
        <v>0</v>
      </c>
      <c r="E16" s="758">
        <v>0</v>
      </c>
      <c r="F16" s="758">
        <v>0</v>
      </c>
      <c r="AI16">
        <v>2</v>
      </c>
      <c r="AJ16">
        <v>4</v>
      </c>
      <c r="AK16">
        <v>4</v>
      </c>
      <c r="AL16">
        <v>135</v>
      </c>
      <c r="AM16">
        <v>106</v>
      </c>
      <c r="AN16" s="726">
        <v>0.05</v>
      </c>
      <c r="AO16">
        <v>10</v>
      </c>
      <c r="AP16">
        <v>0</v>
      </c>
      <c r="AQ16">
        <v>4</v>
      </c>
    </row>
    <row r="17" ht="15.75" customHeight="1" spans="1:43">
      <c r="A17" s="756" t="s">
        <v>208</v>
      </c>
      <c r="B17" s="758">
        <v>0</v>
      </c>
      <c r="C17" s="758">
        <v>0</v>
      </c>
      <c r="D17" s="758">
        <v>0</v>
      </c>
      <c r="E17" s="758">
        <v>0</v>
      </c>
      <c r="F17" s="758">
        <v>0</v>
      </c>
      <c r="AI17">
        <v>3</v>
      </c>
      <c r="AJ17">
        <v>1</v>
      </c>
      <c r="AK17">
        <v>0</v>
      </c>
      <c r="AL17">
        <v>62</v>
      </c>
      <c r="AM17">
        <v>0</v>
      </c>
      <c r="AN17" s="726">
        <v>0</v>
      </c>
      <c r="AO17">
        <v>0</v>
      </c>
      <c r="AP17">
        <v>0</v>
      </c>
      <c r="AQ17">
        <v>0</v>
      </c>
    </row>
    <row r="18" ht="14.25" customHeight="1" spans="1:43">
      <c r="A18" s="756" t="s">
        <v>303</v>
      </c>
      <c r="B18" s="756" t="s">
        <v>304</v>
      </c>
      <c r="C18" s="756" t="s">
        <v>305</v>
      </c>
      <c r="D18" s="756" t="s">
        <v>306</v>
      </c>
      <c r="E18" s="756" t="s">
        <v>307</v>
      </c>
      <c r="F18" s="758"/>
      <c r="AI18">
        <v>3</v>
      </c>
      <c r="AJ18">
        <v>2</v>
      </c>
      <c r="AK18">
        <v>0</v>
      </c>
      <c r="AL18">
        <v>62</v>
      </c>
      <c r="AM18">
        <v>0</v>
      </c>
      <c r="AN18" s="726">
        <v>0</v>
      </c>
      <c r="AO18">
        <v>0</v>
      </c>
      <c r="AP18">
        <v>0</v>
      </c>
      <c r="AQ18">
        <v>0</v>
      </c>
    </row>
    <row r="19" spans="1:43">
      <c r="A19" s="757"/>
      <c r="B19" s="758">
        <v>6</v>
      </c>
      <c r="C19" s="758">
        <v>6</v>
      </c>
      <c r="D19" s="758">
        <v>0</v>
      </c>
      <c r="E19" s="758"/>
      <c r="F19" s="758"/>
      <c r="AI19">
        <v>3</v>
      </c>
      <c r="AJ19">
        <v>3</v>
      </c>
      <c r="AK19">
        <v>0</v>
      </c>
      <c r="AL19">
        <v>71</v>
      </c>
      <c r="AM19">
        <v>0</v>
      </c>
      <c r="AN19" s="726">
        <v>0</v>
      </c>
      <c r="AO19">
        <v>0</v>
      </c>
      <c r="AP19">
        <v>0</v>
      </c>
      <c r="AQ19">
        <v>0</v>
      </c>
    </row>
    <row r="20" spans="1:43">
      <c r="A20" s="756" t="s">
        <v>308</v>
      </c>
      <c r="B20" s="756" t="s">
        <v>309</v>
      </c>
      <c r="C20" s="756" t="s">
        <v>310</v>
      </c>
      <c r="D20" s="756" t="s">
        <v>311</v>
      </c>
      <c r="E20" s="756" t="s">
        <v>312</v>
      </c>
      <c r="F20" s="756" t="s">
        <v>313</v>
      </c>
      <c r="AI20">
        <v>3</v>
      </c>
      <c r="AJ20">
        <v>4</v>
      </c>
      <c r="AK20">
        <v>0</v>
      </c>
      <c r="AL20">
        <v>71</v>
      </c>
      <c r="AM20">
        <v>0</v>
      </c>
      <c r="AN20" s="726">
        <v>0</v>
      </c>
      <c r="AO20">
        <v>0</v>
      </c>
      <c r="AP20">
        <v>0</v>
      </c>
      <c r="AQ20">
        <v>0</v>
      </c>
    </row>
    <row r="21" spans="1:43">
      <c r="A21" s="757"/>
      <c r="B21" s="758">
        <v>0</v>
      </c>
      <c r="C21" s="758">
        <v>0</v>
      </c>
      <c r="D21" s="758">
        <v>0</v>
      </c>
      <c r="E21" s="758">
        <v>0</v>
      </c>
      <c r="F21" s="758">
        <v>1</v>
      </c>
      <c r="AI21">
        <v>4</v>
      </c>
      <c r="AJ21">
        <v>1</v>
      </c>
      <c r="AK21">
        <v>0</v>
      </c>
      <c r="AL21">
        <v>66</v>
      </c>
      <c r="AM21">
        <v>0</v>
      </c>
      <c r="AN21" s="726">
        <v>0</v>
      </c>
      <c r="AO21">
        <v>0</v>
      </c>
      <c r="AP21">
        <v>0</v>
      </c>
      <c r="AQ21">
        <v>0</v>
      </c>
    </row>
    <row r="22" spans="35:43">
      <c r="AI22">
        <v>4</v>
      </c>
      <c r="AJ22">
        <v>2</v>
      </c>
      <c r="AK22">
        <v>0</v>
      </c>
      <c r="AL22">
        <v>66</v>
      </c>
      <c r="AM22">
        <v>0</v>
      </c>
      <c r="AN22" s="726">
        <v>0</v>
      </c>
      <c r="AO22">
        <v>0</v>
      </c>
      <c r="AP22">
        <v>0</v>
      </c>
      <c r="AQ22">
        <v>0</v>
      </c>
    </row>
    <row r="23" spans="35:43">
      <c r="AI23">
        <v>4</v>
      </c>
      <c r="AJ23">
        <v>3</v>
      </c>
      <c r="AK23">
        <v>0</v>
      </c>
      <c r="AL23">
        <v>76</v>
      </c>
      <c r="AM23">
        <v>0</v>
      </c>
      <c r="AN23" s="726">
        <v>0</v>
      </c>
      <c r="AO23">
        <v>0</v>
      </c>
      <c r="AP23">
        <v>0</v>
      </c>
      <c r="AQ23">
        <v>0</v>
      </c>
    </row>
    <row r="24" spans="35:43">
      <c r="AI24">
        <v>4</v>
      </c>
      <c r="AJ24">
        <v>4</v>
      </c>
      <c r="AK24">
        <v>0</v>
      </c>
      <c r="AL24">
        <v>76</v>
      </c>
      <c r="AM24">
        <v>0</v>
      </c>
      <c r="AN24" s="726">
        <v>0</v>
      </c>
      <c r="AO24">
        <v>0</v>
      </c>
      <c r="AP24">
        <v>0</v>
      </c>
      <c r="AQ24">
        <v>0</v>
      </c>
    </row>
    <row r="25" spans="35:40">
      <c r="AI25" t="s">
        <v>283</v>
      </c>
      <c r="AJ25" t="s">
        <v>314</v>
      </c>
      <c r="AK25" t="s">
        <v>315</v>
      </c>
      <c r="AL25" t="s">
        <v>316</v>
      </c>
      <c r="AM25" t="s">
        <v>317</v>
      </c>
      <c r="AN25" t="s">
        <v>318</v>
      </c>
    </row>
    <row r="26" spans="35:40">
      <c r="AI26" t="s">
        <v>35</v>
      </c>
      <c r="AJ26">
        <v>48</v>
      </c>
      <c r="AK26" s="727">
        <v>0</v>
      </c>
      <c r="AL26" s="727">
        <v>120000</v>
      </c>
      <c r="AM26">
        <v>1</v>
      </c>
      <c r="AN26">
        <v>0.961</v>
      </c>
    </row>
    <row r="27" spans="35:40">
      <c r="AI27" t="s">
        <v>36</v>
      </c>
      <c r="AJ27">
        <v>37</v>
      </c>
      <c r="AK27" s="727">
        <v>0</v>
      </c>
      <c r="AL27" s="727">
        <v>240000</v>
      </c>
      <c r="AM27">
        <v>1</v>
      </c>
      <c r="AN27">
        <v>0.961</v>
      </c>
    </row>
    <row r="28" spans="35:40">
      <c r="AI28" t="s">
        <v>62</v>
      </c>
      <c r="AJ28">
        <v>0</v>
      </c>
      <c r="AK28" s="727">
        <v>0</v>
      </c>
      <c r="AL28" s="727">
        <v>0</v>
      </c>
      <c r="AM28">
        <v>0</v>
      </c>
      <c r="AN28">
        <v>0.961</v>
      </c>
    </row>
    <row r="29" spans="35:40">
      <c r="AI29" t="s">
        <v>63</v>
      </c>
      <c r="AJ29">
        <v>0</v>
      </c>
      <c r="AK29" s="727">
        <v>0</v>
      </c>
      <c r="AL29" s="727">
        <v>0</v>
      </c>
      <c r="AM29">
        <v>0</v>
      </c>
      <c r="AN29">
        <v>0.962</v>
      </c>
    </row>
    <row r="35" spans="35:39">
      <c r="AI35" t="s">
        <v>37</v>
      </c>
      <c r="AJ35" t="s">
        <v>35</v>
      </c>
      <c r="AK35" t="s">
        <v>36</v>
      </c>
      <c r="AL35" t="s">
        <v>62</v>
      </c>
      <c r="AM35" t="s">
        <v>63</v>
      </c>
    </row>
    <row r="36" spans="35:50">
      <c r="AI36" t="s">
        <v>319</v>
      </c>
      <c r="AJ36" t="s">
        <v>320</v>
      </c>
      <c r="AK36" t="s">
        <v>321</v>
      </c>
      <c r="AL36" t="s">
        <v>322</v>
      </c>
      <c r="AM36" t="s">
        <v>319</v>
      </c>
      <c r="AN36" t="s">
        <v>320</v>
      </c>
      <c r="AO36" t="s">
        <v>321</v>
      </c>
      <c r="AP36" t="s">
        <v>322</v>
      </c>
      <c r="AQ36" t="s">
        <v>319</v>
      </c>
      <c r="AR36" t="s">
        <v>320</v>
      </c>
      <c r="AS36" t="s">
        <v>321</v>
      </c>
      <c r="AT36" t="s">
        <v>322</v>
      </c>
      <c r="AU36" t="s">
        <v>319</v>
      </c>
      <c r="AV36" t="s">
        <v>320</v>
      </c>
      <c r="AW36" t="s">
        <v>321</v>
      </c>
      <c r="AX36" t="s">
        <v>322</v>
      </c>
    </row>
    <row r="37" spans="35:51">
      <c r="AI37" t="s">
        <v>323</v>
      </c>
      <c r="AJ37" s="708">
        <v>4200</v>
      </c>
      <c r="AK37" s="708">
        <v>4200</v>
      </c>
      <c r="AL37" s="708">
        <v>4300</v>
      </c>
      <c r="AM37" s="708">
        <v>4300</v>
      </c>
      <c r="AN37" s="708">
        <v>5600</v>
      </c>
      <c r="AO37" s="708">
        <v>5600</v>
      </c>
      <c r="AP37" s="708">
        <v>5750</v>
      </c>
      <c r="AQ37" s="708">
        <v>5750</v>
      </c>
      <c r="AR37" s="708">
        <v>9000</v>
      </c>
      <c r="AS37" s="708">
        <v>9000</v>
      </c>
      <c r="AT37" s="708">
        <v>9200</v>
      </c>
      <c r="AU37" s="708">
        <v>9200</v>
      </c>
      <c r="AV37" s="708">
        <v>11500</v>
      </c>
      <c r="AW37" s="708">
        <v>11500</v>
      </c>
      <c r="AX37" s="708">
        <v>11800</v>
      </c>
      <c r="AY37" s="708">
        <v>11800</v>
      </c>
    </row>
    <row r="38" spans="35:51">
      <c r="AI38" t="s">
        <v>324</v>
      </c>
      <c r="AJ38" s="708">
        <v>4200</v>
      </c>
      <c r="AK38" s="708">
        <v>4200</v>
      </c>
      <c r="AL38" s="708">
        <v>4300</v>
      </c>
      <c r="AM38" s="708">
        <v>4300</v>
      </c>
      <c r="AN38" s="708">
        <v>5600</v>
      </c>
      <c r="AO38" s="708">
        <v>5600</v>
      </c>
      <c r="AP38" s="708">
        <v>5750</v>
      </c>
      <c r="AQ38" s="708">
        <v>5750</v>
      </c>
      <c r="AR38" s="708">
        <v>9000</v>
      </c>
      <c r="AS38" s="708">
        <v>9000</v>
      </c>
      <c r="AT38" s="708">
        <v>9200</v>
      </c>
      <c r="AU38" s="708">
        <v>9200</v>
      </c>
      <c r="AV38" s="708">
        <v>11500</v>
      </c>
      <c r="AW38" s="708">
        <v>11500</v>
      </c>
      <c r="AX38" s="708">
        <v>11800</v>
      </c>
      <c r="AY38" s="708">
        <v>11800</v>
      </c>
    </row>
    <row r="39" spans="35:51">
      <c r="AI39" t="s">
        <v>325</v>
      </c>
      <c r="AJ39" s="708">
        <v>4200</v>
      </c>
      <c r="AK39" s="708">
        <v>4200</v>
      </c>
      <c r="AL39" s="708">
        <v>4300</v>
      </c>
      <c r="AM39" s="708">
        <v>4300</v>
      </c>
      <c r="AN39" s="708">
        <v>5600</v>
      </c>
      <c r="AO39" s="708">
        <v>5600</v>
      </c>
      <c r="AP39" s="708">
        <v>5750</v>
      </c>
      <c r="AQ39" s="708">
        <v>5750</v>
      </c>
      <c r="AR39" s="708">
        <v>9000</v>
      </c>
      <c r="AS39" s="708">
        <v>9000</v>
      </c>
      <c r="AT39" s="708">
        <v>9200</v>
      </c>
      <c r="AU39" s="708">
        <v>9200</v>
      </c>
      <c r="AV39" s="708">
        <v>11500</v>
      </c>
      <c r="AW39" s="708">
        <v>11500</v>
      </c>
      <c r="AX39" s="708">
        <v>11800</v>
      </c>
      <c r="AY39" s="708">
        <v>11800</v>
      </c>
    </row>
    <row r="40" spans="35:51">
      <c r="AI40" t="s">
        <v>326</v>
      </c>
      <c r="AJ40" s="708">
        <v>4200</v>
      </c>
      <c r="AK40" s="708">
        <v>4200</v>
      </c>
      <c r="AL40" s="708">
        <v>4300</v>
      </c>
      <c r="AM40" s="708">
        <v>4300</v>
      </c>
      <c r="AN40" s="708">
        <v>5600</v>
      </c>
      <c r="AO40" s="708">
        <v>5600</v>
      </c>
      <c r="AP40" s="708">
        <v>5750</v>
      </c>
      <c r="AQ40" s="708">
        <v>5750</v>
      </c>
      <c r="AR40" s="708">
        <v>9000</v>
      </c>
      <c r="AS40" s="708">
        <v>9000</v>
      </c>
      <c r="AT40" s="708">
        <v>9200</v>
      </c>
      <c r="AU40" s="708">
        <v>9200</v>
      </c>
      <c r="AV40" s="708">
        <v>11500</v>
      </c>
      <c r="AW40" s="708">
        <v>11500</v>
      </c>
      <c r="AX40" s="708">
        <v>11800</v>
      </c>
      <c r="AY40" s="708">
        <v>11800</v>
      </c>
    </row>
    <row r="41" spans="35:51">
      <c r="AI41" t="s">
        <v>327</v>
      </c>
      <c r="AJ41" s="708">
        <v>4200</v>
      </c>
      <c r="AK41" s="708">
        <v>4200</v>
      </c>
      <c r="AL41" s="708">
        <v>4300</v>
      </c>
      <c r="AM41" s="708">
        <v>4300</v>
      </c>
      <c r="AN41" s="708">
        <v>5600</v>
      </c>
      <c r="AO41" s="708">
        <v>5600</v>
      </c>
      <c r="AP41" s="708">
        <v>5750</v>
      </c>
      <c r="AQ41" s="708">
        <v>5750</v>
      </c>
      <c r="AR41" s="708">
        <v>9000</v>
      </c>
      <c r="AS41" s="708">
        <v>9000</v>
      </c>
      <c r="AT41" s="708">
        <v>9200</v>
      </c>
      <c r="AU41" s="708">
        <v>9200</v>
      </c>
      <c r="AV41" s="708">
        <v>11500</v>
      </c>
      <c r="AW41" s="708">
        <v>11500</v>
      </c>
      <c r="AX41" s="708">
        <v>11800</v>
      </c>
      <c r="AY41" s="708">
        <v>11800</v>
      </c>
    </row>
    <row r="42" spans="35:51">
      <c r="AI42" t="s">
        <v>328</v>
      </c>
      <c r="AJ42" s="708">
        <v>4200</v>
      </c>
      <c r="AK42" s="708">
        <v>4200</v>
      </c>
      <c r="AL42" s="708">
        <v>4300</v>
      </c>
      <c r="AM42" s="708">
        <v>4300</v>
      </c>
      <c r="AN42" s="708">
        <v>5600</v>
      </c>
      <c r="AO42" s="708">
        <v>5600</v>
      </c>
      <c r="AP42" s="708">
        <v>5750</v>
      </c>
      <c r="AQ42" s="708">
        <v>5750</v>
      </c>
      <c r="AR42" s="708">
        <v>9000</v>
      </c>
      <c r="AS42" s="708">
        <v>9000</v>
      </c>
      <c r="AT42" s="708">
        <v>9200</v>
      </c>
      <c r="AU42" s="708">
        <v>9200</v>
      </c>
      <c r="AV42" s="708">
        <v>11500</v>
      </c>
      <c r="AW42" s="708">
        <v>11500</v>
      </c>
      <c r="AX42" s="708">
        <v>11800</v>
      </c>
      <c r="AY42" s="708">
        <v>11800</v>
      </c>
    </row>
    <row r="43" spans="35:51">
      <c r="AI43" t="s">
        <v>329</v>
      </c>
      <c r="AJ43" s="708">
        <v>4200</v>
      </c>
      <c r="AK43" s="708">
        <v>4200</v>
      </c>
      <c r="AL43" s="708">
        <v>4300</v>
      </c>
      <c r="AM43" s="708">
        <v>4300</v>
      </c>
      <c r="AN43" s="708">
        <v>5600</v>
      </c>
      <c r="AO43" s="708">
        <v>5600</v>
      </c>
      <c r="AP43" s="708">
        <v>5750</v>
      </c>
      <c r="AQ43" s="708">
        <v>5750</v>
      </c>
      <c r="AR43" s="708">
        <v>9000</v>
      </c>
      <c r="AS43" s="708">
        <v>9000</v>
      </c>
      <c r="AT43" s="708">
        <v>9200</v>
      </c>
      <c r="AU43" s="708">
        <v>9200</v>
      </c>
      <c r="AV43" s="708">
        <v>11500</v>
      </c>
      <c r="AW43" s="708">
        <v>11500</v>
      </c>
      <c r="AX43" s="708">
        <v>11800</v>
      </c>
      <c r="AY43" s="708">
        <v>11800</v>
      </c>
    </row>
    <row r="44" spans="35:51">
      <c r="AI44" t="s">
        <v>330</v>
      </c>
      <c r="AJ44" s="708">
        <v>4200</v>
      </c>
      <c r="AK44" s="708">
        <v>4200</v>
      </c>
      <c r="AL44" s="708">
        <v>4300</v>
      </c>
      <c r="AM44" s="708">
        <v>4300</v>
      </c>
      <c r="AN44" s="708">
        <v>5600</v>
      </c>
      <c r="AO44" s="708">
        <v>5600</v>
      </c>
      <c r="AP44" s="708">
        <v>5750</v>
      </c>
      <c r="AQ44" s="708">
        <v>5750</v>
      </c>
      <c r="AR44" s="708">
        <v>9000</v>
      </c>
      <c r="AS44" s="708">
        <v>9000</v>
      </c>
      <c r="AT44" s="708">
        <v>9200</v>
      </c>
      <c r="AU44" s="708">
        <v>9200</v>
      </c>
      <c r="AV44" s="708">
        <v>11500</v>
      </c>
      <c r="AW44" s="708">
        <v>11500</v>
      </c>
      <c r="AX44" s="708">
        <v>11800</v>
      </c>
      <c r="AY44" s="708">
        <v>11800</v>
      </c>
    </row>
    <row r="45" spans="35:51">
      <c r="AI45" t="s">
        <v>331</v>
      </c>
      <c r="AJ45" s="708">
        <v>4200</v>
      </c>
      <c r="AK45" s="708">
        <v>4200</v>
      </c>
      <c r="AL45" s="708">
        <v>4300</v>
      </c>
      <c r="AM45" s="708">
        <v>4300</v>
      </c>
      <c r="AN45" s="708">
        <v>5600</v>
      </c>
      <c r="AO45" s="708">
        <v>5600</v>
      </c>
      <c r="AP45" s="708">
        <v>5750</v>
      </c>
      <c r="AQ45" s="708">
        <v>5750</v>
      </c>
      <c r="AR45" s="708">
        <v>9000</v>
      </c>
      <c r="AS45" s="708">
        <v>9000</v>
      </c>
      <c r="AT45" s="708">
        <v>9200</v>
      </c>
      <c r="AU45" s="708">
        <v>9200</v>
      </c>
      <c r="AV45" s="708">
        <v>11500</v>
      </c>
      <c r="AW45" s="708">
        <v>11500</v>
      </c>
      <c r="AX45" s="708">
        <v>11800</v>
      </c>
      <c r="AY45" s="708">
        <v>11800</v>
      </c>
    </row>
    <row r="46" spans="35:51">
      <c r="AI46" t="s">
        <v>332</v>
      </c>
      <c r="AJ46" s="708">
        <v>4200</v>
      </c>
      <c r="AK46" s="708">
        <v>4200</v>
      </c>
      <c r="AL46" s="708">
        <v>4300</v>
      </c>
      <c r="AM46" s="708">
        <v>4300</v>
      </c>
      <c r="AN46" s="708">
        <v>5600</v>
      </c>
      <c r="AO46" s="708">
        <v>5600</v>
      </c>
      <c r="AP46" s="708">
        <v>5750</v>
      </c>
      <c r="AQ46" s="708">
        <v>5750</v>
      </c>
      <c r="AR46" s="708">
        <v>9000</v>
      </c>
      <c r="AS46" s="708">
        <v>9000</v>
      </c>
      <c r="AT46" s="708">
        <v>9200</v>
      </c>
      <c r="AU46" s="708">
        <v>9200</v>
      </c>
      <c r="AV46" s="708">
        <v>11500</v>
      </c>
      <c r="AW46" s="708">
        <v>11500</v>
      </c>
      <c r="AX46" s="708">
        <v>11800</v>
      </c>
      <c r="AY46" s="708">
        <v>11800</v>
      </c>
    </row>
    <row r="47" spans="35:51">
      <c r="AI47" t="s">
        <v>333</v>
      </c>
      <c r="AJ47" s="708">
        <v>4200</v>
      </c>
      <c r="AK47" s="708">
        <v>4200</v>
      </c>
      <c r="AL47" s="708">
        <v>4300</v>
      </c>
      <c r="AM47" s="708">
        <v>4300</v>
      </c>
      <c r="AN47" s="708">
        <v>5600</v>
      </c>
      <c r="AO47" s="708">
        <v>5600</v>
      </c>
      <c r="AP47" s="708">
        <v>5750</v>
      </c>
      <c r="AQ47" s="708">
        <v>5750</v>
      </c>
      <c r="AR47" s="708">
        <v>9000</v>
      </c>
      <c r="AS47" s="708">
        <v>9000</v>
      </c>
      <c r="AT47" s="708">
        <v>9200</v>
      </c>
      <c r="AU47" s="708">
        <v>9200</v>
      </c>
      <c r="AV47" s="708">
        <v>11500</v>
      </c>
      <c r="AW47" s="708">
        <v>11500</v>
      </c>
      <c r="AX47" s="708">
        <v>11800</v>
      </c>
      <c r="AY47" s="708">
        <v>11800</v>
      </c>
    </row>
    <row r="48" spans="35:51">
      <c r="AI48" t="s">
        <v>334</v>
      </c>
      <c r="AJ48" s="708">
        <v>4200</v>
      </c>
      <c r="AK48" s="708">
        <v>4200</v>
      </c>
      <c r="AL48" s="708">
        <v>4300</v>
      </c>
      <c r="AM48" s="708">
        <v>4300</v>
      </c>
      <c r="AN48" s="708">
        <v>5600</v>
      </c>
      <c r="AO48" s="708">
        <v>5600</v>
      </c>
      <c r="AP48" s="708">
        <v>5750</v>
      </c>
      <c r="AQ48" s="708">
        <v>5750</v>
      </c>
      <c r="AR48" s="708">
        <v>9000</v>
      </c>
      <c r="AS48" s="708">
        <v>9000</v>
      </c>
      <c r="AT48" s="708">
        <v>9200</v>
      </c>
      <c r="AU48" s="708">
        <v>9200</v>
      </c>
      <c r="AV48" s="708">
        <v>11500</v>
      </c>
      <c r="AW48" s="708">
        <v>11500</v>
      </c>
      <c r="AX48" s="708">
        <v>11800</v>
      </c>
      <c r="AY48" s="708">
        <v>11800</v>
      </c>
    </row>
    <row r="49" spans="35:51">
      <c r="AI49" t="s">
        <v>335</v>
      </c>
      <c r="AJ49" s="708">
        <v>4200</v>
      </c>
      <c r="AK49" s="708">
        <v>4200</v>
      </c>
      <c r="AL49" s="708">
        <v>4300</v>
      </c>
      <c r="AM49" s="708">
        <v>4300</v>
      </c>
      <c r="AN49" s="708">
        <v>5600</v>
      </c>
      <c r="AO49" s="708">
        <v>5600</v>
      </c>
      <c r="AP49" s="708">
        <v>5750</v>
      </c>
      <c r="AQ49" s="708">
        <v>5750</v>
      </c>
      <c r="AR49" s="708">
        <v>9000</v>
      </c>
      <c r="AS49" s="708">
        <v>9000</v>
      </c>
      <c r="AT49" s="708">
        <v>9200</v>
      </c>
      <c r="AU49" s="708">
        <v>9200</v>
      </c>
      <c r="AV49" s="708">
        <v>11500</v>
      </c>
      <c r="AW49" s="708">
        <v>11500</v>
      </c>
      <c r="AX49" s="708">
        <v>11800</v>
      </c>
      <c r="AY49" s="708">
        <v>11800</v>
      </c>
    </row>
    <row r="50" spans="35:51">
      <c r="AI50" t="s">
        <v>336</v>
      </c>
      <c r="AJ50" s="708">
        <v>4200</v>
      </c>
      <c r="AK50" s="708">
        <v>4200</v>
      </c>
      <c r="AL50" s="708">
        <v>4300</v>
      </c>
      <c r="AM50" s="708">
        <v>4300</v>
      </c>
      <c r="AN50" s="708">
        <v>5600</v>
      </c>
      <c r="AO50" s="708">
        <v>5600</v>
      </c>
      <c r="AP50" s="708">
        <v>5750</v>
      </c>
      <c r="AQ50" s="708">
        <v>5750</v>
      </c>
      <c r="AR50" s="708">
        <v>9000</v>
      </c>
      <c r="AS50" s="708">
        <v>9000</v>
      </c>
      <c r="AT50" s="708">
        <v>9200</v>
      </c>
      <c r="AU50" s="708">
        <v>9200</v>
      </c>
      <c r="AV50" s="708">
        <v>11500</v>
      </c>
      <c r="AW50" s="708">
        <v>11500</v>
      </c>
      <c r="AX50" s="708">
        <v>11800</v>
      </c>
      <c r="AY50" s="708">
        <v>11800</v>
      </c>
    </row>
    <row r="51" spans="35:51">
      <c r="AI51" t="s">
        <v>337</v>
      </c>
      <c r="AJ51" s="708">
        <v>4200</v>
      </c>
      <c r="AK51" s="708">
        <v>4200</v>
      </c>
      <c r="AL51" s="708">
        <v>4300</v>
      </c>
      <c r="AM51" s="708">
        <v>4300</v>
      </c>
      <c r="AN51" s="708">
        <v>5600</v>
      </c>
      <c r="AO51" s="708">
        <v>5600</v>
      </c>
      <c r="AP51" s="708">
        <v>5750</v>
      </c>
      <c r="AQ51" s="708">
        <v>5750</v>
      </c>
      <c r="AR51" s="708">
        <v>9000</v>
      </c>
      <c r="AS51" s="708">
        <v>9000</v>
      </c>
      <c r="AT51" s="708">
        <v>9200</v>
      </c>
      <c r="AU51" s="708">
        <v>9200</v>
      </c>
      <c r="AV51" s="708">
        <v>11500</v>
      </c>
      <c r="AW51" s="708">
        <v>11500</v>
      </c>
      <c r="AX51" s="708">
        <v>11800</v>
      </c>
      <c r="AY51" s="708">
        <v>11800</v>
      </c>
    </row>
    <row r="52" spans="35:51">
      <c r="AI52" t="s">
        <v>338</v>
      </c>
      <c r="AJ52" s="708">
        <v>4200</v>
      </c>
      <c r="AK52" s="708">
        <v>4200</v>
      </c>
      <c r="AL52" s="708">
        <v>4300</v>
      </c>
      <c r="AM52" s="708">
        <v>4300</v>
      </c>
      <c r="AN52" s="708">
        <v>5600</v>
      </c>
      <c r="AO52" s="708">
        <v>5600</v>
      </c>
      <c r="AP52" s="708">
        <v>5750</v>
      </c>
      <c r="AQ52" s="708">
        <v>5750</v>
      </c>
      <c r="AR52" s="708">
        <v>9000</v>
      </c>
      <c r="AS52" s="708">
        <v>9000</v>
      </c>
      <c r="AT52" s="708">
        <v>9200</v>
      </c>
      <c r="AU52" s="708">
        <v>9200</v>
      </c>
      <c r="AV52" s="708">
        <v>11500</v>
      </c>
      <c r="AW52" s="708">
        <v>11500</v>
      </c>
      <c r="AX52" s="708">
        <v>11800</v>
      </c>
      <c r="AY52" s="708">
        <v>11800</v>
      </c>
    </row>
    <row r="53" spans="35:51">
      <c r="AI53" t="s">
        <v>339</v>
      </c>
      <c r="AJ53" s="708">
        <v>4200</v>
      </c>
      <c r="AK53" s="708">
        <v>4200</v>
      </c>
      <c r="AL53" s="708">
        <v>4300</v>
      </c>
      <c r="AM53" s="708">
        <v>4300</v>
      </c>
      <c r="AN53" s="708">
        <v>5600</v>
      </c>
      <c r="AO53" s="708">
        <v>5600</v>
      </c>
      <c r="AP53" s="708">
        <v>5750</v>
      </c>
      <c r="AQ53" s="708">
        <v>5750</v>
      </c>
      <c r="AR53" s="708">
        <v>9000</v>
      </c>
      <c r="AS53" s="708">
        <v>9000</v>
      </c>
      <c r="AT53" s="708">
        <v>9200</v>
      </c>
      <c r="AU53" s="708">
        <v>9200</v>
      </c>
      <c r="AV53" s="708">
        <v>11500</v>
      </c>
      <c r="AW53" s="708">
        <v>11500</v>
      </c>
      <c r="AX53" s="708">
        <v>11800</v>
      </c>
      <c r="AY53" s="708">
        <v>11800</v>
      </c>
    </row>
    <row r="54" spans="35:51">
      <c r="AI54" t="s">
        <v>340</v>
      </c>
      <c r="AJ54" s="708">
        <v>4200</v>
      </c>
      <c r="AK54" s="708">
        <v>4200</v>
      </c>
      <c r="AL54" s="708">
        <v>4300</v>
      </c>
      <c r="AM54" s="708">
        <v>4300</v>
      </c>
      <c r="AN54" s="708">
        <v>5600</v>
      </c>
      <c r="AO54" s="708">
        <v>5600</v>
      </c>
      <c r="AP54" s="708">
        <v>5750</v>
      </c>
      <c r="AQ54" s="708">
        <v>5750</v>
      </c>
      <c r="AR54" s="708">
        <v>9000</v>
      </c>
      <c r="AS54" s="708">
        <v>9000</v>
      </c>
      <c r="AT54" s="708">
        <v>9200</v>
      </c>
      <c r="AU54" s="708">
        <v>9200</v>
      </c>
      <c r="AV54" s="708">
        <v>11500</v>
      </c>
      <c r="AW54" s="708">
        <v>11500</v>
      </c>
      <c r="AX54" s="708">
        <v>11800</v>
      </c>
      <c r="AY54" s="708">
        <v>11800</v>
      </c>
    </row>
    <row r="55" spans="35:51">
      <c r="AI55" t="s">
        <v>341</v>
      </c>
      <c r="AJ55" s="708">
        <v>4200</v>
      </c>
      <c r="AK55" s="708">
        <v>4200</v>
      </c>
      <c r="AL55" s="708">
        <v>4300</v>
      </c>
      <c r="AM55" s="708">
        <v>4300</v>
      </c>
      <c r="AN55" s="708">
        <v>5600</v>
      </c>
      <c r="AO55" s="708">
        <v>5600</v>
      </c>
      <c r="AP55" s="708">
        <v>5750</v>
      </c>
      <c r="AQ55" s="708">
        <v>5750</v>
      </c>
      <c r="AR55" s="708">
        <v>9000</v>
      </c>
      <c r="AS55" s="708">
        <v>9000</v>
      </c>
      <c r="AT55" s="708">
        <v>9200</v>
      </c>
      <c r="AU55" s="708">
        <v>9200</v>
      </c>
      <c r="AV55" s="708">
        <v>11500</v>
      </c>
      <c r="AW55" s="708">
        <v>11500</v>
      </c>
      <c r="AX55" s="708">
        <v>11800</v>
      </c>
      <c r="AY55" s="708">
        <v>11800</v>
      </c>
    </row>
    <row r="56" spans="35:51">
      <c r="AI56" t="s">
        <v>342</v>
      </c>
      <c r="AJ56" s="708">
        <v>4200</v>
      </c>
      <c r="AK56" s="708">
        <v>4200</v>
      </c>
      <c r="AL56" s="708">
        <v>4300</v>
      </c>
      <c r="AM56" s="708">
        <v>4300</v>
      </c>
      <c r="AN56" s="708">
        <v>5600</v>
      </c>
      <c r="AO56" s="708">
        <v>5600</v>
      </c>
      <c r="AP56" s="708">
        <v>5750</v>
      </c>
      <c r="AQ56" s="708">
        <v>5750</v>
      </c>
      <c r="AR56" s="708">
        <v>9000</v>
      </c>
      <c r="AS56" s="708">
        <v>9000</v>
      </c>
      <c r="AT56" s="708">
        <v>9200</v>
      </c>
      <c r="AU56" s="708">
        <v>9200</v>
      </c>
      <c r="AV56" s="708">
        <v>11500</v>
      </c>
      <c r="AW56" s="708">
        <v>11500</v>
      </c>
      <c r="AX56" s="708">
        <v>11800</v>
      </c>
      <c r="AY56" s="708">
        <v>11800</v>
      </c>
    </row>
    <row r="59" spans="35:39">
      <c r="AI59" t="s">
        <v>37</v>
      </c>
      <c r="AJ59" t="s">
        <v>35</v>
      </c>
      <c r="AK59" t="s">
        <v>36</v>
      </c>
      <c r="AL59" t="s">
        <v>62</v>
      </c>
      <c r="AM59" t="s">
        <v>63</v>
      </c>
    </row>
    <row r="60" spans="35:50">
      <c r="AI60" t="s">
        <v>319</v>
      </c>
      <c r="AJ60" t="s">
        <v>320</v>
      </c>
      <c r="AK60" t="s">
        <v>321</v>
      </c>
      <c r="AL60" t="s">
        <v>322</v>
      </c>
      <c r="AM60" t="s">
        <v>319</v>
      </c>
      <c r="AN60" t="s">
        <v>320</v>
      </c>
      <c r="AO60" t="s">
        <v>321</v>
      </c>
      <c r="AP60" t="s">
        <v>322</v>
      </c>
      <c r="AQ60" t="s">
        <v>319</v>
      </c>
      <c r="AR60" t="s">
        <v>320</v>
      </c>
      <c r="AS60" t="s">
        <v>321</v>
      </c>
      <c r="AT60" t="s">
        <v>322</v>
      </c>
      <c r="AU60" t="s">
        <v>319</v>
      </c>
      <c r="AV60" t="s">
        <v>320</v>
      </c>
      <c r="AW60" t="s">
        <v>321</v>
      </c>
      <c r="AX60" t="s">
        <v>322</v>
      </c>
    </row>
    <row r="61" spans="35:51">
      <c r="AI61" t="s">
        <v>323</v>
      </c>
      <c r="AJ61" s="726">
        <v>0.05</v>
      </c>
      <c r="AK61" s="726">
        <v>0.05</v>
      </c>
      <c r="AL61" s="726">
        <v>0.05</v>
      </c>
      <c r="AM61" s="726">
        <v>0.05</v>
      </c>
      <c r="AN61" s="726">
        <v>0.05</v>
      </c>
      <c r="AO61" s="726">
        <v>0.05</v>
      </c>
      <c r="AP61" s="726">
        <v>0.05</v>
      </c>
      <c r="AQ61" s="726">
        <v>0.05</v>
      </c>
      <c r="AR61" s="726">
        <v>0</v>
      </c>
      <c r="AS61" s="726">
        <v>0</v>
      </c>
      <c r="AT61" s="726">
        <v>0</v>
      </c>
      <c r="AU61" s="726">
        <v>0</v>
      </c>
      <c r="AV61" s="726">
        <v>0</v>
      </c>
      <c r="AW61" s="726">
        <v>0</v>
      </c>
      <c r="AX61" s="726">
        <v>0</v>
      </c>
      <c r="AY61" s="726">
        <v>0</v>
      </c>
    </row>
    <row r="62" spans="35:51">
      <c r="AI62" t="s">
        <v>324</v>
      </c>
      <c r="AJ62" s="726">
        <v>0.05</v>
      </c>
      <c r="AK62" s="726">
        <v>0.05</v>
      </c>
      <c r="AL62" s="726">
        <v>0.05</v>
      </c>
      <c r="AM62" s="726">
        <v>0.05</v>
      </c>
      <c r="AN62" s="726">
        <v>0.05</v>
      </c>
      <c r="AO62" s="726">
        <v>0.05</v>
      </c>
      <c r="AP62" s="726">
        <v>0.05</v>
      </c>
      <c r="AQ62" s="726">
        <v>0.05</v>
      </c>
      <c r="AR62" s="726">
        <v>0</v>
      </c>
      <c r="AS62" s="726">
        <v>0</v>
      </c>
      <c r="AT62" s="726">
        <v>0</v>
      </c>
      <c r="AU62" s="726">
        <v>0</v>
      </c>
      <c r="AV62" s="726">
        <v>0</v>
      </c>
      <c r="AW62" s="726">
        <v>0</v>
      </c>
      <c r="AX62" s="726">
        <v>0</v>
      </c>
      <c r="AY62" s="726">
        <v>0</v>
      </c>
    </row>
    <row r="63" spans="35:51">
      <c r="AI63" t="s">
        <v>325</v>
      </c>
      <c r="AJ63" s="726">
        <v>0.05</v>
      </c>
      <c r="AK63" s="726">
        <v>0.05</v>
      </c>
      <c r="AL63" s="726">
        <v>0.05</v>
      </c>
      <c r="AM63" s="726">
        <v>0.05</v>
      </c>
      <c r="AN63" s="726">
        <v>0.05</v>
      </c>
      <c r="AO63" s="726">
        <v>0.05</v>
      </c>
      <c r="AP63" s="726">
        <v>0.05</v>
      </c>
      <c r="AQ63" s="726">
        <v>0.05</v>
      </c>
      <c r="AR63" s="726">
        <v>0</v>
      </c>
      <c r="AS63" s="726">
        <v>0</v>
      </c>
      <c r="AT63" s="726">
        <v>0</v>
      </c>
      <c r="AU63" s="726">
        <v>0</v>
      </c>
      <c r="AV63" s="726">
        <v>0</v>
      </c>
      <c r="AW63" s="726">
        <v>0</v>
      </c>
      <c r="AX63" s="726">
        <v>0</v>
      </c>
      <c r="AY63" s="726">
        <v>0</v>
      </c>
    </row>
    <row r="64" spans="35:51">
      <c r="AI64" t="s">
        <v>326</v>
      </c>
      <c r="AJ64" s="726">
        <v>0.05</v>
      </c>
      <c r="AK64" s="726">
        <v>0.05</v>
      </c>
      <c r="AL64" s="726">
        <v>0.05</v>
      </c>
      <c r="AM64" s="726">
        <v>0.05</v>
      </c>
      <c r="AN64" s="726">
        <v>0.05</v>
      </c>
      <c r="AO64" s="726">
        <v>0.05</v>
      </c>
      <c r="AP64" s="726">
        <v>0.05</v>
      </c>
      <c r="AQ64" s="726">
        <v>0.05</v>
      </c>
      <c r="AR64" s="726">
        <v>0</v>
      </c>
      <c r="AS64" s="726">
        <v>0</v>
      </c>
      <c r="AT64" s="726">
        <v>0</v>
      </c>
      <c r="AU64" s="726">
        <v>0</v>
      </c>
      <c r="AV64" s="726">
        <v>0</v>
      </c>
      <c r="AW64" s="726">
        <v>0</v>
      </c>
      <c r="AX64" s="726">
        <v>0</v>
      </c>
      <c r="AY64" s="726">
        <v>0</v>
      </c>
    </row>
    <row r="65" spans="35:51">
      <c r="AI65" t="s">
        <v>327</v>
      </c>
      <c r="AJ65" s="726">
        <v>0.05</v>
      </c>
      <c r="AK65" s="726">
        <v>0.05</v>
      </c>
      <c r="AL65" s="726">
        <v>0.05</v>
      </c>
      <c r="AM65" s="726">
        <v>0.05</v>
      </c>
      <c r="AN65" s="726">
        <v>0.05</v>
      </c>
      <c r="AO65" s="726">
        <v>0.05</v>
      </c>
      <c r="AP65" s="726">
        <v>0.05</v>
      </c>
      <c r="AQ65" s="726">
        <v>0.05</v>
      </c>
      <c r="AR65" s="726">
        <v>0</v>
      </c>
      <c r="AS65" s="726">
        <v>0</v>
      </c>
      <c r="AT65" s="726">
        <v>0</v>
      </c>
      <c r="AU65" s="726">
        <v>0</v>
      </c>
      <c r="AV65" s="726">
        <v>0</v>
      </c>
      <c r="AW65" s="726">
        <v>0</v>
      </c>
      <c r="AX65" s="726">
        <v>0</v>
      </c>
      <c r="AY65" s="726">
        <v>0</v>
      </c>
    </row>
    <row r="66" spans="35:51">
      <c r="AI66" t="s">
        <v>328</v>
      </c>
      <c r="AJ66" s="726">
        <v>0.05</v>
      </c>
      <c r="AK66" s="726">
        <v>0.05</v>
      </c>
      <c r="AL66" s="726">
        <v>0.05</v>
      </c>
      <c r="AM66" s="726">
        <v>0.05</v>
      </c>
      <c r="AN66" s="726">
        <v>0.05</v>
      </c>
      <c r="AO66" s="726">
        <v>0.05</v>
      </c>
      <c r="AP66" s="726">
        <v>0.05</v>
      </c>
      <c r="AQ66" s="726">
        <v>0.05</v>
      </c>
      <c r="AR66" s="726">
        <v>0</v>
      </c>
      <c r="AS66" s="726">
        <v>0</v>
      </c>
      <c r="AT66" s="726">
        <v>0</v>
      </c>
      <c r="AU66" s="726">
        <v>0</v>
      </c>
      <c r="AV66" s="726">
        <v>0</v>
      </c>
      <c r="AW66" s="726">
        <v>0</v>
      </c>
      <c r="AX66" s="726">
        <v>0</v>
      </c>
      <c r="AY66" s="726">
        <v>0</v>
      </c>
    </row>
    <row r="67" spans="35:51">
      <c r="AI67" t="s">
        <v>329</v>
      </c>
      <c r="AJ67" s="726">
        <v>0.05</v>
      </c>
      <c r="AK67" s="726">
        <v>0.05</v>
      </c>
      <c r="AL67" s="726">
        <v>0.05</v>
      </c>
      <c r="AM67" s="726">
        <v>0.05</v>
      </c>
      <c r="AN67" s="726">
        <v>0.05</v>
      </c>
      <c r="AO67" s="726">
        <v>0.05</v>
      </c>
      <c r="AP67" s="726">
        <v>0.05</v>
      </c>
      <c r="AQ67" s="726">
        <v>0.05</v>
      </c>
      <c r="AR67" s="726">
        <v>0</v>
      </c>
      <c r="AS67" s="726">
        <v>0</v>
      </c>
      <c r="AT67" s="726">
        <v>0</v>
      </c>
      <c r="AU67" s="726">
        <v>0</v>
      </c>
      <c r="AV67" s="726">
        <v>0</v>
      </c>
      <c r="AW67" s="726">
        <v>0</v>
      </c>
      <c r="AX67" s="726">
        <v>0</v>
      </c>
      <c r="AY67" s="726">
        <v>0</v>
      </c>
    </row>
    <row r="68" spans="35:51">
      <c r="AI68" t="s">
        <v>330</v>
      </c>
      <c r="AJ68" s="726">
        <v>0.05</v>
      </c>
      <c r="AK68" s="726">
        <v>0.05</v>
      </c>
      <c r="AL68" s="726">
        <v>0.05</v>
      </c>
      <c r="AM68" s="726">
        <v>0.05</v>
      </c>
      <c r="AN68" s="726">
        <v>0.05</v>
      </c>
      <c r="AO68" s="726">
        <v>0.05</v>
      </c>
      <c r="AP68" s="726">
        <v>0.05</v>
      </c>
      <c r="AQ68" s="726">
        <v>0.05</v>
      </c>
      <c r="AR68" s="726">
        <v>0</v>
      </c>
      <c r="AS68" s="726">
        <v>0</v>
      </c>
      <c r="AT68" s="726">
        <v>0</v>
      </c>
      <c r="AU68" s="726">
        <v>0</v>
      </c>
      <c r="AV68" s="726">
        <v>0</v>
      </c>
      <c r="AW68" s="726">
        <v>0</v>
      </c>
      <c r="AX68" s="726">
        <v>0</v>
      </c>
      <c r="AY68" s="726">
        <v>0</v>
      </c>
    </row>
    <row r="69" spans="35:51">
      <c r="AI69" t="s">
        <v>331</v>
      </c>
      <c r="AJ69" s="726">
        <v>0.05</v>
      </c>
      <c r="AK69" s="726">
        <v>0.05</v>
      </c>
      <c r="AL69" s="726">
        <v>0.05</v>
      </c>
      <c r="AM69" s="726">
        <v>0.05</v>
      </c>
      <c r="AN69" s="726">
        <v>0.05</v>
      </c>
      <c r="AO69" s="726">
        <v>0.05</v>
      </c>
      <c r="AP69" s="726">
        <v>0.05</v>
      </c>
      <c r="AQ69" s="726">
        <v>0.05</v>
      </c>
      <c r="AR69" s="726">
        <v>0</v>
      </c>
      <c r="AS69" s="726">
        <v>0</v>
      </c>
      <c r="AT69" s="726">
        <v>0</v>
      </c>
      <c r="AU69" s="726">
        <v>0</v>
      </c>
      <c r="AV69" s="726">
        <v>0</v>
      </c>
      <c r="AW69" s="726">
        <v>0</v>
      </c>
      <c r="AX69" s="726">
        <v>0</v>
      </c>
      <c r="AY69" s="726">
        <v>0</v>
      </c>
    </row>
    <row r="70" spans="35:51">
      <c r="AI70" t="s">
        <v>332</v>
      </c>
      <c r="AJ70" s="726">
        <v>0.05</v>
      </c>
      <c r="AK70" s="726">
        <v>0.05</v>
      </c>
      <c r="AL70" s="726">
        <v>0.05</v>
      </c>
      <c r="AM70" s="726">
        <v>0.05</v>
      </c>
      <c r="AN70" s="726">
        <v>0.05</v>
      </c>
      <c r="AO70" s="726">
        <v>0.05</v>
      </c>
      <c r="AP70" s="726">
        <v>0.05</v>
      </c>
      <c r="AQ70" s="726">
        <v>0.05</v>
      </c>
      <c r="AR70" s="726">
        <v>0</v>
      </c>
      <c r="AS70" s="726">
        <v>0</v>
      </c>
      <c r="AT70" s="726">
        <v>0</v>
      </c>
      <c r="AU70" s="726">
        <v>0</v>
      </c>
      <c r="AV70" s="726">
        <v>0</v>
      </c>
      <c r="AW70" s="726">
        <v>0</v>
      </c>
      <c r="AX70" s="726">
        <v>0</v>
      </c>
      <c r="AY70" s="726">
        <v>0</v>
      </c>
    </row>
    <row r="71" spans="35:51">
      <c r="AI71" t="s">
        <v>333</v>
      </c>
      <c r="AJ71" s="726">
        <v>0.05</v>
      </c>
      <c r="AK71" s="726">
        <v>0.05</v>
      </c>
      <c r="AL71" s="726">
        <v>0.05</v>
      </c>
      <c r="AM71" s="726">
        <v>0.05</v>
      </c>
      <c r="AN71" s="726">
        <v>0.05</v>
      </c>
      <c r="AO71" s="726">
        <v>0.05</v>
      </c>
      <c r="AP71" s="726">
        <v>0.05</v>
      </c>
      <c r="AQ71" s="726">
        <v>0.05</v>
      </c>
      <c r="AR71" s="726">
        <v>0</v>
      </c>
      <c r="AS71" s="726">
        <v>0</v>
      </c>
      <c r="AT71" s="726">
        <v>0</v>
      </c>
      <c r="AU71" s="726">
        <v>0</v>
      </c>
      <c r="AV71" s="726">
        <v>0</v>
      </c>
      <c r="AW71" s="726">
        <v>0</v>
      </c>
      <c r="AX71" s="726">
        <v>0</v>
      </c>
      <c r="AY71" s="726">
        <v>0</v>
      </c>
    </row>
    <row r="72" spans="35:51">
      <c r="AI72" t="s">
        <v>334</v>
      </c>
      <c r="AJ72" s="726">
        <v>0.05</v>
      </c>
      <c r="AK72" s="726">
        <v>0.05</v>
      </c>
      <c r="AL72" s="726">
        <v>0.05</v>
      </c>
      <c r="AM72" s="726">
        <v>0.05</v>
      </c>
      <c r="AN72" s="726">
        <v>0.05</v>
      </c>
      <c r="AO72" s="726">
        <v>0.05</v>
      </c>
      <c r="AP72" s="726">
        <v>0.05</v>
      </c>
      <c r="AQ72" s="726">
        <v>0.05</v>
      </c>
      <c r="AR72" s="726">
        <v>0</v>
      </c>
      <c r="AS72" s="726">
        <v>0</v>
      </c>
      <c r="AT72" s="726">
        <v>0</v>
      </c>
      <c r="AU72" s="726">
        <v>0</v>
      </c>
      <c r="AV72" s="726">
        <v>0</v>
      </c>
      <c r="AW72" s="726">
        <v>0</v>
      </c>
      <c r="AX72" s="726">
        <v>0</v>
      </c>
      <c r="AY72" s="726">
        <v>0</v>
      </c>
    </row>
    <row r="73" spans="35:51">
      <c r="AI73" t="s">
        <v>335</v>
      </c>
      <c r="AJ73" s="726">
        <v>0.05</v>
      </c>
      <c r="AK73" s="726">
        <v>0.05</v>
      </c>
      <c r="AL73" s="726">
        <v>0.05</v>
      </c>
      <c r="AM73" s="726">
        <v>0.05</v>
      </c>
      <c r="AN73" s="726">
        <v>0.05</v>
      </c>
      <c r="AO73" s="726">
        <v>0.05</v>
      </c>
      <c r="AP73" s="726">
        <v>0.05</v>
      </c>
      <c r="AQ73" s="726">
        <v>0.05</v>
      </c>
      <c r="AR73" s="726">
        <v>0</v>
      </c>
      <c r="AS73" s="726">
        <v>0</v>
      </c>
      <c r="AT73" s="726">
        <v>0</v>
      </c>
      <c r="AU73" s="726">
        <v>0</v>
      </c>
      <c r="AV73" s="726">
        <v>0</v>
      </c>
      <c r="AW73" s="726">
        <v>0</v>
      </c>
      <c r="AX73" s="726">
        <v>0</v>
      </c>
      <c r="AY73" s="726">
        <v>0</v>
      </c>
    </row>
    <row r="74" spans="35:51">
      <c r="AI74" t="s">
        <v>336</v>
      </c>
      <c r="AJ74" s="726">
        <v>0.05</v>
      </c>
      <c r="AK74" s="726">
        <v>0.05</v>
      </c>
      <c r="AL74" s="726">
        <v>0.05</v>
      </c>
      <c r="AM74" s="726">
        <v>0.05</v>
      </c>
      <c r="AN74" s="726">
        <v>0.05</v>
      </c>
      <c r="AO74" s="726">
        <v>0.05</v>
      </c>
      <c r="AP74" s="726">
        <v>0.05</v>
      </c>
      <c r="AQ74" s="726">
        <v>0.05</v>
      </c>
      <c r="AR74" s="726">
        <v>0</v>
      </c>
      <c r="AS74" s="726">
        <v>0</v>
      </c>
      <c r="AT74" s="726">
        <v>0</v>
      </c>
      <c r="AU74" s="726">
        <v>0</v>
      </c>
      <c r="AV74" s="726">
        <v>0</v>
      </c>
      <c r="AW74" s="726">
        <v>0</v>
      </c>
      <c r="AX74" s="726">
        <v>0</v>
      </c>
      <c r="AY74" s="726">
        <v>0</v>
      </c>
    </row>
    <row r="75" spans="35:51">
      <c r="AI75" t="s">
        <v>337</v>
      </c>
      <c r="AJ75" s="726">
        <v>0.05</v>
      </c>
      <c r="AK75" s="726">
        <v>0.05</v>
      </c>
      <c r="AL75" s="726">
        <v>0.05</v>
      </c>
      <c r="AM75" s="726">
        <v>0.05</v>
      </c>
      <c r="AN75" s="726">
        <v>0.05</v>
      </c>
      <c r="AO75" s="726">
        <v>0.05</v>
      </c>
      <c r="AP75" s="726">
        <v>0.05</v>
      </c>
      <c r="AQ75" s="726">
        <v>0.05</v>
      </c>
      <c r="AR75" s="726">
        <v>0</v>
      </c>
      <c r="AS75" s="726">
        <v>0</v>
      </c>
      <c r="AT75" s="726">
        <v>0</v>
      </c>
      <c r="AU75" s="726">
        <v>0</v>
      </c>
      <c r="AV75" s="726">
        <v>0</v>
      </c>
      <c r="AW75" s="726">
        <v>0</v>
      </c>
      <c r="AX75" s="726">
        <v>0</v>
      </c>
      <c r="AY75" s="726">
        <v>0</v>
      </c>
    </row>
    <row r="76" spans="35:51">
      <c r="AI76" t="s">
        <v>338</v>
      </c>
      <c r="AJ76" s="726">
        <v>0.05</v>
      </c>
      <c r="AK76" s="726">
        <v>0.05</v>
      </c>
      <c r="AL76" s="726">
        <v>0.05</v>
      </c>
      <c r="AM76" s="726">
        <v>0.05</v>
      </c>
      <c r="AN76" s="726">
        <v>0.05</v>
      </c>
      <c r="AO76" s="726">
        <v>0.05</v>
      </c>
      <c r="AP76" s="726">
        <v>0.05</v>
      </c>
      <c r="AQ76" s="726">
        <v>0.05</v>
      </c>
      <c r="AR76" s="726">
        <v>0</v>
      </c>
      <c r="AS76" s="726">
        <v>0</v>
      </c>
      <c r="AT76" s="726">
        <v>0</v>
      </c>
      <c r="AU76" s="726">
        <v>0</v>
      </c>
      <c r="AV76" s="726">
        <v>0</v>
      </c>
      <c r="AW76" s="726">
        <v>0</v>
      </c>
      <c r="AX76" s="726">
        <v>0</v>
      </c>
      <c r="AY76" s="726">
        <v>0</v>
      </c>
    </row>
    <row r="77" spans="35:51">
      <c r="AI77" t="s">
        <v>339</v>
      </c>
      <c r="AJ77" s="726">
        <v>0.05</v>
      </c>
      <c r="AK77" s="726">
        <v>0.05</v>
      </c>
      <c r="AL77" s="726">
        <v>0.05</v>
      </c>
      <c r="AM77" s="726">
        <v>0.05</v>
      </c>
      <c r="AN77" s="726">
        <v>0.05</v>
      </c>
      <c r="AO77" s="726">
        <v>0.05</v>
      </c>
      <c r="AP77" s="726">
        <v>0.05</v>
      </c>
      <c r="AQ77" s="726">
        <v>0.05</v>
      </c>
      <c r="AR77" s="726">
        <v>0</v>
      </c>
      <c r="AS77" s="726">
        <v>0</v>
      </c>
      <c r="AT77" s="726">
        <v>0</v>
      </c>
      <c r="AU77" s="726">
        <v>0</v>
      </c>
      <c r="AV77" s="726">
        <v>0</v>
      </c>
      <c r="AW77" s="726">
        <v>0</v>
      </c>
      <c r="AX77" s="726">
        <v>0</v>
      </c>
      <c r="AY77" s="726">
        <v>0</v>
      </c>
    </row>
    <row r="78" spans="35:51">
      <c r="AI78" t="s">
        <v>340</v>
      </c>
      <c r="AJ78" s="726">
        <v>0.05</v>
      </c>
      <c r="AK78" s="726">
        <v>0.05</v>
      </c>
      <c r="AL78" s="726">
        <v>0.05</v>
      </c>
      <c r="AM78" s="726">
        <v>0.05</v>
      </c>
      <c r="AN78" s="726">
        <v>0.05</v>
      </c>
      <c r="AO78" s="726">
        <v>0.05</v>
      </c>
      <c r="AP78" s="726">
        <v>0.05</v>
      </c>
      <c r="AQ78" s="726">
        <v>0.05</v>
      </c>
      <c r="AR78" s="726">
        <v>0</v>
      </c>
      <c r="AS78" s="726">
        <v>0</v>
      </c>
      <c r="AT78" s="726">
        <v>0</v>
      </c>
      <c r="AU78" s="726">
        <v>0</v>
      </c>
      <c r="AV78" s="726">
        <v>0</v>
      </c>
      <c r="AW78" s="726">
        <v>0</v>
      </c>
      <c r="AX78" s="726">
        <v>0</v>
      </c>
      <c r="AY78" s="726">
        <v>0</v>
      </c>
    </row>
    <row r="79" spans="35:51">
      <c r="AI79" t="s">
        <v>341</v>
      </c>
      <c r="AJ79" s="726">
        <v>0.05</v>
      </c>
      <c r="AK79" s="726">
        <v>0.05</v>
      </c>
      <c r="AL79" s="726">
        <v>0.05</v>
      </c>
      <c r="AM79" s="726">
        <v>0.05</v>
      </c>
      <c r="AN79" s="726">
        <v>0.05</v>
      </c>
      <c r="AO79" s="726">
        <v>0.05</v>
      </c>
      <c r="AP79" s="726">
        <v>0.05</v>
      </c>
      <c r="AQ79" s="726">
        <v>0.05</v>
      </c>
      <c r="AR79" s="726">
        <v>0</v>
      </c>
      <c r="AS79" s="726">
        <v>0</v>
      </c>
      <c r="AT79" s="726">
        <v>0</v>
      </c>
      <c r="AU79" s="726">
        <v>0</v>
      </c>
      <c r="AV79" s="726">
        <v>0</v>
      </c>
      <c r="AW79" s="726">
        <v>0</v>
      </c>
      <c r="AX79" s="726">
        <v>0</v>
      </c>
      <c r="AY79" s="726">
        <v>0</v>
      </c>
    </row>
    <row r="80" spans="35:51">
      <c r="AI80" t="s">
        <v>342</v>
      </c>
      <c r="AJ80" s="726">
        <v>0.05</v>
      </c>
      <c r="AK80" s="726">
        <v>0.05</v>
      </c>
      <c r="AL80" s="726">
        <v>0.05</v>
      </c>
      <c r="AM80" s="726">
        <v>0.05</v>
      </c>
      <c r="AN80" s="726">
        <v>0.05</v>
      </c>
      <c r="AO80" s="726">
        <v>0.05</v>
      </c>
      <c r="AP80" s="726">
        <v>0.05</v>
      </c>
      <c r="AQ80" s="726">
        <v>0.05</v>
      </c>
      <c r="AR80" s="726">
        <v>0</v>
      </c>
      <c r="AS80" s="726">
        <v>0</v>
      </c>
      <c r="AT80" s="726">
        <v>0</v>
      </c>
      <c r="AU80" s="726">
        <v>0</v>
      </c>
      <c r="AV80" s="726">
        <v>0</v>
      </c>
      <c r="AW80" s="726">
        <v>0</v>
      </c>
      <c r="AX80" s="726">
        <v>0</v>
      </c>
      <c r="AY80" s="726">
        <v>0</v>
      </c>
    </row>
    <row r="83" spans="35:46">
      <c r="AI83" t="s">
        <v>37</v>
      </c>
      <c r="AJ83" t="s">
        <v>343</v>
      </c>
      <c r="AK83" t="s">
        <v>344</v>
      </c>
      <c r="AL83" t="s">
        <v>345</v>
      </c>
      <c r="AM83" t="s">
        <v>346</v>
      </c>
      <c r="AN83" t="s">
        <v>310</v>
      </c>
      <c r="AO83" t="s">
        <v>313</v>
      </c>
      <c r="AP83" t="s">
        <v>347</v>
      </c>
      <c r="AQ83" t="s">
        <v>264</v>
      </c>
      <c r="AR83" t="s">
        <v>268</v>
      </c>
      <c r="AS83" t="s">
        <v>270</v>
      </c>
      <c r="AT83" t="s">
        <v>272</v>
      </c>
    </row>
    <row r="84" spans="35:46">
      <c r="AI84" t="s">
        <v>323</v>
      </c>
      <c r="AJ84">
        <v>0</v>
      </c>
      <c r="AK84">
        <v>1</v>
      </c>
      <c r="AL84">
        <v>1</v>
      </c>
      <c r="AM84">
        <v>1</v>
      </c>
      <c r="AN84">
        <v>1</v>
      </c>
      <c r="AO84">
        <v>1</v>
      </c>
      <c r="AP84">
        <v>1</v>
      </c>
      <c r="AQ84">
        <v>1</v>
      </c>
      <c r="AR84">
        <v>1</v>
      </c>
      <c r="AS84">
        <v>1</v>
      </c>
      <c r="AT84">
        <v>1</v>
      </c>
    </row>
    <row r="85" spans="35:46">
      <c r="AI85" t="s">
        <v>324</v>
      </c>
      <c r="AJ85">
        <v>0</v>
      </c>
      <c r="AK85">
        <v>1</v>
      </c>
      <c r="AL85">
        <v>1</v>
      </c>
      <c r="AM85">
        <v>1</v>
      </c>
      <c r="AN85">
        <v>1</v>
      </c>
      <c r="AO85">
        <v>1</v>
      </c>
      <c r="AP85">
        <v>1</v>
      </c>
      <c r="AQ85">
        <v>1</v>
      </c>
      <c r="AR85">
        <v>1</v>
      </c>
      <c r="AS85">
        <v>1</v>
      </c>
      <c r="AT85">
        <v>1</v>
      </c>
    </row>
    <row r="86" spans="35:46">
      <c r="AI86" t="s">
        <v>325</v>
      </c>
      <c r="AJ86">
        <v>0</v>
      </c>
      <c r="AK86">
        <v>1</v>
      </c>
      <c r="AL86">
        <v>1</v>
      </c>
      <c r="AM86">
        <v>1</v>
      </c>
      <c r="AN86">
        <v>1</v>
      </c>
      <c r="AO86">
        <v>1</v>
      </c>
      <c r="AP86">
        <v>1</v>
      </c>
      <c r="AQ86">
        <v>1</v>
      </c>
      <c r="AR86">
        <v>1</v>
      </c>
      <c r="AS86">
        <v>1</v>
      </c>
      <c r="AT86">
        <v>1</v>
      </c>
    </row>
    <row r="87" spans="35:46">
      <c r="AI87" t="s">
        <v>326</v>
      </c>
      <c r="AJ87">
        <v>0</v>
      </c>
      <c r="AK87">
        <v>1</v>
      </c>
      <c r="AL87">
        <v>1</v>
      </c>
      <c r="AM87">
        <v>1</v>
      </c>
      <c r="AN87">
        <v>1</v>
      </c>
      <c r="AO87">
        <v>1</v>
      </c>
      <c r="AP87">
        <v>1</v>
      </c>
      <c r="AQ87">
        <v>1</v>
      </c>
      <c r="AR87">
        <v>1</v>
      </c>
      <c r="AS87">
        <v>1</v>
      </c>
      <c r="AT87">
        <v>1</v>
      </c>
    </row>
    <row r="88" spans="35:46">
      <c r="AI88" t="s">
        <v>327</v>
      </c>
      <c r="AJ88">
        <v>0</v>
      </c>
      <c r="AK88">
        <v>1</v>
      </c>
      <c r="AL88">
        <v>1</v>
      </c>
      <c r="AM88">
        <v>1</v>
      </c>
      <c r="AN88">
        <v>1</v>
      </c>
      <c r="AO88">
        <v>1</v>
      </c>
      <c r="AP88">
        <v>1</v>
      </c>
      <c r="AQ88">
        <v>1</v>
      </c>
      <c r="AR88">
        <v>1</v>
      </c>
      <c r="AS88">
        <v>1</v>
      </c>
      <c r="AT88">
        <v>1</v>
      </c>
    </row>
    <row r="89" spans="35:46">
      <c r="AI89" t="s">
        <v>328</v>
      </c>
      <c r="AJ89">
        <v>0</v>
      </c>
      <c r="AK89">
        <v>1</v>
      </c>
      <c r="AL89">
        <v>1</v>
      </c>
      <c r="AM89">
        <v>1</v>
      </c>
      <c r="AN89">
        <v>1</v>
      </c>
      <c r="AO89">
        <v>1</v>
      </c>
      <c r="AP89">
        <v>1</v>
      </c>
      <c r="AQ89">
        <v>1</v>
      </c>
      <c r="AR89">
        <v>1</v>
      </c>
      <c r="AS89">
        <v>1</v>
      </c>
      <c r="AT89">
        <v>1</v>
      </c>
    </row>
    <row r="90" spans="35:46">
      <c r="AI90" t="s">
        <v>329</v>
      </c>
      <c r="AJ90">
        <v>0</v>
      </c>
      <c r="AK90">
        <v>1</v>
      </c>
      <c r="AL90">
        <v>1</v>
      </c>
      <c r="AM90">
        <v>1</v>
      </c>
      <c r="AN90">
        <v>1</v>
      </c>
      <c r="AO90">
        <v>1</v>
      </c>
      <c r="AP90">
        <v>1</v>
      </c>
      <c r="AQ90">
        <v>1</v>
      </c>
      <c r="AR90">
        <v>1</v>
      </c>
      <c r="AS90">
        <v>1</v>
      </c>
      <c r="AT90">
        <v>1</v>
      </c>
    </row>
    <row r="91" spans="35:46">
      <c r="AI91" t="s">
        <v>330</v>
      </c>
      <c r="AJ91">
        <v>0</v>
      </c>
      <c r="AK91">
        <v>1</v>
      </c>
      <c r="AL91">
        <v>1</v>
      </c>
      <c r="AM91">
        <v>1</v>
      </c>
      <c r="AN91">
        <v>1</v>
      </c>
      <c r="AO91">
        <v>1</v>
      </c>
      <c r="AP91">
        <v>1</v>
      </c>
      <c r="AQ91">
        <v>1</v>
      </c>
      <c r="AR91">
        <v>1</v>
      </c>
      <c r="AS91">
        <v>1</v>
      </c>
      <c r="AT91">
        <v>1</v>
      </c>
    </row>
    <row r="92" spans="35:46">
      <c r="AI92" t="s">
        <v>331</v>
      </c>
      <c r="AJ92">
        <v>0</v>
      </c>
      <c r="AK92">
        <v>1</v>
      </c>
      <c r="AL92">
        <v>1</v>
      </c>
      <c r="AM92">
        <v>1</v>
      </c>
      <c r="AN92">
        <v>1</v>
      </c>
      <c r="AO92">
        <v>1</v>
      </c>
      <c r="AP92">
        <v>1</v>
      </c>
      <c r="AQ92">
        <v>1</v>
      </c>
      <c r="AR92">
        <v>1</v>
      </c>
      <c r="AS92">
        <v>1</v>
      </c>
      <c r="AT92">
        <v>1</v>
      </c>
    </row>
    <row r="93" spans="35:46">
      <c r="AI93" t="s">
        <v>332</v>
      </c>
      <c r="AJ93">
        <v>0</v>
      </c>
      <c r="AK93">
        <v>1</v>
      </c>
      <c r="AL93">
        <v>1</v>
      </c>
      <c r="AM93">
        <v>1</v>
      </c>
      <c r="AN93">
        <v>1</v>
      </c>
      <c r="AO93">
        <v>1</v>
      </c>
      <c r="AP93">
        <v>1</v>
      </c>
      <c r="AQ93">
        <v>1</v>
      </c>
      <c r="AR93">
        <v>1</v>
      </c>
      <c r="AS93">
        <v>1</v>
      </c>
      <c r="AT93">
        <v>1</v>
      </c>
    </row>
    <row r="94" spans="35:46">
      <c r="AI94" t="s">
        <v>333</v>
      </c>
      <c r="AJ94">
        <v>0</v>
      </c>
      <c r="AK94">
        <v>1</v>
      </c>
      <c r="AL94">
        <v>1</v>
      </c>
      <c r="AM94">
        <v>1</v>
      </c>
      <c r="AN94">
        <v>1</v>
      </c>
      <c r="AO94">
        <v>1</v>
      </c>
      <c r="AP94">
        <v>1</v>
      </c>
      <c r="AQ94">
        <v>1</v>
      </c>
      <c r="AR94">
        <v>1</v>
      </c>
      <c r="AS94">
        <v>1</v>
      </c>
      <c r="AT94">
        <v>1</v>
      </c>
    </row>
    <row r="95" spans="35:46">
      <c r="AI95" t="s">
        <v>334</v>
      </c>
      <c r="AJ95">
        <v>0</v>
      </c>
      <c r="AK95">
        <v>1</v>
      </c>
      <c r="AL95">
        <v>1</v>
      </c>
      <c r="AM95">
        <v>1</v>
      </c>
      <c r="AN95">
        <v>1</v>
      </c>
      <c r="AO95">
        <v>1</v>
      </c>
      <c r="AP95">
        <v>1</v>
      </c>
      <c r="AQ95">
        <v>1</v>
      </c>
      <c r="AR95">
        <v>1</v>
      </c>
      <c r="AS95">
        <v>1</v>
      </c>
      <c r="AT95">
        <v>1</v>
      </c>
    </row>
    <row r="96" spans="35:46">
      <c r="AI96" t="s">
        <v>335</v>
      </c>
      <c r="AJ96">
        <v>0</v>
      </c>
      <c r="AK96">
        <v>1</v>
      </c>
      <c r="AL96">
        <v>1</v>
      </c>
      <c r="AM96">
        <v>1</v>
      </c>
      <c r="AN96">
        <v>1</v>
      </c>
      <c r="AO96">
        <v>1</v>
      </c>
      <c r="AP96">
        <v>1</v>
      </c>
      <c r="AQ96">
        <v>1</v>
      </c>
      <c r="AR96">
        <v>1</v>
      </c>
      <c r="AS96">
        <v>1</v>
      </c>
      <c r="AT96">
        <v>1</v>
      </c>
    </row>
    <row r="97" spans="35:46">
      <c r="AI97" t="s">
        <v>336</v>
      </c>
      <c r="AJ97">
        <v>0</v>
      </c>
      <c r="AK97">
        <v>1</v>
      </c>
      <c r="AL97">
        <v>1</v>
      </c>
      <c r="AM97">
        <v>1</v>
      </c>
      <c r="AN97">
        <v>1</v>
      </c>
      <c r="AO97">
        <v>1</v>
      </c>
      <c r="AP97">
        <v>1</v>
      </c>
      <c r="AQ97">
        <v>1</v>
      </c>
      <c r="AR97">
        <v>1</v>
      </c>
      <c r="AS97">
        <v>1</v>
      </c>
      <c r="AT97">
        <v>1</v>
      </c>
    </row>
    <row r="98" spans="35:46">
      <c r="AI98" t="s">
        <v>337</v>
      </c>
      <c r="AJ98">
        <v>0</v>
      </c>
      <c r="AK98">
        <v>1</v>
      </c>
      <c r="AL98">
        <v>1</v>
      </c>
      <c r="AM98">
        <v>1</v>
      </c>
      <c r="AN98">
        <v>1</v>
      </c>
      <c r="AO98">
        <v>1</v>
      </c>
      <c r="AP98">
        <v>1</v>
      </c>
      <c r="AQ98">
        <v>1</v>
      </c>
      <c r="AR98">
        <v>1</v>
      </c>
      <c r="AS98">
        <v>1</v>
      </c>
      <c r="AT98">
        <v>1</v>
      </c>
    </row>
    <row r="99" spans="35:46">
      <c r="AI99" t="s">
        <v>338</v>
      </c>
      <c r="AJ99">
        <v>0</v>
      </c>
      <c r="AK99">
        <v>1</v>
      </c>
      <c r="AL99">
        <v>1</v>
      </c>
      <c r="AM99">
        <v>1</v>
      </c>
      <c r="AN99">
        <v>1</v>
      </c>
      <c r="AO99">
        <v>1</v>
      </c>
      <c r="AP99">
        <v>1</v>
      </c>
      <c r="AQ99">
        <v>1</v>
      </c>
      <c r="AR99">
        <v>1</v>
      </c>
      <c r="AS99">
        <v>1</v>
      </c>
      <c r="AT99">
        <v>1</v>
      </c>
    </row>
    <row r="100" spans="35:46">
      <c r="AI100" t="s">
        <v>339</v>
      </c>
      <c r="AJ100">
        <v>0</v>
      </c>
      <c r="AK100">
        <v>1</v>
      </c>
      <c r="AL100">
        <v>1</v>
      </c>
      <c r="AM100">
        <v>1</v>
      </c>
      <c r="AN100">
        <v>1</v>
      </c>
      <c r="AO100">
        <v>1</v>
      </c>
      <c r="AP100">
        <v>1</v>
      </c>
      <c r="AQ100">
        <v>1</v>
      </c>
      <c r="AR100">
        <v>1</v>
      </c>
      <c r="AS100">
        <v>1</v>
      </c>
      <c r="AT100">
        <v>1</v>
      </c>
    </row>
    <row r="101" spans="35:46">
      <c r="AI101" t="s">
        <v>340</v>
      </c>
      <c r="AJ101">
        <v>0</v>
      </c>
      <c r="AK101">
        <v>1</v>
      </c>
      <c r="AL101">
        <v>1</v>
      </c>
      <c r="AM101">
        <v>1</v>
      </c>
      <c r="AN101">
        <v>1</v>
      </c>
      <c r="AO101">
        <v>1</v>
      </c>
      <c r="AP101">
        <v>1</v>
      </c>
      <c r="AQ101">
        <v>1</v>
      </c>
      <c r="AR101">
        <v>1</v>
      </c>
      <c r="AS101">
        <v>1</v>
      </c>
      <c r="AT101">
        <v>1</v>
      </c>
    </row>
    <row r="102" spans="35:46">
      <c r="AI102" t="s">
        <v>341</v>
      </c>
      <c r="AJ102">
        <v>0</v>
      </c>
      <c r="AK102">
        <v>1</v>
      </c>
      <c r="AL102">
        <v>1</v>
      </c>
      <c r="AM102">
        <v>1</v>
      </c>
      <c r="AN102">
        <v>1</v>
      </c>
      <c r="AO102">
        <v>1</v>
      </c>
      <c r="AP102">
        <v>1</v>
      </c>
      <c r="AQ102">
        <v>1</v>
      </c>
      <c r="AR102">
        <v>1</v>
      </c>
      <c r="AS102">
        <v>1</v>
      </c>
      <c r="AT102">
        <v>1</v>
      </c>
    </row>
    <row r="103" spans="35:46">
      <c r="AI103" t="s">
        <v>342</v>
      </c>
      <c r="AJ103">
        <v>0</v>
      </c>
      <c r="AK103">
        <v>1</v>
      </c>
      <c r="AL103">
        <v>1</v>
      </c>
      <c r="AM103">
        <v>1</v>
      </c>
      <c r="AN103">
        <v>1</v>
      </c>
      <c r="AO103">
        <v>1</v>
      </c>
      <c r="AP103">
        <v>1</v>
      </c>
      <c r="AQ103">
        <v>1</v>
      </c>
      <c r="AR103">
        <v>1</v>
      </c>
      <c r="AS103">
        <v>1</v>
      </c>
      <c r="AT103">
        <v>1</v>
      </c>
    </row>
    <row r="106" spans="35:43">
      <c r="AI106" t="s">
        <v>37</v>
      </c>
      <c r="AJ106" t="s">
        <v>348</v>
      </c>
      <c r="AK106" t="s">
        <v>349</v>
      </c>
      <c r="AL106" t="s">
        <v>350</v>
      </c>
      <c r="AM106" t="s">
        <v>351</v>
      </c>
      <c r="AN106" t="s">
        <v>352</v>
      </c>
      <c r="AO106" t="s">
        <v>353</v>
      </c>
      <c r="AP106" t="s">
        <v>354</v>
      </c>
      <c r="AQ106" t="s">
        <v>355</v>
      </c>
    </row>
    <row r="107" spans="35:43">
      <c r="AI107" t="s">
        <v>323</v>
      </c>
      <c r="AJ107" s="727">
        <v>4306100</v>
      </c>
      <c r="AK107" s="727">
        <v>4065621.54</v>
      </c>
      <c r="AL107" s="727">
        <v>240478.46</v>
      </c>
      <c r="AM107" s="727">
        <v>113576.98</v>
      </c>
      <c r="AN107">
        <v>67.99</v>
      </c>
      <c r="AO107" s="727">
        <v>7969265.67</v>
      </c>
      <c r="AP107" s="727">
        <v>18381557.97</v>
      </c>
      <c r="AQ107">
        <v>0</v>
      </c>
    </row>
    <row r="108" spans="35:43">
      <c r="AI108" t="s">
        <v>324</v>
      </c>
      <c r="AJ108" s="727">
        <v>4306100</v>
      </c>
      <c r="AK108" s="727">
        <v>4065621.54</v>
      </c>
      <c r="AL108" s="727">
        <v>240478.46</v>
      </c>
      <c r="AM108" s="727">
        <v>113576.98</v>
      </c>
      <c r="AN108" s="727">
        <v>67.99</v>
      </c>
      <c r="AO108" s="727">
        <v>7969265.67</v>
      </c>
      <c r="AP108" s="727">
        <v>18381557.97</v>
      </c>
      <c r="AQ108">
        <v>0</v>
      </c>
    </row>
    <row r="109" spans="35:43">
      <c r="AI109" t="s">
        <v>325</v>
      </c>
      <c r="AJ109" s="727">
        <v>4306100</v>
      </c>
      <c r="AK109" s="727">
        <v>4065621.54</v>
      </c>
      <c r="AL109" s="727">
        <v>240478.46</v>
      </c>
      <c r="AM109" s="727">
        <v>113576.98</v>
      </c>
      <c r="AN109" s="727">
        <v>67.99</v>
      </c>
      <c r="AO109" s="727">
        <v>7969265.67</v>
      </c>
      <c r="AP109" s="727">
        <v>18381557.97</v>
      </c>
      <c r="AQ109">
        <v>0</v>
      </c>
    </row>
    <row r="110" spans="35:43">
      <c r="AI110" t="s">
        <v>326</v>
      </c>
      <c r="AJ110" s="727">
        <v>4306100</v>
      </c>
      <c r="AK110" s="727">
        <v>4065621.54</v>
      </c>
      <c r="AL110" s="727">
        <v>240478.46</v>
      </c>
      <c r="AM110" s="727">
        <v>113576.98</v>
      </c>
      <c r="AN110" s="727">
        <v>67.99</v>
      </c>
      <c r="AO110" s="727">
        <v>7969265.67</v>
      </c>
      <c r="AP110" s="727">
        <v>18381557.97</v>
      </c>
      <c r="AQ110">
        <v>0</v>
      </c>
    </row>
    <row r="111" spans="35:43">
      <c r="AI111" t="s">
        <v>327</v>
      </c>
      <c r="AJ111" s="727">
        <v>4306100</v>
      </c>
      <c r="AK111" s="727">
        <v>4065621.54</v>
      </c>
      <c r="AL111" s="727">
        <v>240478.46</v>
      </c>
      <c r="AM111" s="727">
        <v>113576.98</v>
      </c>
      <c r="AN111" s="727">
        <v>67.99</v>
      </c>
      <c r="AO111" s="727">
        <v>7969265.67</v>
      </c>
      <c r="AP111" s="727">
        <v>18381557.97</v>
      </c>
      <c r="AQ111">
        <v>0</v>
      </c>
    </row>
    <row r="112" spans="35:43">
      <c r="AI112" t="s">
        <v>328</v>
      </c>
      <c r="AJ112" s="727">
        <v>4306100</v>
      </c>
      <c r="AK112" s="727">
        <v>4065621.54</v>
      </c>
      <c r="AL112" s="727">
        <v>240478.46</v>
      </c>
      <c r="AM112" s="727">
        <v>113576.98</v>
      </c>
      <c r="AN112" s="727">
        <v>67.99</v>
      </c>
      <c r="AO112" s="727">
        <v>7969265.67</v>
      </c>
      <c r="AP112" s="727">
        <v>18381557.97</v>
      </c>
      <c r="AQ112">
        <v>0</v>
      </c>
    </row>
    <row r="113" spans="35:43">
      <c r="AI113" t="s">
        <v>329</v>
      </c>
      <c r="AJ113" s="727">
        <v>4306100</v>
      </c>
      <c r="AK113" s="727">
        <v>4065621.54</v>
      </c>
      <c r="AL113" s="727">
        <v>240478.46</v>
      </c>
      <c r="AM113" s="727">
        <v>113576.98</v>
      </c>
      <c r="AN113" s="727">
        <v>67.99</v>
      </c>
      <c r="AO113" s="727">
        <v>7969265.67</v>
      </c>
      <c r="AP113" s="727">
        <v>18381557.97</v>
      </c>
      <c r="AQ113">
        <v>0</v>
      </c>
    </row>
    <row r="114" spans="35:43">
      <c r="AI114" t="s">
        <v>330</v>
      </c>
      <c r="AJ114" s="727">
        <v>4306100</v>
      </c>
      <c r="AK114" s="727">
        <v>4065621.54</v>
      </c>
      <c r="AL114" s="727">
        <v>240478.46</v>
      </c>
      <c r="AM114" s="727">
        <v>113576.98</v>
      </c>
      <c r="AN114" s="727">
        <v>67.99</v>
      </c>
      <c r="AO114" s="727">
        <v>7969265.67</v>
      </c>
      <c r="AP114" s="727">
        <v>18381557.97</v>
      </c>
      <c r="AQ114">
        <v>0</v>
      </c>
    </row>
    <row r="115" spans="35:43">
      <c r="AI115" t="s">
        <v>331</v>
      </c>
      <c r="AJ115" s="727">
        <v>4306100</v>
      </c>
      <c r="AK115" s="727">
        <v>4065621.54</v>
      </c>
      <c r="AL115" s="727">
        <v>240478.46</v>
      </c>
      <c r="AM115" s="727">
        <v>113576.98</v>
      </c>
      <c r="AN115" s="727">
        <v>67.99</v>
      </c>
      <c r="AO115" s="727">
        <v>7969265.67</v>
      </c>
      <c r="AP115" s="727">
        <v>18381557.97</v>
      </c>
      <c r="AQ115">
        <v>0</v>
      </c>
    </row>
    <row r="116" spans="35:43">
      <c r="AI116" t="s">
        <v>332</v>
      </c>
      <c r="AJ116" s="727">
        <v>4306100</v>
      </c>
      <c r="AK116" s="727">
        <v>4065621.54</v>
      </c>
      <c r="AL116" s="727">
        <v>240478.46</v>
      </c>
      <c r="AM116" s="727">
        <v>113576.98</v>
      </c>
      <c r="AN116" s="727">
        <v>67.99</v>
      </c>
      <c r="AO116" s="727">
        <v>7969265.67</v>
      </c>
      <c r="AP116" s="727">
        <v>18381557.97</v>
      </c>
      <c r="AQ116">
        <v>0</v>
      </c>
    </row>
    <row r="117" spans="35:43">
      <c r="AI117" t="s">
        <v>333</v>
      </c>
      <c r="AJ117" s="727">
        <v>4306100</v>
      </c>
      <c r="AK117" s="727">
        <v>4065621.54</v>
      </c>
      <c r="AL117" s="727">
        <v>240478.46</v>
      </c>
      <c r="AM117" s="727">
        <v>113576.98</v>
      </c>
      <c r="AN117" s="727">
        <v>67.99</v>
      </c>
      <c r="AO117" s="727">
        <v>7969265.67</v>
      </c>
      <c r="AP117" s="727">
        <v>18381557.97</v>
      </c>
      <c r="AQ117">
        <v>0</v>
      </c>
    </row>
    <row r="118" spans="35:43">
      <c r="AI118" t="s">
        <v>334</v>
      </c>
      <c r="AJ118" s="727">
        <v>4306100</v>
      </c>
      <c r="AK118" s="727">
        <v>4065621.54</v>
      </c>
      <c r="AL118" s="727">
        <v>240478.46</v>
      </c>
      <c r="AM118" s="727">
        <v>113576.98</v>
      </c>
      <c r="AN118" s="727">
        <v>67.99</v>
      </c>
      <c r="AO118" s="727">
        <v>7969265.67</v>
      </c>
      <c r="AP118" s="727">
        <v>18381557.97</v>
      </c>
      <c r="AQ118">
        <v>0</v>
      </c>
    </row>
    <row r="119" spans="35:43">
      <c r="AI119" t="s">
        <v>335</v>
      </c>
      <c r="AJ119" s="727">
        <v>4306100</v>
      </c>
      <c r="AK119" s="727">
        <v>4065621.54</v>
      </c>
      <c r="AL119" s="727">
        <v>240478.46</v>
      </c>
      <c r="AM119" s="727">
        <v>113576.98</v>
      </c>
      <c r="AN119">
        <v>67.99</v>
      </c>
      <c r="AO119" s="727">
        <v>7969265.67</v>
      </c>
      <c r="AP119" s="727">
        <v>18381557.97</v>
      </c>
      <c r="AQ119">
        <v>0</v>
      </c>
    </row>
    <row r="120" spans="35:43">
      <c r="AI120" t="s">
        <v>336</v>
      </c>
      <c r="AJ120" s="727">
        <v>4306100</v>
      </c>
      <c r="AK120" s="727">
        <v>4065621.54</v>
      </c>
      <c r="AL120" s="727">
        <v>240478.46</v>
      </c>
      <c r="AM120" s="727">
        <v>113576.98</v>
      </c>
      <c r="AN120" s="727">
        <v>67.99</v>
      </c>
      <c r="AO120" s="727">
        <v>7969265.67</v>
      </c>
      <c r="AP120" s="727">
        <v>18381557.97</v>
      </c>
      <c r="AQ120">
        <v>0</v>
      </c>
    </row>
    <row r="121" spans="35:43">
      <c r="AI121" t="s">
        <v>337</v>
      </c>
      <c r="AJ121" s="727">
        <v>4306100</v>
      </c>
      <c r="AK121" s="727">
        <v>4065621.54</v>
      </c>
      <c r="AL121" s="727">
        <v>240478.46</v>
      </c>
      <c r="AM121" s="727">
        <v>113576.98</v>
      </c>
      <c r="AN121" s="727">
        <v>67.99</v>
      </c>
      <c r="AO121" s="727">
        <v>7969265.67</v>
      </c>
      <c r="AP121" s="727">
        <v>18381557.97</v>
      </c>
      <c r="AQ121">
        <v>0</v>
      </c>
    </row>
    <row r="122" spans="35:43">
      <c r="AI122" t="s">
        <v>338</v>
      </c>
      <c r="AJ122" s="727">
        <v>4306100</v>
      </c>
      <c r="AK122" s="727">
        <v>4065621.54</v>
      </c>
      <c r="AL122" s="727">
        <v>240478.46</v>
      </c>
      <c r="AM122" s="727">
        <v>113576.98</v>
      </c>
      <c r="AN122" s="727">
        <v>67.99</v>
      </c>
      <c r="AO122" s="727">
        <v>7969265.67</v>
      </c>
      <c r="AP122" s="727">
        <v>18381557.97</v>
      </c>
      <c r="AQ122">
        <v>0</v>
      </c>
    </row>
    <row r="123" spans="35:43">
      <c r="AI123" t="s">
        <v>339</v>
      </c>
      <c r="AJ123" s="727">
        <v>4306100</v>
      </c>
      <c r="AK123" s="727">
        <v>4065621.54</v>
      </c>
      <c r="AL123" s="727">
        <v>240478.46</v>
      </c>
      <c r="AM123" s="727">
        <v>113576.98</v>
      </c>
      <c r="AN123" s="727">
        <v>67.99</v>
      </c>
      <c r="AO123" s="727">
        <v>7969265.67</v>
      </c>
      <c r="AP123" s="727">
        <v>18381557.97</v>
      </c>
      <c r="AQ123">
        <v>0</v>
      </c>
    </row>
    <row r="124" spans="35:43">
      <c r="AI124" t="s">
        <v>340</v>
      </c>
      <c r="AJ124" s="727">
        <v>4306100</v>
      </c>
      <c r="AK124" s="727">
        <v>4065621.54</v>
      </c>
      <c r="AL124" s="727">
        <v>240478.46</v>
      </c>
      <c r="AM124" s="727">
        <v>113576.98</v>
      </c>
      <c r="AN124" s="727">
        <v>67.99</v>
      </c>
      <c r="AO124" s="727">
        <v>7969265.67</v>
      </c>
      <c r="AP124" s="727">
        <v>18381557.97</v>
      </c>
      <c r="AQ124">
        <v>0</v>
      </c>
    </row>
    <row r="125" spans="35:43">
      <c r="AI125" t="s">
        <v>341</v>
      </c>
      <c r="AJ125" s="727">
        <v>4306100</v>
      </c>
      <c r="AK125" s="727">
        <v>4065621.54</v>
      </c>
      <c r="AL125" s="727">
        <v>240478.46</v>
      </c>
      <c r="AM125" s="727">
        <v>113576.98</v>
      </c>
      <c r="AN125" s="727">
        <v>67.99</v>
      </c>
      <c r="AO125" s="727">
        <v>7969265.67</v>
      </c>
      <c r="AP125" s="727">
        <v>18381557.97</v>
      </c>
      <c r="AQ125">
        <v>0</v>
      </c>
    </row>
    <row r="126" spans="35:43">
      <c r="AI126" t="s">
        <v>342</v>
      </c>
      <c r="AJ126" s="727">
        <v>4306100</v>
      </c>
      <c r="AK126" s="727">
        <v>4065621.54</v>
      </c>
      <c r="AL126" s="727">
        <v>240478.46</v>
      </c>
      <c r="AM126" s="727">
        <v>113576.98</v>
      </c>
      <c r="AN126" s="727">
        <v>67.99</v>
      </c>
      <c r="AO126" s="727">
        <v>7969265.67</v>
      </c>
      <c r="AP126" s="727">
        <v>18381557.97</v>
      </c>
      <c r="AQ126">
        <v>0</v>
      </c>
    </row>
    <row r="222" spans="35:39">
      <c r="AI222" t="s">
        <v>356</v>
      </c>
      <c r="AJ222" t="s">
        <v>357</v>
      </c>
      <c r="AK222" t="s">
        <v>358</v>
      </c>
      <c r="AL222" t="s">
        <v>359</v>
      </c>
      <c r="AM222" t="s">
        <v>360</v>
      </c>
    </row>
    <row r="223" spans="35:36">
      <c r="AI223" t="s">
        <v>361</v>
      </c>
      <c r="AJ223" s="727">
        <v>6629914.91</v>
      </c>
    </row>
    <row r="224" spans="35:39">
      <c r="AI224" t="s">
        <v>309</v>
      </c>
      <c r="AJ224">
        <v>0</v>
      </c>
      <c r="AM224" s="727">
        <v>6629914.91</v>
      </c>
    </row>
    <row r="225" spans="35:39">
      <c r="AI225" t="s">
        <v>362</v>
      </c>
      <c r="AJ225" s="727">
        <v>2335074</v>
      </c>
      <c r="AM225" s="727">
        <v>8964988.91</v>
      </c>
    </row>
    <row r="226" spans="35:39">
      <c r="AI226" t="s">
        <v>363</v>
      </c>
      <c r="AJ226" s="727">
        <v>-400000</v>
      </c>
      <c r="AM226" s="727">
        <v>8564988.91</v>
      </c>
    </row>
    <row r="227" spans="35:39">
      <c r="AI227" t="s">
        <v>364</v>
      </c>
      <c r="AJ227" s="727">
        <v>-177500</v>
      </c>
      <c r="AL227" s="727">
        <v>177500</v>
      </c>
      <c r="AM227" s="727">
        <v>8387488.91</v>
      </c>
    </row>
    <row r="228" spans="35:39">
      <c r="AI228" t="s">
        <v>365</v>
      </c>
      <c r="AJ228" s="727">
        <v>-224000</v>
      </c>
      <c r="AL228" s="727">
        <v>401500</v>
      </c>
      <c r="AM228" s="727">
        <v>8163488.91</v>
      </c>
    </row>
    <row r="229" spans="35:39">
      <c r="AI229" t="s">
        <v>366</v>
      </c>
      <c r="AJ229" s="727">
        <v>-25000</v>
      </c>
      <c r="AL229" s="727">
        <v>426500</v>
      </c>
      <c r="AM229" s="727">
        <v>8138488.91</v>
      </c>
    </row>
    <row r="230" spans="35:39">
      <c r="AI230" t="s">
        <v>367</v>
      </c>
      <c r="AJ230" s="727">
        <v>-1674129.6</v>
      </c>
      <c r="AL230" s="727">
        <v>2100629.6</v>
      </c>
      <c r="AM230" s="727">
        <v>6464359.31</v>
      </c>
    </row>
    <row r="231" spans="35:39">
      <c r="AI231" t="s">
        <v>368</v>
      </c>
      <c r="AJ231" s="727">
        <v>-423000</v>
      </c>
      <c r="AL231" s="727">
        <v>2523629.6</v>
      </c>
      <c r="AM231" s="727">
        <v>6041359.31</v>
      </c>
    </row>
    <row r="232" spans="35:39">
      <c r="AI232" t="s">
        <v>369</v>
      </c>
      <c r="AJ232">
        <v>0</v>
      </c>
      <c r="AM232" s="727">
        <v>6041359.31</v>
      </c>
    </row>
    <row r="233" spans="35:39">
      <c r="AI233" t="s">
        <v>370</v>
      </c>
      <c r="AJ233" s="727">
        <v>-410000</v>
      </c>
      <c r="AM233" s="727">
        <v>5631359.31</v>
      </c>
    </row>
    <row r="234" spans="35:38">
      <c r="AI234" t="s">
        <v>371</v>
      </c>
      <c r="AJ234" s="727">
        <v>-690000</v>
      </c>
      <c r="AL234" s="727">
        <v>3213629.6</v>
      </c>
    </row>
    <row r="235" spans="35:39">
      <c r="AI235" t="s">
        <v>372</v>
      </c>
      <c r="AJ235" s="727">
        <v>-1500000</v>
      </c>
      <c r="AM235" s="727">
        <v>4131359.31</v>
      </c>
    </row>
    <row r="236" spans="35:39">
      <c r="AI236" t="s">
        <v>373</v>
      </c>
      <c r="AJ236" s="727">
        <v>45000</v>
      </c>
      <c r="AK236" s="727">
        <v>45000</v>
      </c>
      <c r="AM236" s="727">
        <v>4176359.31</v>
      </c>
    </row>
    <row r="237" spans="35:39">
      <c r="AI237" t="s">
        <v>374</v>
      </c>
      <c r="AJ237" s="727">
        <v>-50000</v>
      </c>
      <c r="AL237" s="727">
        <v>3263629.6</v>
      </c>
      <c r="AM237" s="727">
        <v>4126359.31</v>
      </c>
    </row>
    <row r="238" spans="35:39">
      <c r="AI238" t="s">
        <v>244</v>
      </c>
      <c r="AJ238" s="727">
        <v>-42500</v>
      </c>
      <c r="AL238" s="727">
        <v>3306129.6</v>
      </c>
      <c r="AM238" s="727">
        <v>4083859.31</v>
      </c>
    </row>
    <row r="239" spans="35:39">
      <c r="AI239" t="s">
        <v>375</v>
      </c>
      <c r="AJ239" s="727">
        <v>-754968.06</v>
      </c>
      <c r="AL239" s="727">
        <v>4061097.66</v>
      </c>
      <c r="AM239" s="727">
        <v>3328891.25</v>
      </c>
    </row>
    <row r="240" spans="35:38">
      <c r="AI240" t="s">
        <v>376</v>
      </c>
      <c r="AJ240" s="727">
        <v>-1336000</v>
      </c>
      <c r="AL240" s="727">
        <v>5397097.66</v>
      </c>
    </row>
    <row r="241" spans="35:39">
      <c r="AI241" t="s">
        <v>377</v>
      </c>
      <c r="AJ241" s="727">
        <v>-706012.63</v>
      </c>
      <c r="AL241" s="727">
        <v>6103110.29</v>
      </c>
      <c r="AM241" s="727">
        <v>2622878.62</v>
      </c>
    </row>
    <row r="242" spans="35:39">
      <c r="AI242" t="s">
        <v>276</v>
      </c>
      <c r="AJ242" s="727">
        <v>-246000</v>
      </c>
      <c r="AL242" s="727">
        <v>6349110.29</v>
      </c>
      <c r="AM242" s="727">
        <v>2376878.62</v>
      </c>
    </row>
    <row r="243" spans="35:39">
      <c r="AI243" t="s">
        <v>280</v>
      </c>
      <c r="AJ243" s="727">
        <v>-239000</v>
      </c>
      <c r="AL243" s="727">
        <v>6588110.29</v>
      </c>
      <c r="AM243" s="727">
        <v>2137878.62</v>
      </c>
    </row>
    <row r="244" spans="35:39">
      <c r="AI244" t="s">
        <v>378</v>
      </c>
      <c r="AJ244" s="727">
        <v>9250856</v>
      </c>
      <c r="AK244" s="727">
        <v>9295856</v>
      </c>
      <c r="AM244" s="727">
        <v>11388734.62</v>
      </c>
    </row>
    <row r="245" spans="35:39">
      <c r="AI245" t="s">
        <v>379</v>
      </c>
      <c r="AJ245">
        <v>0</v>
      </c>
      <c r="AL245" s="727">
        <v>6588110.29</v>
      </c>
      <c r="AM245" s="727">
        <v>11388734.62</v>
      </c>
    </row>
    <row r="246" spans="35:38">
      <c r="AI246" t="s">
        <v>380</v>
      </c>
      <c r="AJ246" s="727">
        <v>-846000</v>
      </c>
      <c r="AL246" s="727">
        <v>7434110.29</v>
      </c>
    </row>
    <row r="247" spans="35:38">
      <c r="AI247" t="s">
        <v>381</v>
      </c>
      <c r="AJ247" s="727">
        <v>-7453.85</v>
      </c>
      <c r="AL247" s="727">
        <v>7441564.14</v>
      </c>
    </row>
    <row r="248" spans="35:39">
      <c r="AI248" t="s">
        <v>382</v>
      </c>
      <c r="AJ248" s="727">
        <v>-3923.78</v>
      </c>
      <c r="AL248" s="727">
        <v>7445487.92</v>
      </c>
      <c r="AM248" s="727">
        <v>11384810.84</v>
      </c>
    </row>
    <row r="249" spans="35:39">
      <c r="AI249" t="s">
        <v>383</v>
      </c>
      <c r="AJ249" s="727">
        <v>-16640</v>
      </c>
      <c r="AL249" s="727">
        <v>7462127.92</v>
      </c>
      <c r="AM249" s="727">
        <v>11368170.84</v>
      </c>
    </row>
    <row r="250" spans="35:39">
      <c r="AI250" t="s">
        <v>384</v>
      </c>
      <c r="AJ250">
        <v>0</v>
      </c>
      <c r="AM250" s="727">
        <v>11368170.84</v>
      </c>
    </row>
    <row r="251" spans="35:39">
      <c r="AI251" t="s">
        <v>385</v>
      </c>
      <c r="AJ251">
        <v>0</v>
      </c>
      <c r="AK251" s="727">
        <v>9295856</v>
      </c>
      <c r="AM251" s="727">
        <v>11368170.84</v>
      </c>
    </row>
    <row r="252" spans="35:39">
      <c r="AI252" t="s">
        <v>386</v>
      </c>
      <c r="AJ252">
        <v>0</v>
      </c>
      <c r="AM252" s="727">
        <v>11368170.84</v>
      </c>
    </row>
    <row r="253" spans="35:39">
      <c r="AI253" t="s">
        <v>387</v>
      </c>
      <c r="AJ253">
        <v>0</v>
      </c>
      <c r="AL253" s="727">
        <v>7462127.92</v>
      </c>
      <c r="AM253" s="727">
        <v>11368170.84</v>
      </c>
    </row>
    <row r="254" spans="35:39">
      <c r="AI254" t="s">
        <v>388</v>
      </c>
      <c r="AJ254">
        <v>0</v>
      </c>
      <c r="AM254" s="727">
        <v>11368170.84</v>
      </c>
    </row>
    <row r="255" spans="35:39">
      <c r="AI255" t="s">
        <v>389</v>
      </c>
      <c r="AJ255">
        <v>0</v>
      </c>
      <c r="AL255" s="727">
        <v>7462127.92</v>
      </c>
      <c r="AM255" s="727">
        <v>11368170.84</v>
      </c>
    </row>
    <row r="256" spans="35:39">
      <c r="AI256" t="s">
        <v>390</v>
      </c>
      <c r="AJ256" s="727">
        <v>-385082.9</v>
      </c>
      <c r="AM256" s="727">
        <v>10983087.94</v>
      </c>
    </row>
    <row r="257" spans="35:39">
      <c r="AI257" t="s">
        <v>306</v>
      </c>
      <c r="AJ257" s="727">
        <v>-7200000</v>
      </c>
      <c r="AM257" s="727">
        <v>3783087.94</v>
      </c>
    </row>
    <row r="258" spans="35:39">
      <c r="AI258" t="s">
        <v>391</v>
      </c>
      <c r="AJ258">
        <v>0</v>
      </c>
      <c r="AM258" s="727">
        <v>3783087.94</v>
      </c>
    </row>
    <row r="259" spans="35:39">
      <c r="AI259" t="s">
        <v>392</v>
      </c>
      <c r="AJ259">
        <v>0</v>
      </c>
      <c r="AM259" s="727">
        <v>3783087.94</v>
      </c>
    </row>
  </sheetData>
  <mergeCells count="4">
    <mergeCell ref="A1:F1"/>
    <mergeCell ref="H10:I10"/>
    <mergeCell ref="A18:A19"/>
    <mergeCell ref="A20:A21"/>
  </mergeCells>
  <dataValidations count="2">
    <dataValidation type="list" allowBlank="1" showInputMessage="1" showErrorMessage="1" sqref="J10">
      <formula1>"第1期,第2期,第3期,第4期,第5期,第6期,第7期,第8期"</formula1>
    </dataValidation>
    <dataValidation type="list" allowBlank="1" showInputMessage="1" showErrorMessage="1" sqref="J15">
      <formula1>"1,2,3,4,5,6,7,8"</formula1>
    </dataValidation>
  </dataValidations>
  <pageMargins left="0.75" right="0.75" top="1" bottom="1" header="0.5" footer="0.5"/>
  <pageSetup paperSize="9"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B2:L28"/>
  <sheetViews>
    <sheetView showGridLines="0" showRowColHeaders="0" zoomScale="115" zoomScaleNormal="115" workbookViewId="0">
      <selection activeCell="E17" sqref="E17"/>
    </sheetView>
  </sheetViews>
  <sheetFormatPr defaultColWidth="9" defaultRowHeight="13.5"/>
  <cols>
    <col min="9" max="9" width="9.08849557522124" customWidth="1"/>
    <col min="10" max="10" width="10.0884955752212" customWidth="1"/>
    <col min="11" max="20" width="11.0884955752212" customWidth="1"/>
    <col min="21" max="21" width="9.36283185840708" customWidth="1"/>
  </cols>
  <sheetData>
    <row r="2" ht="13.9" spans="2:2">
      <c r="B2" t="s">
        <v>393</v>
      </c>
    </row>
    <row r="3" ht="13.9" spans="2:2">
      <c r="B3" t="s">
        <v>394</v>
      </c>
    </row>
    <row r="4" ht="13.9" spans="2:2">
      <c r="B4" t="s">
        <v>395</v>
      </c>
    </row>
    <row r="5" ht="13.9" spans="2:2">
      <c r="B5" t="s">
        <v>396</v>
      </c>
    </row>
    <row r="7" spans="3:7">
      <c r="C7" s="743"/>
      <c r="D7" s="744"/>
      <c r="E7" s="744"/>
      <c r="F7" s="744"/>
      <c r="G7" s="744"/>
    </row>
    <row r="8" spans="3:7">
      <c r="C8" s="743"/>
      <c r="D8" s="744"/>
      <c r="E8" s="744"/>
      <c r="F8" s="744"/>
      <c r="G8" s="744"/>
    </row>
    <row r="9" spans="3:8">
      <c r="C9" s="745" t="s">
        <v>397</v>
      </c>
      <c r="D9" s="746">
        <v>2</v>
      </c>
      <c r="E9" s="746">
        <v>1.9</v>
      </c>
      <c r="F9" s="746">
        <v>1.8</v>
      </c>
      <c r="G9" s="746">
        <v>1.7</v>
      </c>
      <c r="H9" s="747"/>
    </row>
    <row r="10" spans="3:8">
      <c r="C10" s="745" t="s">
        <v>313</v>
      </c>
      <c r="D10" s="748" t="s">
        <v>398</v>
      </c>
      <c r="E10" s="748" t="s">
        <v>399</v>
      </c>
      <c r="F10" s="748" t="s">
        <v>400</v>
      </c>
      <c r="G10" s="748" t="s">
        <v>401</v>
      </c>
      <c r="H10" s="748" t="s">
        <v>402</v>
      </c>
    </row>
    <row r="11" ht="16.5" spans="2:12">
      <c r="B11" s="745" t="s">
        <v>403</v>
      </c>
      <c r="C11" s="749">
        <v>1</v>
      </c>
      <c r="D11" s="750">
        <v>0.95</v>
      </c>
      <c r="E11" s="750">
        <v>0.95</v>
      </c>
      <c r="F11" s="750">
        <v>0.95</v>
      </c>
      <c r="G11" s="750">
        <v>0.95</v>
      </c>
      <c r="H11" s="751" t="str">
        <f>IF(AND(ROUND(D11,3)=I11,ROUND(E11,3)=J11,ROUND(F11,3)=K11,ROUND(G11,3)=L11),"正确","错误")</f>
        <v>正确</v>
      </c>
      <c r="I11" s="753">
        <f>第1期!$F$201</f>
        <v>0.95</v>
      </c>
      <c r="J11" s="753">
        <f>第1期!$F$202</f>
        <v>0.95</v>
      </c>
      <c r="K11" s="753">
        <f>第1期!$F$203</f>
        <v>0.95</v>
      </c>
      <c r="L11" s="753">
        <f>第1期!$F$204</f>
        <v>0.95</v>
      </c>
    </row>
    <row r="12" ht="17.25" spans="2:12">
      <c r="B12" s="745" t="s">
        <v>404</v>
      </c>
      <c r="C12" s="752">
        <v>1</v>
      </c>
      <c r="D12" s="753">
        <f>MIN(1,0.95+(C12-1)*$D$9*0.07+(D11-0.95)*0.3)</f>
        <v>0.95</v>
      </c>
      <c r="E12" s="753">
        <f>MIN(1,0.95+(C12-1)*$E$9*0.07+(E11-0.95)*0.3)</f>
        <v>0.95</v>
      </c>
      <c r="F12" s="753">
        <f>MIN(1,0.95+(C12-1)*$F$9*0.07+(F11-0.95)*0.3)</f>
        <v>0.95</v>
      </c>
      <c r="G12" s="753">
        <f>MIN(1,0.95+(C12-1)*$G$9*0.07+(G11-0.95)*0.3)</f>
        <v>0.95</v>
      </c>
      <c r="H12" s="754" t="str">
        <f t="shared" ref="H12:H25" si="0">IF(AND(ROUND(D12,3)=I12,ROUND(E12,3)=J12,ROUND(F12,3)=K12,ROUND(G12,3)=L12),"正确","错误")</f>
        <v>正确</v>
      </c>
      <c r="I12" s="753">
        <f>第2期!$F$201</f>
        <v>0.95</v>
      </c>
      <c r="J12" s="753">
        <f>第2期!$F$202</f>
        <v>0.95</v>
      </c>
      <c r="K12" s="753">
        <f>第2期!$F$203</f>
        <v>0.95</v>
      </c>
      <c r="L12" s="753">
        <f>第2期!$F$204</f>
        <v>0.95</v>
      </c>
    </row>
    <row r="13" ht="17.25" spans="2:12">
      <c r="B13" s="745" t="s">
        <v>405</v>
      </c>
      <c r="C13" s="752">
        <v>1</v>
      </c>
      <c r="D13" s="753">
        <f t="shared" ref="D13:D28" si="1">MIN(1,0.95+(C13-1)*$D$9*0.07+(D12-0.95)*0.3)</f>
        <v>0.95</v>
      </c>
      <c r="E13" s="753">
        <f t="shared" ref="E13:E28" si="2">MIN(1,0.95+(C13-1)*$E$9*0.07+(E12-0.95)*0.3)</f>
        <v>0.95</v>
      </c>
      <c r="F13" s="753">
        <f t="shared" ref="F13:F28" si="3">MIN(1,0.95+(C13-1)*$F$9*0.07+(F12-0.95)*0.3)</f>
        <v>0.95</v>
      </c>
      <c r="G13" s="753">
        <f t="shared" ref="G13:G28" si="4">MIN(1,0.95+(C13-1)*$G$9*0.07+(G12-0.95)*0.3)</f>
        <v>0.95</v>
      </c>
      <c r="H13" s="754" t="str">
        <f t="shared" si="0"/>
        <v>正确</v>
      </c>
      <c r="I13" s="753">
        <f>第3期!$F$201</f>
        <v>0.95</v>
      </c>
      <c r="J13" s="753">
        <f>第3期!$F$202</f>
        <v>0.95</v>
      </c>
      <c r="K13" s="753">
        <f>第3期!$F$203</f>
        <v>0.95</v>
      </c>
      <c r="L13" s="753">
        <f>第3期!$F$204</f>
        <v>0.95</v>
      </c>
    </row>
    <row r="14" ht="17.25" spans="2:12">
      <c r="B14" s="745" t="s">
        <v>406</v>
      </c>
      <c r="C14" s="752">
        <v>1</v>
      </c>
      <c r="D14" s="753">
        <f t="shared" si="1"/>
        <v>0.95</v>
      </c>
      <c r="E14" s="753">
        <f t="shared" si="2"/>
        <v>0.95</v>
      </c>
      <c r="F14" s="753">
        <f t="shared" si="3"/>
        <v>0.95</v>
      </c>
      <c r="G14" s="753">
        <f t="shared" si="4"/>
        <v>0.95</v>
      </c>
      <c r="H14" s="754" t="str">
        <f t="shared" si="0"/>
        <v>错误</v>
      </c>
      <c r="I14" s="753">
        <f>第4期!$F$201</f>
        <v>0.955</v>
      </c>
      <c r="J14" s="753">
        <f>第4期!$F$202</f>
        <v>0.955</v>
      </c>
      <c r="K14" s="753">
        <f>第4期!$F$203</f>
        <v>0.955</v>
      </c>
      <c r="L14" s="753">
        <f>第4期!$F$204</f>
        <v>0.954</v>
      </c>
    </row>
    <row r="15" ht="17.25" spans="2:12">
      <c r="B15" s="745" t="s">
        <v>407</v>
      </c>
      <c r="C15" s="752">
        <v>1</v>
      </c>
      <c r="D15" s="755">
        <f t="shared" si="1"/>
        <v>0.95</v>
      </c>
      <c r="E15" s="755">
        <f t="shared" si="2"/>
        <v>0.95</v>
      </c>
      <c r="F15" s="755">
        <f t="shared" si="3"/>
        <v>0.95</v>
      </c>
      <c r="G15" s="755">
        <f t="shared" si="4"/>
        <v>0.95</v>
      </c>
      <c r="H15" s="754" t="str">
        <f t="shared" si="0"/>
        <v>错误</v>
      </c>
      <c r="I15" s="755">
        <f>第5期!$F$201</f>
        <v>0.957</v>
      </c>
      <c r="J15" s="755">
        <f>第5期!$F$202</f>
        <v>0.956</v>
      </c>
      <c r="K15" s="755">
        <f>第5期!$F$203</f>
        <v>0.956</v>
      </c>
      <c r="L15" s="755">
        <f>第5期!$F$204</f>
        <v>0.955</v>
      </c>
    </row>
    <row r="16" ht="17.25" spans="2:12">
      <c r="B16" s="745" t="s">
        <v>408</v>
      </c>
      <c r="C16" s="752">
        <v>1</v>
      </c>
      <c r="D16" s="755">
        <f t="shared" si="1"/>
        <v>0.95</v>
      </c>
      <c r="E16" s="755">
        <f t="shared" si="2"/>
        <v>0.95</v>
      </c>
      <c r="F16" s="755">
        <f t="shared" si="3"/>
        <v>0.95</v>
      </c>
      <c r="G16" s="755">
        <f t="shared" si="4"/>
        <v>0.95</v>
      </c>
      <c r="H16" s="754" t="str">
        <f t="shared" si="0"/>
        <v>错误</v>
      </c>
      <c r="I16" s="755">
        <f>第6期!$F$201</f>
        <v>0.968</v>
      </c>
      <c r="J16" s="755">
        <f>第6期!$F$202</f>
        <v>0.967</v>
      </c>
      <c r="K16" s="755">
        <f>第6期!$F$203</f>
        <v>0.965</v>
      </c>
      <c r="L16" s="755">
        <f>第6期!$F$204</f>
        <v>0.964</v>
      </c>
    </row>
    <row r="17" ht="17.25" spans="2:12">
      <c r="B17" s="745" t="s">
        <v>409</v>
      </c>
      <c r="C17" s="752">
        <v>1</v>
      </c>
      <c r="D17" s="755">
        <f t="shared" si="1"/>
        <v>0.95</v>
      </c>
      <c r="E17" s="755">
        <f t="shared" si="2"/>
        <v>0.95</v>
      </c>
      <c r="F17" s="755">
        <f t="shared" si="3"/>
        <v>0.95</v>
      </c>
      <c r="G17" s="755">
        <f t="shared" si="4"/>
        <v>0.95</v>
      </c>
      <c r="H17" s="754" t="str">
        <f t="shared" si="0"/>
        <v>错误</v>
      </c>
      <c r="I17" s="755">
        <f>第7期!$F$201</f>
        <v>0.955</v>
      </c>
      <c r="J17" s="755">
        <f>第7期!$F$202</f>
        <v>0.955</v>
      </c>
      <c r="K17" s="755">
        <f>第7期!$F$203</f>
        <v>0.955</v>
      </c>
      <c r="L17" s="755">
        <f>第7期!$F$204</f>
        <v>0.954</v>
      </c>
    </row>
    <row r="18" ht="17.25" spans="2:12">
      <c r="B18" s="745" t="s">
        <v>410</v>
      </c>
      <c r="C18" s="752">
        <v>1</v>
      </c>
      <c r="D18" s="755">
        <f t="shared" si="1"/>
        <v>0.95</v>
      </c>
      <c r="E18" s="755">
        <f t="shared" si="2"/>
        <v>0.95</v>
      </c>
      <c r="F18" s="755">
        <f t="shared" si="3"/>
        <v>0.95</v>
      </c>
      <c r="G18" s="755">
        <f t="shared" si="4"/>
        <v>0.95</v>
      </c>
      <c r="H18" s="754" t="str">
        <f t="shared" si="0"/>
        <v>错误</v>
      </c>
      <c r="I18" s="755">
        <f>第8期!$F$201</f>
        <v>0.952</v>
      </c>
      <c r="J18" s="755">
        <f>第8期!$F$202</f>
        <v>0.951</v>
      </c>
      <c r="K18" s="755">
        <f>第8期!$F$203</f>
        <v>0.951</v>
      </c>
      <c r="L18" s="755">
        <f>第8期!$F$204</f>
        <v>0.951</v>
      </c>
    </row>
    <row r="19" ht="17.25" spans="2:12">
      <c r="B19" s="745" t="s">
        <v>411</v>
      </c>
      <c r="C19" s="753">
        <f>第1期!$F$24</f>
        <v>1</v>
      </c>
      <c r="D19" s="753">
        <f t="shared" si="1"/>
        <v>0.95</v>
      </c>
      <c r="E19" s="753">
        <f t="shared" si="2"/>
        <v>0.95</v>
      </c>
      <c r="F19" s="753">
        <f t="shared" si="3"/>
        <v>0.95</v>
      </c>
      <c r="G19" s="753">
        <f t="shared" si="4"/>
        <v>0.95</v>
      </c>
      <c r="H19" s="754" t="str">
        <f t="shared" si="0"/>
        <v>正确</v>
      </c>
      <c r="I19" s="753">
        <f>第1期!AN26</f>
        <v>0.95</v>
      </c>
      <c r="J19" s="753">
        <f>第1期!AN27</f>
        <v>0.95</v>
      </c>
      <c r="K19" s="753">
        <f>第1期!AN28</f>
        <v>0.95</v>
      </c>
      <c r="L19" s="753">
        <f>第1期!AN29</f>
        <v>0.95</v>
      </c>
    </row>
    <row r="20" ht="17.25" spans="2:12">
      <c r="B20" s="745" t="s">
        <v>412</v>
      </c>
      <c r="C20" s="753">
        <f>第2期!$F$24</f>
        <v>1</v>
      </c>
      <c r="D20" s="753">
        <f t="shared" si="1"/>
        <v>0.95</v>
      </c>
      <c r="E20" s="753">
        <f t="shared" si="2"/>
        <v>0.95</v>
      </c>
      <c r="F20" s="753">
        <f t="shared" si="3"/>
        <v>0.95</v>
      </c>
      <c r="G20" s="753">
        <f t="shared" si="4"/>
        <v>0.95</v>
      </c>
      <c r="H20" s="754" t="str">
        <f t="shared" si="0"/>
        <v>正确</v>
      </c>
      <c r="I20" s="753">
        <f>第2期!AN26</f>
        <v>0.95</v>
      </c>
      <c r="J20" s="753">
        <f>第2期!AN27</f>
        <v>0.95</v>
      </c>
      <c r="K20" s="753">
        <f>第2期!AN28</f>
        <v>0.95</v>
      </c>
      <c r="L20" s="753">
        <f>第2期!AN29</f>
        <v>0.95</v>
      </c>
    </row>
    <row r="21" ht="17.25" spans="2:12">
      <c r="B21" s="745" t="s">
        <v>413</v>
      </c>
      <c r="C21" s="753">
        <f>第3期!$F$24</f>
        <v>1</v>
      </c>
      <c r="D21" s="753">
        <f t="shared" si="1"/>
        <v>0.95</v>
      </c>
      <c r="E21" s="753">
        <f t="shared" si="2"/>
        <v>0.95</v>
      </c>
      <c r="F21" s="753">
        <f t="shared" si="3"/>
        <v>0.95</v>
      </c>
      <c r="G21" s="753">
        <f t="shared" si="4"/>
        <v>0.95</v>
      </c>
      <c r="H21" s="754" t="str">
        <f t="shared" si="0"/>
        <v>正确</v>
      </c>
      <c r="I21" s="753">
        <f>第3期!AN26</f>
        <v>0.95</v>
      </c>
      <c r="J21" s="753">
        <f>第3期!AN27</f>
        <v>0.95</v>
      </c>
      <c r="K21" s="753">
        <f>第3期!AN28</f>
        <v>0.95</v>
      </c>
      <c r="L21" s="753">
        <f>第3期!AN29</f>
        <v>0.95</v>
      </c>
    </row>
    <row r="22" ht="17.25" spans="2:12">
      <c r="B22" s="745" t="s">
        <v>414</v>
      </c>
      <c r="C22" s="753">
        <f>第4期!$F$24</f>
        <v>1</v>
      </c>
      <c r="D22" s="753">
        <f t="shared" si="1"/>
        <v>0.95</v>
      </c>
      <c r="E22" s="753">
        <f t="shared" si="2"/>
        <v>0.95</v>
      </c>
      <c r="F22" s="753">
        <f t="shared" si="3"/>
        <v>0.95</v>
      </c>
      <c r="G22" s="753">
        <f t="shared" si="4"/>
        <v>0.95</v>
      </c>
      <c r="H22" s="754" t="str">
        <f t="shared" si="0"/>
        <v>正确</v>
      </c>
      <c r="I22" s="753">
        <f>第4期!AN26</f>
        <v>0.95</v>
      </c>
      <c r="J22" s="753">
        <f>第4期!AN27</f>
        <v>0.95</v>
      </c>
      <c r="K22" s="753">
        <f>第4期!AN28</f>
        <v>0.95</v>
      </c>
      <c r="L22" s="753">
        <f>第4期!AN29</f>
        <v>0.95</v>
      </c>
    </row>
    <row r="23" ht="17.25" spans="2:12">
      <c r="B23" s="745" t="s">
        <v>415</v>
      </c>
      <c r="C23" s="753">
        <f>第5期!$F$24</f>
        <v>1</v>
      </c>
      <c r="D23" s="753">
        <f t="shared" si="1"/>
        <v>0.95</v>
      </c>
      <c r="E23" s="753">
        <f t="shared" si="2"/>
        <v>0.95</v>
      </c>
      <c r="F23" s="753">
        <f t="shared" si="3"/>
        <v>0.95</v>
      </c>
      <c r="G23" s="753">
        <f t="shared" si="4"/>
        <v>0.95</v>
      </c>
      <c r="H23" s="754" t="str">
        <f t="shared" si="0"/>
        <v>正确</v>
      </c>
      <c r="I23" s="753">
        <f>第5期!AN26</f>
        <v>0.95</v>
      </c>
      <c r="J23" s="753">
        <f>第5期!AN27</f>
        <v>0.95</v>
      </c>
      <c r="K23" s="753">
        <f>第5期!AN28</f>
        <v>0.95</v>
      </c>
      <c r="L23" s="753">
        <f>第5期!AN29</f>
        <v>0.95</v>
      </c>
    </row>
    <row r="24" ht="17.25" spans="2:12">
      <c r="B24" s="745" t="s">
        <v>416</v>
      </c>
      <c r="C24" s="753">
        <f>第6期!$F$24</f>
        <v>1</v>
      </c>
      <c r="D24" s="753">
        <f t="shared" si="1"/>
        <v>0.95</v>
      </c>
      <c r="E24" s="753">
        <f t="shared" si="2"/>
        <v>0.95</v>
      </c>
      <c r="F24" s="753">
        <f t="shared" si="3"/>
        <v>0.95</v>
      </c>
      <c r="G24" s="753">
        <f t="shared" si="4"/>
        <v>0.95</v>
      </c>
      <c r="H24" s="754" t="str">
        <f t="shared" si="0"/>
        <v>正确</v>
      </c>
      <c r="I24" s="753">
        <f>第6期!AN26</f>
        <v>0.95</v>
      </c>
      <c r="J24" s="753">
        <f>第6期!AN27</f>
        <v>0.95</v>
      </c>
      <c r="K24" s="753">
        <f>第6期!AN28</f>
        <v>0.95</v>
      </c>
      <c r="L24" s="753">
        <f>第6期!AN29</f>
        <v>0.95</v>
      </c>
    </row>
    <row r="25" ht="17.25" spans="2:12">
      <c r="B25" s="745" t="s">
        <v>417</v>
      </c>
      <c r="C25" s="753">
        <f>第7期!$F$24</f>
        <v>1</v>
      </c>
      <c r="D25" s="753">
        <f t="shared" si="1"/>
        <v>0.95</v>
      </c>
      <c r="E25" s="753">
        <f t="shared" si="2"/>
        <v>0.95</v>
      </c>
      <c r="F25" s="753">
        <f t="shared" si="3"/>
        <v>0.95</v>
      </c>
      <c r="G25" s="753">
        <f t="shared" si="4"/>
        <v>0.95</v>
      </c>
      <c r="H25" s="754" t="str">
        <f t="shared" si="0"/>
        <v>正确</v>
      </c>
      <c r="I25" s="753">
        <f>第7期!AN26</f>
        <v>0.95</v>
      </c>
      <c r="J25" s="753">
        <f>第7期!AN27</f>
        <v>0.95</v>
      </c>
      <c r="K25" s="753">
        <f>第7期!AN28</f>
        <v>0.95</v>
      </c>
      <c r="L25" s="753">
        <f>第7期!AN29</f>
        <v>0.95</v>
      </c>
    </row>
    <row r="26" ht="14.25" spans="2:12">
      <c r="B26" s="745" t="s">
        <v>418</v>
      </c>
      <c r="C26" s="753">
        <f>第8期!$F$24</f>
        <v>1</v>
      </c>
      <c r="D26" s="753">
        <f t="shared" si="1"/>
        <v>0.95</v>
      </c>
      <c r="E26" s="753">
        <f t="shared" si="2"/>
        <v>0.95</v>
      </c>
      <c r="F26" s="753">
        <f t="shared" si="3"/>
        <v>0.95</v>
      </c>
      <c r="G26" s="753">
        <f t="shared" si="4"/>
        <v>0.95</v>
      </c>
      <c r="I26" s="753"/>
      <c r="J26" s="753"/>
      <c r="K26" s="753"/>
      <c r="L26" s="753"/>
    </row>
    <row r="27" spans="2:12">
      <c r="B27" s="745" t="s">
        <v>419</v>
      </c>
      <c r="C27" s="753">
        <f>第1期!$F$24</f>
        <v>1</v>
      </c>
      <c r="D27" s="753">
        <f t="shared" si="1"/>
        <v>0.95</v>
      </c>
      <c r="E27" s="753">
        <f t="shared" si="2"/>
        <v>0.95</v>
      </c>
      <c r="F27" s="753">
        <f t="shared" si="3"/>
        <v>0.95</v>
      </c>
      <c r="G27" s="753">
        <f t="shared" si="4"/>
        <v>0.95</v>
      </c>
      <c r="I27" s="753"/>
      <c r="J27" s="753"/>
      <c r="K27" s="753"/>
      <c r="L27" s="753"/>
    </row>
    <row r="28" spans="2:12">
      <c r="B28" s="745" t="s">
        <v>420</v>
      </c>
      <c r="C28" s="753">
        <f>第1期!$F$24</f>
        <v>1</v>
      </c>
      <c r="D28" s="753">
        <f t="shared" si="1"/>
        <v>0.95</v>
      </c>
      <c r="E28" s="753">
        <f t="shared" si="2"/>
        <v>0.95</v>
      </c>
      <c r="F28" s="753">
        <f t="shared" si="3"/>
        <v>0.95</v>
      </c>
      <c r="G28" s="753">
        <f t="shared" si="4"/>
        <v>0.95</v>
      </c>
      <c r="I28" s="753"/>
      <c r="J28" s="753"/>
      <c r="K28" s="753"/>
      <c r="L28" s="753"/>
    </row>
  </sheetData>
  <conditionalFormatting sqref="D16">
    <cfRule type="cellIs" dxfId="0" priority="10" operator="equal">
      <formula>$I$16</formula>
    </cfRule>
    <cfRule type="cellIs" dxfId="0" priority="11" operator="equal">
      <formula>$I$16</formula>
    </cfRule>
  </conditionalFormatting>
  <conditionalFormatting sqref="I16">
    <cfRule type="cellIs" dxfId="0" priority="1" operator="equal">
      <formula>$I$16</formula>
    </cfRule>
    <cfRule type="cellIs" dxfId="0" priority="2" operator="equal">
      <formula>$I$16</formula>
    </cfRule>
  </conditionalFormatting>
  <conditionalFormatting sqref="D15:D18">
    <cfRule type="cellIs" dxfId="0" priority="15" operator="equal">
      <formula>$I$15</formula>
    </cfRule>
    <cfRule type="cellIs" dxfId="0" priority="16" operator="equal">
      <formula>$I$15</formula>
    </cfRule>
  </conditionalFormatting>
  <conditionalFormatting sqref="E15:E18">
    <cfRule type="cellIs" dxfId="0" priority="14" operator="equal">
      <formula>$J$15</formula>
    </cfRule>
  </conditionalFormatting>
  <conditionalFormatting sqref="F15:F18">
    <cfRule type="cellIs" dxfId="0" priority="13" operator="equal">
      <formula>$K$15</formula>
    </cfRule>
  </conditionalFormatting>
  <conditionalFormatting sqref="G15:G18">
    <cfRule type="cellIs" dxfId="0" priority="12" operator="equal">
      <formula>$L$15</formula>
    </cfRule>
  </conditionalFormatting>
  <conditionalFormatting sqref="H11:H25">
    <cfRule type="cellIs" dxfId="1" priority="8" operator="equal">
      <formula>"错误"</formula>
    </cfRule>
    <cfRule type="cellIs" dxfId="2" priority="9" stopIfTrue="1" operator="equal">
      <formula>"正确"</formula>
    </cfRule>
  </conditionalFormatting>
  <conditionalFormatting sqref="I15:I18">
    <cfRule type="cellIs" dxfId="0" priority="6" operator="equal">
      <formula>$I$15</formula>
    </cfRule>
    <cfRule type="cellIs" dxfId="0" priority="7" operator="equal">
      <formula>$I$15</formula>
    </cfRule>
  </conditionalFormatting>
  <conditionalFormatting sqref="J15:J18">
    <cfRule type="cellIs" dxfId="0" priority="5" operator="equal">
      <formula>$J$15</formula>
    </cfRule>
  </conditionalFormatting>
  <conditionalFormatting sqref="K15:K18">
    <cfRule type="cellIs" dxfId="0" priority="4" operator="equal">
      <formula>$K$15</formula>
    </cfRule>
  </conditionalFormatting>
  <conditionalFormatting sqref="L15:L18">
    <cfRule type="cellIs" dxfId="0" priority="3" operator="equal">
      <formula>$L$15</formula>
    </cfRule>
  </conditionalFormatting>
  <pageMargins left="0.75" right="0.75" top="1" bottom="1" header="0.511111111111111" footer="0.511111111111111"/>
  <pageSetup paperSize="9" firstPageNumber="4294963191" orientation="portrait" useFirstPageNumber="1" horizontalDpi="1200" verticalDpi="1200"/>
  <headerFooter alignWithMargins="0"/>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AY548"/>
  <sheetViews>
    <sheetView showGridLines="0" zoomScale="70" zoomScaleNormal="70" workbookViewId="0">
      <selection activeCell="G51" sqref="G51"/>
    </sheetView>
  </sheetViews>
  <sheetFormatPr defaultColWidth="9" defaultRowHeight="13.5" customHeight="1"/>
  <cols>
    <col min="1" max="1" width="17.0884955752212" customWidth="1"/>
    <col min="2" max="2" width="16.4513274336283" customWidth="1"/>
    <col min="3" max="3" width="16.6371681415929" customWidth="1"/>
    <col min="4" max="4" width="17.3628318584071" customWidth="1"/>
    <col min="5" max="5" width="15.9026548672566" customWidth="1"/>
    <col min="6" max="6" width="13.8141592920354" customWidth="1"/>
    <col min="7" max="7" width="15.0884955752212" customWidth="1"/>
    <col min="8" max="9" width="15.9026548672566" customWidth="1"/>
    <col min="10" max="10" width="15" customWidth="1"/>
    <col min="11" max="17" width="13.0884955752212" customWidth="1"/>
    <col min="18" max="19" width="9.90265486725664" customWidth="1"/>
    <col min="20" max="20" width="8" customWidth="1"/>
  </cols>
  <sheetData>
    <row r="1" customHeight="1" spans="1:26">
      <c r="A1" s="663" t="s">
        <v>421</v>
      </c>
      <c r="B1" s="664"/>
      <c r="C1" s="664"/>
      <c r="D1" s="664"/>
      <c r="E1" s="664"/>
      <c r="F1" s="664"/>
      <c r="G1" s="664"/>
      <c r="H1" s="664"/>
      <c r="I1" s="664"/>
      <c r="J1" s="664"/>
      <c r="K1" s="664"/>
      <c r="L1" s="664"/>
      <c r="M1" s="664"/>
      <c r="N1" s="664"/>
      <c r="O1" s="664"/>
      <c r="P1" s="664"/>
      <c r="Q1" s="664"/>
      <c r="R1" s="664"/>
      <c r="S1" s="664"/>
      <c r="T1" s="698"/>
      <c r="U1" s="644"/>
      <c r="V1" s="644"/>
      <c r="W1" s="644"/>
      <c r="X1" s="644"/>
      <c r="Y1" s="644"/>
      <c r="Z1" s="644"/>
    </row>
    <row r="2" customHeight="1" spans="1:26">
      <c r="A2" s="665"/>
      <c r="B2" s="666"/>
      <c r="C2" s="666"/>
      <c r="D2" s="666"/>
      <c r="E2" s="666"/>
      <c r="F2" s="666"/>
      <c r="G2" s="666"/>
      <c r="H2" s="666"/>
      <c r="I2" s="666"/>
      <c r="J2" s="666"/>
      <c r="K2" s="666"/>
      <c r="L2" s="666"/>
      <c r="M2" s="666"/>
      <c r="N2" s="666"/>
      <c r="O2" s="666"/>
      <c r="P2" s="666"/>
      <c r="Q2" s="666"/>
      <c r="R2" s="666"/>
      <c r="S2" s="666"/>
      <c r="T2" s="699"/>
      <c r="U2" s="644"/>
      <c r="V2" s="644"/>
      <c r="W2" s="644"/>
      <c r="X2" s="644"/>
      <c r="Y2" s="644"/>
      <c r="Z2" s="644"/>
    </row>
    <row r="3" s="662" customFormat="1" customHeight="1" spans="1:26">
      <c r="A3" s="667"/>
      <c r="B3" s="667"/>
      <c r="C3" s="667"/>
      <c r="D3" s="667"/>
      <c r="E3" s="667"/>
      <c r="F3" s="667"/>
      <c r="G3" s="667"/>
      <c r="H3" s="667"/>
      <c r="I3" s="667"/>
      <c r="J3" s="667"/>
      <c r="K3" s="667"/>
      <c r="L3" s="667"/>
      <c r="M3" s="667"/>
      <c r="N3" s="667"/>
      <c r="O3" s="667"/>
      <c r="P3" s="667"/>
      <c r="Q3" s="667"/>
      <c r="R3" s="667"/>
      <c r="S3" s="667"/>
      <c r="T3" s="667"/>
      <c r="U3" s="667"/>
      <c r="V3" s="667"/>
      <c r="W3" s="667"/>
      <c r="X3" s="667"/>
      <c r="Y3" s="667"/>
      <c r="Z3" s="667"/>
    </row>
    <row r="4" s="662" customFormat="1" customHeight="1" spans="1:26">
      <c r="A4" s="68" t="s">
        <v>422</v>
      </c>
      <c r="B4" s="68"/>
      <c r="C4" s="68"/>
      <c r="D4" s="68"/>
      <c r="E4" s="68"/>
      <c r="F4" s="667"/>
      <c r="G4" s="68" t="s">
        <v>423</v>
      </c>
      <c r="H4" s="68"/>
      <c r="I4" s="68"/>
      <c r="J4" s="68"/>
      <c r="K4" s="667"/>
      <c r="L4" s="96" t="s">
        <v>424</v>
      </c>
      <c r="M4" s="693"/>
      <c r="N4" s="693"/>
      <c r="O4" s="693"/>
      <c r="P4" s="693"/>
      <c r="Q4" s="693"/>
      <c r="R4" s="693"/>
      <c r="S4" s="693"/>
      <c r="T4" s="286"/>
      <c r="U4" s="667"/>
      <c r="V4" s="667"/>
      <c r="W4" s="667"/>
      <c r="X4" s="667"/>
      <c r="Y4" s="667"/>
      <c r="Z4" s="667"/>
    </row>
    <row r="5" s="662" customFormat="1" customHeight="1" spans="1:26">
      <c r="A5" s="628" t="s">
        <v>425</v>
      </c>
      <c r="B5" s="628" t="s">
        <v>426</v>
      </c>
      <c r="C5" s="628" t="s">
        <v>427</v>
      </c>
      <c r="D5" s="628" t="s">
        <v>428</v>
      </c>
      <c r="E5" s="628" t="s">
        <v>429</v>
      </c>
      <c r="F5" s="667"/>
      <c r="G5" s="628" t="s">
        <v>430</v>
      </c>
      <c r="H5" s="628"/>
      <c r="I5" s="628" t="s">
        <v>431</v>
      </c>
      <c r="J5" s="628" t="s">
        <v>432</v>
      </c>
      <c r="K5" s="667"/>
      <c r="L5" s="628" t="s">
        <v>283</v>
      </c>
      <c r="M5" s="628" t="s">
        <v>284</v>
      </c>
      <c r="N5" s="628" t="s">
        <v>285</v>
      </c>
      <c r="O5" s="628" t="s">
        <v>286</v>
      </c>
      <c r="P5" s="628" t="s">
        <v>287</v>
      </c>
      <c r="Q5" s="628" t="s">
        <v>288</v>
      </c>
      <c r="R5" s="628" t="s">
        <v>289</v>
      </c>
      <c r="S5" s="628" t="s">
        <v>290</v>
      </c>
      <c r="T5" s="628" t="s">
        <v>291</v>
      </c>
      <c r="U5" s="700" t="s">
        <v>433</v>
      </c>
      <c r="V5" s="700" t="s">
        <v>434</v>
      </c>
      <c r="W5" s="700" t="s">
        <v>435</v>
      </c>
      <c r="X5" s="700" t="s">
        <v>436</v>
      </c>
      <c r="Y5" s="700" t="s">
        <v>437</v>
      </c>
      <c r="Z5" s="700" t="s">
        <v>438</v>
      </c>
    </row>
    <row r="6" s="662" customFormat="1" customHeight="1" spans="1:26">
      <c r="A6" s="668" t="s">
        <v>361</v>
      </c>
      <c r="B6" s="668"/>
      <c r="C6" s="669"/>
      <c r="D6" s="669"/>
      <c r="E6" s="670"/>
      <c r="F6" s="667"/>
      <c r="G6" s="671" t="s">
        <v>439</v>
      </c>
      <c r="H6" s="671" t="s">
        <v>440</v>
      </c>
      <c r="I6" s="677"/>
      <c r="J6" s="677"/>
      <c r="K6" s="667"/>
      <c r="L6" s="671"/>
      <c r="M6" s="671"/>
      <c r="N6" s="677"/>
      <c r="O6" s="677"/>
      <c r="P6" s="671"/>
      <c r="Q6" s="701"/>
      <c r="R6" s="671"/>
      <c r="S6" s="677"/>
      <c r="T6" s="702"/>
      <c r="U6" s="158"/>
      <c r="V6" s="158">
        <f t="shared" ref="V6:V21" si="0">P6-N6</f>
        <v>0</v>
      </c>
      <c r="W6" s="158"/>
      <c r="X6" s="158"/>
      <c r="Y6" s="158"/>
      <c r="Z6" s="158"/>
    </row>
    <row r="7" s="662" customFormat="1" customHeight="1" spans="1:26">
      <c r="A7" s="669" t="s">
        <v>309</v>
      </c>
      <c r="B7" s="672"/>
      <c r="C7" s="672"/>
      <c r="D7" s="672"/>
      <c r="E7" s="670"/>
      <c r="F7" s="667"/>
      <c r="G7" s="673" t="s">
        <v>311</v>
      </c>
      <c r="H7" s="671" t="s">
        <v>440</v>
      </c>
      <c r="I7" s="677"/>
      <c r="J7" s="677"/>
      <c r="K7" s="667"/>
      <c r="L7" s="671"/>
      <c r="M7" s="671"/>
      <c r="N7" s="677"/>
      <c r="O7" s="677"/>
      <c r="P7" s="671"/>
      <c r="Q7" s="701"/>
      <c r="R7" s="671"/>
      <c r="S7" s="677"/>
      <c r="T7" s="702"/>
      <c r="U7" s="158"/>
      <c r="V7" s="158">
        <f t="shared" si="0"/>
        <v>0</v>
      </c>
      <c r="W7" s="158"/>
      <c r="X7" s="158"/>
      <c r="Y7" s="158"/>
      <c r="Z7" s="158"/>
    </row>
    <row r="8" s="662" customFormat="1" customHeight="1" spans="1:26">
      <c r="A8" s="669" t="s">
        <v>362</v>
      </c>
      <c r="B8" s="674"/>
      <c r="C8" s="672"/>
      <c r="D8" s="672"/>
      <c r="E8" s="670"/>
      <c r="F8" s="667"/>
      <c r="G8" s="673" t="s">
        <v>441</v>
      </c>
      <c r="H8" s="671" t="s">
        <v>440</v>
      </c>
      <c r="I8" s="677"/>
      <c r="J8" s="677"/>
      <c r="K8" s="667"/>
      <c r="L8" s="671"/>
      <c r="M8" s="675"/>
      <c r="N8" s="677"/>
      <c r="O8" s="677"/>
      <c r="P8" s="671"/>
      <c r="Q8" s="701"/>
      <c r="R8" s="671"/>
      <c r="S8" s="677"/>
      <c r="T8" s="702"/>
      <c r="U8" s="158"/>
      <c r="V8" s="158">
        <f t="shared" si="0"/>
        <v>0</v>
      </c>
      <c r="W8" s="158"/>
      <c r="X8" s="158"/>
      <c r="Y8" s="158"/>
      <c r="Z8" s="158"/>
    </row>
    <row r="9" s="662" customFormat="1" customHeight="1" spans="1:26">
      <c r="A9" s="669" t="s">
        <v>363</v>
      </c>
      <c r="B9" s="674"/>
      <c r="C9" s="672"/>
      <c r="D9" s="672"/>
      <c r="E9" s="670"/>
      <c r="F9" s="667"/>
      <c r="G9" s="673" t="s">
        <v>198</v>
      </c>
      <c r="H9" s="671" t="s">
        <v>440</v>
      </c>
      <c r="I9" s="677"/>
      <c r="J9" s="677"/>
      <c r="K9" s="667"/>
      <c r="L9" s="671"/>
      <c r="M9" s="675"/>
      <c r="N9" s="677"/>
      <c r="O9" s="677"/>
      <c r="P9" s="671"/>
      <c r="Q9" s="701"/>
      <c r="R9" s="671"/>
      <c r="S9" s="677"/>
      <c r="T9" s="702"/>
      <c r="U9" s="158">
        <f t="shared" ref="U9:Z9" si="1">SUM(O6:O9)</f>
        <v>0</v>
      </c>
      <c r="V9" s="158">
        <f t="shared" si="0"/>
        <v>0</v>
      </c>
      <c r="W9" s="158">
        <f>SUMIF(V6:V9,"&gt;=0",V6:V9)</f>
        <v>0</v>
      </c>
      <c r="X9" s="158">
        <f t="shared" si="1"/>
        <v>0</v>
      </c>
      <c r="Y9" s="158">
        <f t="shared" si="1"/>
        <v>0</v>
      </c>
      <c r="Z9" s="158">
        <f t="shared" si="1"/>
        <v>0</v>
      </c>
    </row>
    <row r="10" s="662" customFormat="1" customHeight="1" spans="1:26">
      <c r="A10" s="669" t="s">
        <v>364</v>
      </c>
      <c r="B10" s="674"/>
      <c r="C10" s="672"/>
      <c r="D10" s="674"/>
      <c r="E10" s="670"/>
      <c r="F10" s="667"/>
      <c r="G10" s="673" t="s">
        <v>202</v>
      </c>
      <c r="H10" s="671" t="s">
        <v>440</v>
      </c>
      <c r="I10" s="677"/>
      <c r="J10" s="677"/>
      <c r="K10" s="667"/>
      <c r="L10" s="671"/>
      <c r="M10" s="675"/>
      <c r="N10" s="677"/>
      <c r="O10" s="677"/>
      <c r="P10" s="671"/>
      <c r="Q10" s="701"/>
      <c r="R10" s="671"/>
      <c r="S10" s="677"/>
      <c r="T10" s="702"/>
      <c r="U10" s="158"/>
      <c r="V10" s="158">
        <f t="shared" si="0"/>
        <v>0</v>
      </c>
      <c r="W10" s="158"/>
      <c r="X10" s="158"/>
      <c r="Y10" s="158"/>
      <c r="Z10" s="158"/>
    </row>
    <row r="11" s="662" customFormat="1" customHeight="1" spans="1:26">
      <c r="A11" s="669" t="s">
        <v>365</v>
      </c>
      <c r="B11" s="674"/>
      <c r="C11" s="672"/>
      <c r="D11" s="674"/>
      <c r="E11" s="670"/>
      <c r="F11" s="667"/>
      <c r="G11" s="673" t="s">
        <v>206</v>
      </c>
      <c r="H11" s="671" t="s">
        <v>440</v>
      </c>
      <c r="I11" s="677"/>
      <c r="J11" s="677"/>
      <c r="K11" s="667"/>
      <c r="L11" s="671"/>
      <c r="M11" s="675"/>
      <c r="N11" s="677"/>
      <c r="O11" s="677"/>
      <c r="P11" s="671"/>
      <c r="Q11" s="701"/>
      <c r="R11" s="671"/>
      <c r="S11" s="677"/>
      <c r="T11" s="702"/>
      <c r="U11" s="158"/>
      <c r="V11" s="158">
        <f t="shared" si="0"/>
        <v>0</v>
      </c>
      <c r="W11" s="158"/>
      <c r="X11" s="158"/>
      <c r="Y11" s="158"/>
      <c r="Z11" s="158"/>
    </row>
    <row r="12" s="662" customFormat="1" customHeight="1" spans="1:26">
      <c r="A12" s="669" t="s">
        <v>366</v>
      </c>
      <c r="B12" s="674"/>
      <c r="C12" s="672"/>
      <c r="D12" s="674"/>
      <c r="E12" s="670"/>
      <c r="F12" s="667"/>
      <c r="G12" s="673" t="s">
        <v>208</v>
      </c>
      <c r="H12" s="671" t="s">
        <v>440</v>
      </c>
      <c r="I12" s="677"/>
      <c r="J12" s="677"/>
      <c r="K12" s="667"/>
      <c r="L12" s="671"/>
      <c r="M12" s="671"/>
      <c r="N12" s="677"/>
      <c r="O12" s="677"/>
      <c r="P12" s="671"/>
      <c r="Q12" s="701"/>
      <c r="R12" s="671"/>
      <c r="S12" s="677"/>
      <c r="T12" s="702"/>
      <c r="U12" s="158"/>
      <c r="V12" s="158">
        <f t="shared" si="0"/>
        <v>0</v>
      </c>
      <c r="W12" s="158"/>
      <c r="X12" s="158"/>
      <c r="Y12" s="158"/>
      <c r="Z12" s="158"/>
    </row>
    <row r="13" s="662" customFormat="1" customHeight="1" spans="1:26">
      <c r="A13" s="669" t="s">
        <v>367</v>
      </c>
      <c r="B13" s="674"/>
      <c r="C13" s="672"/>
      <c r="D13" s="674"/>
      <c r="E13" s="670"/>
      <c r="F13" s="667"/>
      <c r="G13" s="673" t="s">
        <v>442</v>
      </c>
      <c r="H13" s="671" t="s">
        <v>440</v>
      </c>
      <c r="I13" s="677"/>
      <c r="J13" s="677"/>
      <c r="K13" s="667"/>
      <c r="L13" s="671"/>
      <c r="M13" s="675"/>
      <c r="N13" s="677"/>
      <c r="O13" s="677"/>
      <c r="P13" s="671"/>
      <c r="Q13" s="701"/>
      <c r="R13" s="671"/>
      <c r="S13" s="677"/>
      <c r="T13" s="702"/>
      <c r="U13" s="158">
        <f t="shared" ref="U13:Z13" si="2">SUM(O10:O13)</f>
        <v>0</v>
      </c>
      <c r="V13" s="158">
        <f t="shared" si="0"/>
        <v>0</v>
      </c>
      <c r="W13" s="158">
        <f>SUMIF(V10:V13,"&gt;=0",V10:V13)</f>
        <v>0</v>
      </c>
      <c r="X13" s="158">
        <f t="shared" si="2"/>
        <v>0</v>
      </c>
      <c r="Y13" s="158">
        <f t="shared" si="2"/>
        <v>0</v>
      </c>
      <c r="Z13" s="158">
        <f t="shared" si="2"/>
        <v>0</v>
      </c>
    </row>
    <row r="14" s="662" customFormat="1" customHeight="1" spans="1:26">
      <c r="A14" s="669" t="s">
        <v>368</v>
      </c>
      <c r="B14" s="674"/>
      <c r="C14" s="672"/>
      <c r="D14" s="674"/>
      <c r="E14" s="670"/>
      <c r="F14" s="667"/>
      <c r="G14" s="673" t="s">
        <v>443</v>
      </c>
      <c r="H14" s="671" t="s">
        <v>440</v>
      </c>
      <c r="I14" s="677"/>
      <c r="J14" s="677"/>
      <c r="K14" s="667"/>
      <c r="L14" s="671"/>
      <c r="M14" s="675"/>
      <c r="N14" s="677"/>
      <c r="O14" s="677"/>
      <c r="P14" s="671"/>
      <c r="Q14" s="701"/>
      <c r="R14" s="671"/>
      <c r="S14" s="677"/>
      <c r="T14" s="702"/>
      <c r="U14" s="158"/>
      <c r="V14" s="158">
        <f t="shared" si="0"/>
        <v>0</v>
      </c>
      <c r="W14" s="158"/>
      <c r="X14" s="158"/>
      <c r="Y14" s="158"/>
      <c r="Z14" s="158"/>
    </row>
    <row r="15" s="662" customFormat="1" customHeight="1" spans="1:26">
      <c r="A15" s="669" t="s">
        <v>369</v>
      </c>
      <c r="B15" s="672"/>
      <c r="C15" s="672"/>
      <c r="D15" s="672"/>
      <c r="E15" s="670"/>
      <c r="F15" s="667"/>
      <c r="G15" s="673" t="s">
        <v>444</v>
      </c>
      <c r="H15" s="671" t="s">
        <v>445</v>
      </c>
      <c r="I15" s="677"/>
      <c r="J15" s="677"/>
      <c r="K15" s="667"/>
      <c r="L15" s="671"/>
      <c r="M15" s="675"/>
      <c r="N15" s="677"/>
      <c r="O15" s="677"/>
      <c r="P15" s="671"/>
      <c r="Q15" s="701"/>
      <c r="R15" s="671"/>
      <c r="S15" s="677"/>
      <c r="T15" s="702"/>
      <c r="U15" s="158"/>
      <c r="V15" s="158">
        <f t="shared" si="0"/>
        <v>0</v>
      </c>
      <c r="W15" s="158"/>
      <c r="X15" s="158"/>
      <c r="Y15" s="158"/>
      <c r="Z15" s="158"/>
    </row>
    <row r="16" s="662" customFormat="1" customHeight="1" spans="1:26">
      <c r="A16" s="669" t="s">
        <v>370</v>
      </c>
      <c r="B16" s="674"/>
      <c r="C16" s="672"/>
      <c r="D16" s="672"/>
      <c r="E16" s="670"/>
      <c r="F16" s="667"/>
      <c r="G16" s="673" t="s">
        <v>310</v>
      </c>
      <c r="H16" s="671" t="s">
        <v>445</v>
      </c>
      <c r="I16" s="677"/>
      <c r="J16" s="677"/>
      <c r="K16" s="667"/>
      <c r="L16" s="671"/>
      <c r="M16" s="675"/>
      <c r="N16" s="677"/>
      <c r="O16" s="677"/>
      <c r="P16" s="671"/>
      <c r="Q16" s="701"/>
      <c r="R16" s="671"/>
      <c r="S16" s="677"/>
      <c r="T16" s="702"/>
      <c r="U16" s="158"/>
      <c r="V16" s="158">
        <f t="shared" si="0"/>
        <v>0</v>
      </c>
      <c r="W16" s="158"/>
      <c r="X16" s="158"/>
      <c r="Y16" s="158"/>
      <c r="Z16" s="158"/>
    </row>
    <row r="17" s="662" customFormat="1" customHeight="1" spans="1:26">
      <c r="A17" s="669" t="s">
        <v>371</v>
      </c>
      <c r="B17" s="674"/>
      <c r="C17" s="672"/>
      <c r="D17" s="674"/>
      <c r="E17" s="670"/>
      <c r="F17" s="667"/>
      <c r="G17" s="673" t="s">
        <v>446</v>
      </c>
      <c r="H17" s="671" t="s">
        <v>440</v>
      </c>
      <c r="I17" s="677"/>
      <c r="J17" s="677"/>
      <c r="K17" s="667"/>
      <c r="L17" s="671"/>
      <c r="M17" s="675"/>
      <c r="N17" s="677"/>
      <c r="O17" s="677"/>
      <c r="P17" s="671"/>
      <c r="Q17" s="701"/>
      <c r="R17" s="671"/>
      <c r="S17" s="677"/>
      <c r="T17" s="702"/>
      <c r="U17" s="158">
        <f t="shared" ref="U17:Z17" si="3">SUM(O14:O17)</f>
        <v>0</v>
      </c>
      <c r="V17" s="158">
        <f t="shared" si="0"/>
        <v>0</v>
      </c>
      <c r="W17" s="158">
        <f>SUMIF(V14:V17,"&gt;=0",V14:V17)</f>
        <v>0</v>
      </c>
      <c r="X17" s="158">
        <f t="shared" si="3"/>
        <v>0</v>
      </c>
      <c r="Y17" s="158">
        <f t="shared" si="3"/>
        <v>0</v>
      </c>
      <c r="Z17" s="158">
        <f t="shared" si="3"/>
        <v>0</v>
      </c>
    </row>
    <row r="18" s="662" customFormat="1" customHeight="1" spans="1:26">
      <c r="A18" s="669" t="s">
        <v>372</v>
      </c>
      <c r="B18" s="674"/>
      <c r="C18" s="672"/>
      <c r="D18" s="672"/>
      <c r="E18" s="670"/>
      <c r="F18" s="667"/>
      <c r="G18" s="671" t="s">
        <v>447</v>
      </c>
      <c r="H18" s="675"/>
      <c r="I18" s="677"/>
      <c r="J18" s="677"/>
      <c r="K18" s="667"/>
      <c r="L18" s="671"/>
      <c r="M18" s="671"/>
      <c r="N18" s="677"/>
      <c r="O18" s="677"/>
      <c r="P18" s="671"/>
      <c r="Q18" s="701"/>
      <c r="R18" s="671"/>
      <c r="S18" s="677"/>
      <c r="T18" s="702"/>
      <c r="U18" s="158"/>
      <c r="V18" s="158">
        <f t="shared" si="0"/>
        <v>0</v>
      </c>
      <c r="W18" s="158"/>
      <c r="X18" s="158"/>
      <c r="Y18" s="158"/>
      <c r="Z18" s="158"/>
    </row>
    <row r="19" s="662" customFormat="1" customHeight="1" spans="1:26">
      <c r="A19" s="669" t="s">
        <v>373</v>
      </c>
      <c r="B19" s="674"/>
      <c r="C19" s="674"/>
      <c r="D19" s="672"/>
      <c r="E19" s="670"/>
      <c r="F19" s="667"/>
      <c r="G19" s="667"/>
      <c r="H19" s="667"/>
      <c r="I19" s="667"/>
      <c r="J19" s="667"/>
      <c r="K19" s="667"/>
      <c r="L19" s="671"/>
      <c r="M19" s="671"/>
      <c r="N19" s="677"/>
      <c r="O19" s="677"/>
      <c r="P19" s="671"/>
      <c r="Q19" s="701"/>
      <c r="R19" s="671"/>
      <c r="S19" s="677"/>
      <c r="T19" s="702"/>
      <c r="U19" s="158"/>
      <c r="V19" s="158">
        <f t="shared" si="0"/>
        <v>0</v>
      </c>
      <c r="W19" s="158"/>
      <c r="X19" s="158"/>
      <c r="Y19" s="158"/>
      <c r="Z19" s="158"/>
    </row>
    <row r="20" s="662" customFormat="1" customHeight="1" spans="1:26">
      <c r="A20" s="669" t="s">
        <v>374</v>
      </c>
      <c r="B20" s="674"/>
      <c r="C20" s="672"/>
      <c r="D20" s="674"/>
      <c r="E20" s="670"/>
      <c r="F20" s="667"/>
      <c r="G20" s="667"/>
      <c r="H20" s="667"/>
      <c r="I20" s="667"/>
      <c r="J20" s="667"/>
      <c r="K20" s="667"/>
      <c r="L20" s="671"/>
      <c r="M20" s="675"/>
      <c r="N20" s="677"/>
      <c r="O20" s="677"/>
      <c r="P20" s="671"/>
      <c r="Q20" s="701"/>
      <c r="R20" s="671"/>
      <c r="S20" s="677"/>
      <c r="T20" s="702"/>
      <c r="U20" s="158"/>
      <c r="V20" s="158">
        <f t="shared" si="0"/>
        <v>0</v>
      </c>
      <c r="W20" s="158"/>
      <c r="X20" s="158"/>
      <c r="Y20" s="158"/>
      <c r="Z20" s="158"/>
    </row>
    <row r="21" s="662" customFormat="1" customHeight="1" spans="1:26">
      <c r="A21" s="669" t="s">
        <v>244</v>
      </c>
      <c r="B21" s="674"/>
      <c r="C21" s="672"/>
      <c r="D21" s="674"/>
      <c r="E21" s="670"/>
      <c r="F21" s="667"/>
      <c r="G21" s="667"/>
      <c r="H21" s="667"/>
      <c r="I21" s="667"/>
      <c r="J21" s="667"/>
      <c r="K21" s="667"/>
      <c r="L21" s="671"/>
      <c r="M21" s="675"/>
      <c r="N21" s="677"/>
      <c r="O21" s="677"/>
      <c r="P21" s="671"/>
      <c r="Q21" s="701"/>
      <c r="R21" s="671"/>
      <c r="S21" s="677"/>
      <c r="T21" s="702"/>
      <c r="U21" s="158">
        <f t="shared" ref="U21:Z21" si="4">SUM(O18:O21)</f>
        <v>0</v>
      </c>
      <c r="V21" s="158">
        <f t="shared" si="0"/>
        <v>0</v>
      </c>
      <c r="W21" s="158">
        <f>SUMIF(V18:V21,"&gt;=0",V18:V21)</f>
        <v>0</v>
      </c>
      <c r="X21" s="158">
        <f t="shared" si="4"/>
        <v>0</v>
      </c>
      <c r="Y21" s="158">
        <f t="shared" si="4"/>
        <v>0</v>
      </c>
      <c r="Z21" s="158">
        <f t="shared" si="4"/>
        <v>0</v>
      </c>
    </row>
    <row r="22" s="662" customFormat="1" customHeight="1" spans="1:26">
      <c r="A22" s="669" t="s">
        <v>375</v>
      </c>
      <c r="B22" s="674"/>
      <c r="C22" s="672"/>
      <c r="D22" s="674"/>
      <c r="E22" s="670"/>
      <c r="F22" s="667"/>
      <c r="G22" s="667"/>
      <c r="H22" s="667"/>
      <c r="I22" s="667"/>
      <c r="J22" s="667"/>
      <c r="K22" s="667"/>
      <c r="L22" s="628" t="s">
        <v>283</v>
      </c>
      <c r="M22" s="628" t="s">
        <v>314</v>
      </c>
      <c r="N22" s="628" t="s">
        <v>315</v>
      </c>
      <c r="O22" s="628" t="s">
        <v>316</v>
      </c>
      <c r="P22" s="628" t="s">
        <v>317</v>
      </c>
      <c r="Q22" s="628" t="s">
        <v>318</v>
      </c>
      <c r="R22" s="644"/>
      <c r="S22" s="644"/>
      <c r="T22" s="644"/>
      <c r="U22" s="158"/>
      <c r="V22" s="158"/>
      <c r="W22" s="158"/>
      <c r="X22" s="703">
        <f>(X9*初始化表!E17+X13*初始化表!F17+X17*初始化表!G17+X21*初始化表!H17)/1300</f>
        <v>0</v>
      </c>
      <c r="Y22" s="703">
        <f>(Y9*初始化表!E17+Y13*初始化表!F17+Y17*初始化表!G17+Y21*初始化表!H17)/1300</f>
        <v>0</v>
      </c>
      <c r="Z22" s="703">
        <f>(Z9*初始化表!E17+Z13*初始化表!F17+Z17*初始化表!G17+Z21*初始化表!H17)/1300</f>
        <v>0</v>
      </c>
    </row>
    <row r="23" s="662" customFormat="1" customHeight="1" spans="1:26">
      <c r="A23" s="669" t="s">
        <v>376</v>
      </c>
      <c r="B23" s="674"/>
      <c r="C23" s="672"/>
      <c r="D23" s="674"/>
      <c r="E23" s="670"/>
      <c r="F23" s="667"/>
      <c r="G23" s="68" t="s">
        <v>448</v>
      </c>
      <c r="H23" s="68"/>
      <c r="I23" s="68"/>
      <c r="J23" s="678"/>
      <c r="K23" s="667"/>
      <c r="L23" s="671" t="s">
        <v>35</v>
      </c>
      <c r="M23" s="671"/>
      <c r="N23" s="677"/>
      <c r="O23" s="677"/>
      <c r="P23" s="671"/>
      <c r="Q23" s="671"/>
      <c r="R23" s="644"/>
      <c r="S23" s="644"/>
      <c r="T23" s="644"/>
      <c r="U23" s="158"/>
      <c r="V23" s="704" t="s">
        <v>449</v>
      </c>
      <c r="W23" s="703">
        <f>(SUM(P6:P9)*初始化表!E17+SUM(P10:P13)*初始化表!F17+SUM(P14:P17)*初始化表!G17+SUM(P18:P21)*初始化表!H17)/1300</f>
        <v>0</v>
      </c>
      <c r="X23" s="158"/>
      <c r="Y23" s="158"/>
      <c r="Z23" s="158"/>
    </row>
    <row r="24" s="662" customFormat="1" customHeight="1" spans="1:26">
      <c r="A24" s="669" t="s">
        <v>377</v>
      </c>
      <c r="B24" s="674"/>
      <c r="C24" s="672"/>
      <c r="D24" s="674"/>
      <c r="E24" s="670"/>
      <c r="F24" s="667"/>
      <c r="G24" s="628" t="s">
        <v>450</v>
      </c>
      <c r="H24" s="628" t="s">
        <v>451</v>
      </c>
      <c r="I24" s="628" t="s">
        <v>452</v>
      </c>
      <c r="J24" s="678"/>
      <c r="K24" s="667"/>
      <c r="L24" s="671" t="s">
        <v>36</v>
      </c>
      <c r="M24" s="671"/>
      <c r="N24" s="677"/>
      <c r="O24" s="677"/>
      <c r="P24" s="671"/>
      <c r="Q24" s="671"/>
      <c r="R24" s="644"/>
      <c r="S24" s="644"/>
      <c r="T24" s="644"/>
      <c r="U24" s="158"/>
      <c r="V24" s="704" t="s">
        <v>453</v>
      </c>
      <c r="W24" s="703">
        <f>(U9*初始化表!E17+U13*初始化表!F17+U17*初始化表!G17+U21*初始化表!H17)/1300</f>
        <v>0</v>
      </c>
      <c r="X24" s="158"/>
      <c r="Y24" s="158"/>
      <c r="Z24" s="158"/>
    </row>
    <row r="25" s="662" customFormat="1" customHeight="1" spans="1:26">
      <c r="A25" s="669" t="s">
        <v>276</v>
      </c>
      <c r="B25" s="674"/>
      <c r="C25" s="672"/>
      <c r="D25" s="674"/>
      <c r="E25" s="670"/>
      <c r="F25" s="667"/>
      <c r="G25" s="676" t="s">
        <v>345</v>
      </c>
      <c r="H25" s="677"/>
      <c r="I25" s="694">
        <v>1</v>
      </c>
      <c r="J25" s="678"/>
      <c r="K25" s="667"/>
      <c r="L25" s="671" t="s">
        <v>62</v>
      </c>
      <c r="M25" s="671"/>
      <c r="N25" s="677"/>
      <c r="O25" s="677"/>
      <c r="P25" s="671"/>
      <c r="Q25" s="671"/>
      <c r="R25" s="644"/>
      <c r="S25" s="644"/>
      <c r="T25" s="644"/>
      <c r="U25" s="158"/>
      <c r="V25" s="704" t="s">
        <v>454</v>
      </c>
      <c r="W25" s="703">
        <f>(W9*初始化表!E17+W13*初始化表!F17+W17*初始化表!G17+W21*初始化表!H17)/1300</f>
        <v>0</v>
      </c>
      <c r="X25" s="158"/>
      <c r="Y25" s="704"/>
      <c r="Z25" s="703"/>
    </row>
    <row r="26" s="662" customFormat="1" customHeight="1" spans="1:26">
      <c r="A26" s="669" t="s">
        <v>280</v>
      </c>
      <c r="B26" s="674"/>
      <c r="C26" s="672"/>
      <c r="D26" s="674"/>
      <c r="E26" s="670"/>
      <c r="F26" s="667"/>
      <c r="G26" s="676" t="s">
        <v>346</v>
      </c>
      <c r="H26" s="677"/>
      <c r="I26" s="694">
        <v>1</v>
      </c>
      <c r="J26" s="678"/>
      <c r="K26" s="667"/>
      <c r="L26" s="671" t="s">
        <v>63</v>
      </c>
      <c r="M26" s="671"/>
      <c r="N26" s="677"/>
      <c r="O26" s="677"/>
      <c r="P26" s="671"/>
      <c r="Q26" s="671"/>
      <c r="R26" s="644"/>
      <c r="S26" s="644"/>
      <c r="T26" s="644"/>
      <c r="U26" s="158"/>
      <c r="V26" s="704" t="s">
        <v>455</v>
      </c>
      <c r="W26" s="703">
        <f>(SUM(N6:N9)*初始化表!E17+SUM(N10:N13)*初始化表!F17+SUM(N14:N17)*初始化表!G17+SUM(N18:N21)*初始化表!H17)/1300</f>
        <v>0</v>
      </c>
      <c r="X26" s="158"/>
      <c r="Y26" s="704"/>
      <c r="Z26" s="703"/>
    </row>
    <row r="27" s="662" customFormat="1" customHeight="1" spans="1:26">
      <c r="A27" s="669" t="s">
        <v>378</v>
      </c>
      <c r="B27" s="674"/>
      <c r="C27" s="674"/>
      <c r="D27" s="672"/>
      <c r="E27" s="670"/>
      <c r="F27" s="667"/>
      <c r="G27" s="676" t="s">
        <v>441</v>
      </c>
      <c r="H27" s="677"/>
      <c r="I27" s="694">
        <v>1</v>
      </c>
      <c r="J27" s="678"/>
      <c r="K27" s="667"/>
      <c r="L27" s="695"/>
      <c r="M27" s="644"/>
      <c r="N27" s="644"/>
      <c r="O27" s="644"/>
      <c r="P27" s="644"/>
      <c r="Q27" s="644"/>
      <c r="R27" s="644"/>
      <c r="S27" s="644"/>
      <c r="T27" s="644"/>
      <c r="U27" s="158"/>
      <c r="V27" s="704" t="s">
        <v>456</v>
      </c>
      <c r="W27" s="703">
        <f>(M23*初始化表!E17+M24*初始化表!F17+M25*初始化表!G17+M26*初始化表!H17)/1300</f>
        <v>0</v>
      </c>
      <c r="X27" s="158"/>
      <c r="Y27" s="158"/>
      <c r="Z27" s="158"/>
    </row>
    <row r="28" s="662" customFormat="1" customHeight="1" spans="1:26">
      <c r="A28" s="669" t="s">
        <v>379</v>
      </c>
      <c r="B28" s="674"/>
      <c r="C28" s="672"/>
      <c r="D28" s="674"/>
      <c r="E28" s="670"/>
      <c r="F28" s="667"/>
      <c r="G28" s="676" t="s">
        <v>439</v>
      </c>
      <c r="H28" s="677"/>
      <c r="I28" s="694">
        <v>1</v>
      </c>
      <c r="J28" s="678"/>
      <c r="K28" s="667"/>
      <c r="L28" s="667"/>
      <c r="M28" s="667"/>
      <c r="N28" s="667"/>
      <c r="O28" s="667"/>
      <c r="P28" s="667"/>
      <c r="Q28" s="667"/>
      <c r="R28" s="667"/>
      <c r="S28" s="667"/>
      <c r="T28" s="667"/>
      <c r="U28" s="667"/>
      <c r="V28" s="667"/>
      <c r="W28" s="667"/>
      <c r="X28" s="667"/>
      <c r="Y28" s="667"/>
      <c r="Z28" s="667"/>
    </row>
    <row r="29" s="662" customFormat="1" customHeight="1" spans="1:26">
      <c r="A29" s="669" t="s">
        <v>380</v>
      </c>
      <c r="B29" s="674"/>
      <c r="C29" s="672"/>
      <c r="D29" s="674"/>
      <c r="E29" s="670"/>
      <c r="F29" s="667"/>
      <c r="G29" s="676" t="s">
        <v>457</v>
      </c>
      <c r="H29" s="677"/>
      <c r="I29" s="694">
        <v>1</v>
      </c>
      <c r="J29" s="678"/>
      <c r="K29" s="667"/>
      <c r="L29" s="667"/>
      <c r="M29" s="667"/>
      <c r="N29" s="667"/>
      <c r="O29" s="667"/>
      <c r="P29" s="667"/>
      <c r="Q29" s="667"/>
      <c r="R29" s="667"/>
      <c r="S29" s="667"/>
      <c r="T29" s="667"/>
      <c r="U29" s="68" t="s">
        <v>458</v>
      </c>
      <c r="V29" s="68" t="s">
        <v>459</v>
      </c>
      <c r="W29" s="68" t="s">
        <v>460</v>
      </c>
      <c r="X29" s="68" t="s">
        <v>461</v>
      </c>
      <c r="Y29" s="68" t="s">
        <v>462</v>
      </c>
      <c r="Z29" s="667"/>
    </row>
    <row r="30" s="662" customFormat="1" customHeight="1" spans="1:26">
      <c r="A30" s="669" t="s">
        <v>381</v>
      </c>
      <c r="B30" s="674"/>
      <c r="C30" s="672"/>
      <c r="D30" s="674"/>
      <c r="E30" s="670"/>
      <c r="F30" s="667"/>
      <c r="G30" s="676" t="s">
        <v>463</v>
      </c>
      <c r="H30" s="677"/>
      <c r="I30" s="694">
        <v>1</v>
      </c>
      <c r="J30" s="678"/>
      <c r="K30" s="667"/>
      <c r="L30" s="667"/>
      <c r="M30" s="667"/>
      <c r="N30" s="667"/>
      <c r="O30" s="667"/>
      <c r="P30" s="667"/>
      <c r="Q30" s="667"/>
      <c r="R30" s="667"/>
      <c r="S30" s="667"/>
      <c r="T30" s="667"/>
      <c r="U30" s="68" t="s">
        <v>464</v>
      </c>
      <c r="V30" s="671">
        <f>P6</f>
        <v>0</v>
      </c>
      <c r="W30" s="671">
        <f>P7</f>
        <v>0</v>
      </c>
      <c r="X30" s="671">
        <f>P8</f>
        <v>0</v>
      </c>
      <c r="Y30" s="671">
        <f>P9</f>
        <v>0</v>
      </c>
      <c r="Z30" s="667"/>
    </row>
    <row r="31" s="662" customFormat="1" customHeight="1" spans="1:26">
      <c r="A31" s="669" t="s">
        <v>382</v>
      </c>
      <c r="B31" s="674"/>
      <c r="C31" s="672"/>
      <c r="D31" s="674"/>
      <c r="E31" s="670"/>
      <c r="F31" s="667"/>
      <c r="G31" s="676" t="s">
        <v>311</v>
      </c>
      <c r="H31" s="677"/>
      <c r="I31" s="694">
        <v>1</v>
      </c>
      <c r="J31" s="678"/>
      <c r="K31" s="667"/>
      <c r="L31" s="667"/>
      <c r="M31" s="667"/>
      <c r="N31" s="667"/>
      <c r="O31" s="667"/>
      <c r="P31" s="667"/>
      <c r="Q31" s="667"/>
      <c r="R31" s="667"/>
      <c r="S31" s="667"/>
      <c r="T31" s="667"/>
      <c r="U31" s="68" t="s">
        <v>465</v>
      </c>
      <c r="V31" s="671">
        <f>P10</f>
        <v>0</v>
      </c>
      <c r="W31" s="671">
        <f>P11</f>
        <v>0</v>
      </c>
      <c r="X31" s="671">
        <f>P12</f>
        <v>0</v>
      </c>
      <c r="Y31" s="671">
        <f>P13</f>
        <v>0</v>
      </c>
      <c r="Z31" s="667"/>
    </row>
    <row r="32" s="662" customFormat="1" customHeight="1" spans="1:26">
      <c r="A32" s="669" t="s">
        <v>383</v>
      </c>
      <c r="B32" s="674"/>
      <c r="C32" s="672"/>
      <c r="D32" s="674"/>
      <c r="E32" s="670"/>
      <c r="F32" s="667"/>
      <c r="G32" s="676" t="s">
        <v>310</v>
      </c>
      <c r="H32" s="677"/>
      <c r="I32" s="694">
        <v>1</v>
      </c>
      <c r="J32" s="678"/>
      <c r="K32" s="667"/>
      <c r="L32" s="667"/>
      <c r="M32" s="667"/>
      <c r="N32" s="667"/>
      <c r="O32" s="667"/>
      <c r="P32" s="667"/>
      <c r="Q32" s="667"/>
      <c r="R32" s="667"/>
      <c r="S32" s="667"/>
      <c r="T32" s="667"/>
      <c r="U32" s="68" t="s">
        <v>466</v>
      </c>
      <c r="V32" s="671">
        <f>P14</f>
        <v>0</v>
      </c>
      <c r="W32" s="671">
        <f>P15</f>
        <v>0</v>
      </c>
      <c r="X32" s="671">
        <f>P16</f>
        <v>0</v>
      </c>
      <c r="Y32" s="671">
        <f>P17</f>
        <v>0</v>
      </c>
      <c r="Z32" s="667"/>
    </row>
    <row r="33" s="662" customFormat="1" customHeight="1" spans="1:26">
      <c r="A33" s="669" t="s">
        <v>384</v>
      </c>
      <c r="B33" s="672"/>
      <c r="C33" s="672"/>
      <c r="D33" s="672"/>
      <c r="E33" s="670"/>
      <c r="F33" s="667"/>
      <c r="G33" s="676" t="s">
        <v>467</v>
      </c>
      <c r="H33" s="677"/>
      <c r="I33" s="694">
        <v>1</v>
      </c>
      <c r="J33" s="678"/>
      <c r="K33" s="667"/>
      <c r="L33" s="667"/>
      <c r="M33" s="667"/>
      <c r="N33" s="667"/>
      <c r="O33" s="667"/>
      <c r="P33" s="667"/>
      <c r="Q33" s="667"/>
      <c r="R33" s="667"/>
      <c r="S33" s="667"/>
      <c r="T33" s="667"/>
      <c r="U33" s="68" t="s">
        <v>468</v>
      </c>
      <c r="V33" s="671">
        <f>P18</f>
        <v>0</v>
      </c>
      <c r="W33" s="671">
        <f>P19</f>
        <v>0</v>
      </c>
      <c r="X33" s="671">
        <f>P20</f>
        <v>0</v>
      </c>
      <c r="Y33" s="671">
        <f>P21</f>
        <v>0</v>
      </c>
      <c r="Z33" s="667"/>
    </row>
    <row r="34" s="662" customFormat="1" customHeight="1" spans="1:26">
      <c r="A34" s="669" t="s">
        <v>385</v>
      </c>
      <c r="B34" s="672"/>
      <c r="C34" s="674"/>
      <c r="D34" s="672"/>
      <c r="E34" s="670"/>
      <c r="F34" s="667"/>
      <c r="G34" s="676" t="s">
        <v>255</v>
      </c>
      <c r="H34" s="677"/>
      <c r="I34" s="694">
        <v>1</v>
      </c>
      <c r="J34" s="678"/>
      <c r="K34" s="667"/>
      <c r="L34" s="667"/>
      <c r="M34" s="667"/>
      <c r="N34" s="667"/>
      <c r="O34" s="667"/>
      <c r="P34" s="667"/>
      <c r="Q34" s="667"/>
      <c r="R34" s="667"/>
      <c r="S34" s="667"/>
      <c r="T34" s="667"/>
      <c r="U34" s="667"/>
      <c r="V34" s="667"/>
      <c r="W34" s="667"/>
      <c r="X34" s="667"/>
      <c r="Y34" s="667"/>
      <c r="Z34" s="667"/>
    </row>
    <row r="35" s="662" customFormat="1" customHeight="1" spans="1:39">
      <c r="A35" s="669" t="s">
        <v>386</v>
      </c>
      <c r="B35" s="672"/>
      <c r="C35" s="672"/>
      <c r="D35" s="672"/>
      <c r="E35" s="670"/>
      <c r="F35" s="667"/>
      <c r="G35" s="676" t="s">
        <v>469</v>
      </c>
      <c r="H35" s="677"/>
      <c r="I35" s="694">
        <v>1</v>
      </c>
      <c r="J35" s="614"/>
      <c r="K35" s="667"/>
      <c r="L35" s="667"/>
      <c r="M35" s="667"/>
      <c r="N35" s="667"/>
      <c r="O35" s="667"/>
      <c r="P35" s="667"/>
      <c r="Q35" s="667"/>
      <c r="R35" s="667"/>
      <c r="S35" s="667"/>
      <c r="T35" s="667"/>
      <c r="U35" s="667"/>
      <c r="V35" s="667"/>
      <c r="W35" s="667"/>
      <c r="X35" s="667"/>
      <c r="Y35" s="667"/>
      <c r="Z35" s="667"/>
      <c r="AI35" s="662" t="s">
        <v>37</v>
      </c>
      <c r="AJ35" s="662" t="s">
        <v>35</v>
      </c>
      <c r="AK35" s="662" t="s">
        <v>36</v>
      </c>
      <c r="AL35" s="662" t="s">
        <v>62</v>
      </c>
      <c r="AM35" s="662" t="s">
        <v>63</v>
      </c>
    </row>
    <row r="36" s="662" customFormat="1" customHeight="1" spans="1:50">
      <c r="A36" s="669" t="s">
        <v>387</v>
      </c>
      <c r="B36" s="672"/>
      <c r="C36" s="672"/>
      <c r="D36" s="674"/>
      <c r="E36" s="670"/>
      <c r="F36" s="667"/>
      <c r="G36" s="676" t="s">
        <v>470</v>
      </c>
      <c r="H36" s="677"/>
      <c r="I36" s="694">
        <v>1</v>
      </c>
      <c r="J36" s="667"/>
      <c r="K36" s="667"/>
      <c r="L36" s="667"/>
      <c r="M36" s="667"/>
      <c r="N36" s="667"/>
      <c r="O36" s="667"/>
      <c r="P36" s="667"/>
      <c r="Q36" s="667"/>
      <c r="R36" s="667"/>
      <c r="S36" s="667"/>
      <c r="T36" s="667"/>
      <c r="U36" s="667"/>
      <c r="V36" s="667"/>
      <c r="W36" s="667"/>
      <c r="X36" s="667"/>
      <c r="Y36" s="667"/>
      <c r="Z36" s="667"/>
      <c r="AI36" s="662" t="s">
        <v>38</v>
      </c>
      <c r="AJ36" s="662" t="s">
        <v>39</v>
      </c>
      <c r="AK36" s="662" t="s">
        <v>40</v>
      </c>
      <c r="AL36" s="662" t="s">
        <v>41</v>
      </c>
      <c r="AM36" s="662" t="s">
        <v>38</v>
      </c>
      <c r="AN36" s="662" t="s">
        <v>39</v>
      </c>
      <c r="AO36" s="662" t="s">
        <v>40</v>
      </c>
      <c r="AP36" s="662" t="s">
        <v>41</v>
      </c>
      <c r="AQ36" s="662" t="s">
        <v>38</v>
      </c>
      <c r="AR36" s="662" t="s">
        <v>39</v>
      </c>
      <c r="AS36" s="662" t="s">
        <v>40</v>
      </c>
      <c r="AT36" s="662" t="s">
        <v>41</v>
      </c>
      <c r="AU36" s="662" t="s">
        <v>38</v>
      </c>
      <c r="AV36" s="662" t="s">
        <v>39</v>
      </c>
      <c r="AW36" s="662" t="s">
        <v>40</v>
      </c>
      <c r="AX36" s="662" t="s">
        <v>41</v>
      </c>
    </row>
    <row r="37" s="662" customFormat="1" customHeight="1" spans="1:51">
      <c r="A37" s="669" t="s">
        <v>388</v>
      </c>
      <c r="B37" s="672"/>
      <c r="C37" s="672"/>
      <c r="D37" s="672"/>
      <c r="E37" s="670"/>
      <c r="F37" s="667"/>
      <c r="G37" s="676" t="s">
        <v>471</v>
      </c>
      <c r="H37" s="677"/>
      <c r="I37" s="694">
        <v>1</v>
      </c>
      <c r="J37" s="667"/>
      <c r="K37" s="667"/>
      <c r="L37" s="667"/>
      <c r="M37" s="667"/>
      <c r="N37" s="667"/>
      <c r="O37" s="667"/>
      <c r="P37" s="667"/>
      <c r="Q37" s="667"/>
      <c r="R37" s="667"/>
      <c r="S37" s="667"/>
      <c r="T37" s="667"/>
      <c r="U37" s="667"/>
      <c r="V37" s="667"/>
      <c r="W37" s="667"/>
      <c r="X37" s="667"/>
      <c r="Y37" s="667"/>
      <c r="Z37" s="667"/>
      <c r="AI37" s="662" t="s">
        <v>323</v>
      </c>
      <c r="AJ37" s="707">
        <v>5450</v>
      </c>
      <c r="AK37" s="707">
        <v>5480</v>
      </c>
      <c r="AL37" s="707">
        <v>5583</v>
      </c>
      <c r="AM37" s="707">
        <v>5597</v>
      </c>
      <c r="AN37" s="707">
        <v>7694</v>
      </c>
      <c r="AO37" s="707">
        <v>7694</v>
      </c>
      <c r="AP37" s="707">
        <v>7899</v>
      </c>
      <c r="AQ37" s="707">
        <v>7890</v>
      </c>
      <c r="AR37" s="707">
        <v>12064</v>
      </c>
      <c r="AS37" s="707">
        <v>12043</v>
      </c>
      <c r="AT37" s="707">
        <v>12202</v>
      </c>
      <c r="AU37" s="707">
        <v>12217</v>
      </c>
      <c r="AV37" s="707">
        <v>14681</v>
      </c>
      <c r="AW37" s="707">
        <v>14681</v>
      </c>
      <c r="AX37" s="707">
        <v>15107</v>
      </c>
      <c r="AY37" s="707">
        <v>14967</v>
      </c>
    </row>
    <row r="38" s="662" customFormat="1" customHeight="1" spans="1:51">
      <c r="A38" s="669" t="s">
        <v>389</v>
      </c>
      <c r="B38" s="672"/>
      <c r="C38" s="672"/>
      <c r="D38" s="674"/>
      <c r="E38" s="670"/>
      <c r="F38" s="667"/>
      <c r="G38" s="676" t="s">
        <v>264</v>
      </c>
      <c r="H38" s="677"/>
      <c r="I38" s="694">
        <v>1</v>
      </c>
      <c r="J38" s="667"/>
      <c r="K38" s="667"/>
      <c r="L38" s="667"/>
      <c r="M38" s="667"/>
      <c r="N38" s="667"/>
      <c r="O38" s="667"/>
      <c r="P38" s="667"/>
      <c r="Q38" s="667"/>
      <c r="R38" s="667"/>
      <c r="S38" s="667"/>
      <c r="T38" s="667"/>
      <c r="U38" s="667"/>
      <c r="V38" s="667"/>
      <c r="W38" s="667"/>
      <c r="X38" s="667"/>
      <c r="Y38" s="667"/>
      <c r="Z38" s="667"/>
      <c r="AI38" s="662" t="s">
        <v>324</v>
      </c>
      <c r="AJ38" s="707">
        <v>5600</v>
      </c>
      <c r="AK38" s="707">
        <v>5600</v>
      </c>
      <c r="AL38" s="707">
        <v>5450</v>
      </c>
      <c r="AM38" s="707">
        <v>5450</v>
      </c>
      <c r="AN38" s="707">
        <v>7700</v>
      </c>
      <c r="AO38" s="707">
        <v>7700</v>
      </c>
      <c r="AP38" s="707">
        <v>7500</v>
      </c>
      <c r="AQ38" s="707">
        <v>7500</v>
      </c>
      <c r="AR38" s="707">
        <v>12000</v>
      </c>
      <c r="AS38" s="707">
        <v>12000</v>
      </c>
      <c r="AT38" s="707">
        <v>12200</v>
      </c>
      <c r="AU38" s="707">
        <v>12200</v>
      </c>
      <c r="AV38" s="707">
        <v>14500</v>
      </c>
      <c r="AW38" s="707">
        <v>14500</v>
      </c>
      <c r="AX38" s="707">
        <v>14800</v>
      </c>
      <c r="AY38" s="707">
        <v>14800</v>
      </c>
    </row>
    <row r="39" s="662" customFormat="1" customHeight="1" spans="1:51">
      <c r="A39" s="669" t="s">
        <v>472</v>
      </c>
      <c r="B39" s="674"/>
      <c r="C39" s="672"/>
      <c r="D39" s="672"/>
      <c r="E39" s="670"/>
      <c r="F39" s="667"/>
      <c r="G39" s="676" t="s">
        <v>268</v>
      </c>
      <c r="H39" s="677"/>
      <c r="I39" s="694">
        <v>1</v>
      </c>
      <c r="J39" s="667"/>
      <c r="K39" s="667"/>
      <c r="L39" s="667"/>
      <c r="M39" s="667"/>
      <c r="N39" s="667"/>
      <c r="O39" s="667"/>
      <c r="P39" s="667"/>
      <c r="Q39" s="667"/>
      <c r="R39" s="667"/>
      <c r="S39" s="667"/>
      <c r="T39" s="667"/>
      <c r="U39" s="667"/>
      <c r="V39" s="667"/>
      <c r="W39" s="667"/>
      <c r="X39" s="667"/>
      <c r="Y39" s="667"/>
      <c r="Z39" s="667"/>
      <c r="AI39" s="662" t="s">
        <v>325</v>
      </c>
      <c r="AJ39" s="707">
        <v>5680</v>
      </c>
      <c r="AK39" s="707">
        <v>5680</v>
      </c>
      <c r="AL39" s="707">
        <v>5795</v>
      </c>
      <c r="AM39" s="707">
        <v>5795</v>
      </c>
      <c r="AN39" s="707">
        <v>7590</v>
      </c>
      <c r="AO39" s="707">
        <v>7600</v>
      </c>
      <c r="AP39" s="707">
        <v>8200</v>
      </c>
      <c r="AQ39" s="707">
        <v>8180</v>
      </c>
      <c r="AR39" s="707">
        <v>11740</v>
      </c>
      <c r="AS39" s="707">
        <v>11800</v>
      </c>
      <c r="AT39" s="707">
        <v>11950</v>
      </c>
      <c r="AU39" s="707">
        <v>11970</v>
      </c>
      <c r="AV39" s="707">
        <v>14950</v>
      </c>
      <c r="AW39" s="707">
        <v>14950</v>
      </c>
      <c r="AX39" s="707">
        <v>15421</v>
      </c>
      <c r="AY39" s="707">
        <v>15397</v>
      </c>
    </row>
    <row r="40" s="662" customFormat="1" customHeight="1" spans="1:51">
      <c r="A40" s="669" t="s">
        <v>306</v>
      </c>
      <c r="B40" s="674"/>
      <c r="C40" s="672"/>
      <c r="D40" s="672"/>
      <c r="E40" s="670"/>
      <c r="F40" s="667"/>
      <c r="G40" s="676" t="s">
        <v>270</v>
      </c>
      <c r="H40" s="677"/>
      <c r="I40" s="694">
        <v>1</v>
      </c>
      <c r="J40" s="667"/>
      <c r="K40" s="667"/>
      <c r="L40" s="667"/>
      <c r="M40" s="667"/>
      <c r="N40" s="667"/>
      <c r="O40" s="667"/>
      <c r="P40" s="667"/>
      <c r="Q40" s="667"/>
      <c r="R40" s="667"/>
      <c r="S40" s="667"/>
      <c r="T40" s="667"/>
      <c r="U40" s="667"/>
      <c r="V40" s="667"/>
      <c r="W40" s="667"/>
      <c r="X40" s="667"/>
      <c r="Y40" s="667"/>
      <c r="Z40" s="667"/>
      <c r="AI40" s="662" t="s">
        <v>326</v>
      </c>
      <c r="AJ40" s="707">
        <v>5270</v>
      </c>
      <c r="AK40" s="707">
        <v>5270</v>
      </c>
      <c r="AL40" s="707">
        <v>5400</v>
      </c>
      <c r="AM40" s="707">
        <v>5400</v>
      </c>
      <c r="AN40" s="707">
        <v>7500</v>
      </c>
      <c r="AO40" s="707">
        <v>7500</v>
      </c>
      <c r="AP40" s="707">
        <v>7700</v>
      </c>
      <c r="AQ40" s="707">
        <v>7700</v>
      </c>
      <c r="AR40" s="707">
        <v>12600</v>
      </c>
      <c r="AS40" s="707">
        <v>12600</v>
      </c>
      <c r="AT40" s="707">
        <v>12800</v>
      </c>
      <c r="AU40" s="707">
        <v>12800</v>
      </c>
      <c r="AV40" s="707">
        <v>15200</v>
      </c>
      <c r="AW40" s="707">
        <v>15200</v>
      </c>
      <c r="AX40" s="707">
        <v>15500</v>
      </c>
      <c r="AY40" s="707">
        <v>15500</v>
      </c>
    </row>
    <row r="41" s="662" customFormat="1" customHeight="1" spans="1:51">
      <c r="A41" s="669" t="s">
        <v>312</v>
      </c>
      <c r="B41" s="674"/>
      <c r="C41" s="672"/>
      <c r="D41" s="672"/>
      <c r="E41" s="670"/>
      <c r="F41" s="667"/>
      <c r="G41" s="676" t="s">
        <v>272</v>
      </c>
      <c r="H41" s="677"/>
      <c r="I41" s="694">
        <v>1</v>
      </c>
      <c r="J41" s="667"/>
      <c r="K41" s="667"/>
      <c r="L41" s="667"/>
      <c r="M41" s="667"/>
      <c r="N41" s="667"/>
      <c r="O41" s="667"/>
      <c r="P41" s="667"/>
      <c r="Q41" s="667"/>
      <c r="R41" s="667"/>
      <c r="S41" s="667"/>
      <c r="T41" s="667"/>
      <c r="U41" s="667"/>
      <c r="V41" s="667"/>
      <c r="W41" s="667"/>
      <c r="X41" s="667"/>
      <c r="Y41" s="667"/>
      <c r="Z41" s="667"/>
      <c r="AI41" s="662" t="s">
        <v>327</v>
      </c>
      <c r="AJ41" s="707">
        <v>5450</v>
      </c>
      <c r="AK41" s="707">
        <v>5450</v>
      </c>
      <c r="AL41" s="707">
        <v>5650</v>
      </c>
      <c r="AM41" s="707">
        <v>5650</v>
      </c>
      <c r="AN41" s="707">
        <v>7390</v>
      </c>
      <c r="AO41" s="707">
        <v>7390</v>
      </c>
      <c r="AP41" s="707">
        <v>7770</v>
      </c>
      <c r="AQ41" s="707">
        <v>7770</v>
      </c>
      <c r="AR41" s="707">
        <v>12150</v>
      </c>
      <c r="AS41" s="707">
        <v>12150</v>
      </c>
      <c r="AT41" s="707">
        <v>12600</v>
      </c>
      <c r="AU41" s="707">
        <v>12600</v>
      </c>
      <c r="AV41" s="707">
        <v>15700</v>
      </c>
      <c r="AW41" s="707">
        <v>15700</v>
      </c>
      <c r="AX41" s="707">
        <v>16000</v>
      </c>
      <c r="AY41" s="707">
        <v>16000</v>
      </c>
    </row>
    <row r="42" s="662" customFormat="1" customHeight="1" spans="1:51">
      <c r="A42" s="669" t="s">
        <v>392</v>
      </c>
      <c r="B42" s="672"/>
      <c r="C42" s="672"/>
      <c r="D42" s="672"/>
      <c r="E42" s="670"/>
      <c r="F42" s="667"/>
      <c r="G42" s="676" t="s">
        <v>343</v>
      </c>
      <c r="H42" s="677"/>
      <c r="I42" s="694">
        <v>1</v>
      </c>
      <c r="J42" s="667"/>
      <c r="K42" s="667"/>
      <c r="L42" s="667"/>
      <c r="M42" s="667"/>
      <c r="N42" s="667"/>
      <c r="O42" s="667"/>
      <c r="P42" s="667"/>
      <c r="Q42" s="667"/>
      <c r="R42" s="667"/>
      <c r="S42" s="667"/>
      <c r="T42" s="667"/>
      <c r="U42" s="667"/>
      <c r="V42" s="667"/>
      <c r="W42" s="667"/>
      <c r="X42" s="667"/>
      <c r="Y42" s="667"/>
      <c r="Z42" s="667"/>
      <c r="AI42" s="662" t="s">
        <v>328</v>
      </c>
      <c r="AJ42" s="707">
        <v>5450</v>
      </c>
      <c r="AK42" s="707">
        <v>5460</v>
      </c>
      <c r="AL42" s="707">
        <v>5550</v>
      </c>
      <c r="AM42" s="707">
        <v>5560</v>
      </c>
      <c r="AN42" s="707">
        <v>8000</v>
      </c>
      <c r="AO42" s="707">
        <v>8000</v>
      </c>
      <c r="AP42" s="707">
        <v>8100</v>
      </c>
      <c r="AQ42" s="707">
        <v>8100</v>
      </c>
      <c r="AR42" s="707">
        <v>11000</v>
      </c>
      <c r="AS42" s="707">
        <v>11050</v>
      </c>
      <c r="AT42" s="707">
        <v>10900</v>
      </c>
      <c r="AU42" s="707">
        <v>10950</v>
      </c>
      <c r="AV42" s="707">
        <v>14000</v>
      </c>
      <c r="AW42" s="707">
        <v>14100</v>
      </c>
      <c r="AX42" s="707">
        <v>14400</v>
      </c>
      <c r="AY42" s="707">
        <v>14500</v>
      </c>
    </row>
    <row r="43" s="662" customFormat="1" customHeight="1" spans="1:51">
      <c r="A43" s="678"/>
      <c r="B43" s="678"/>
      <c r="C43" s="678"/>
      <c r="D43" s="678"/>
      <c r="E43" s="678"/>
      <c r="F43" s="667"/>
      <c r="G43" s="667"/>
      <c r="H43" s="667"/>
      <c r="I43" s="667"/>
      <c r="J43" s="667"/>
      <c r="K43" s="667"/>
      <c r="L43" s="667"/>
      <c r="M43" s="667"/>
      <c r="N43" s="667"/>
      <c r="O43" s="667"/>
      <c r="P43" s="667"/>
      <c r="Q43" s="667"/>
      <c r="R43" s="667"/>
      <c r="S43" s="667"/>
      <c r="T43" s="667"/>
      <c r="U43" s="667"/>
      <c r="V43" s="667"/>
      <c r="W43" s="667"/>
      <c r="X43" s="667"/>
      <c r="Y43" s="667"/>
      <c r="Z43" s="667"/>
      <c r="AI43" s="662" t="s">
        <v>329</v>
      </c>
      <c r="AJ43" s="707">
        <v>5533</v>
      </c>
      <c r="AK43" s="707">
        <v>5600</v>
      </c>
      <c r="AL43" s="707">
        <v>5666</v>
      </c>
      <c r="AM43" s="707">
        <v>5666</v>
      </c>
      <c r="AN43" s="707">
        <v>7444</v>
      </c>
      <c r="AO43" s="707">
        <v>7333</v>
      </c>
      <c r="AP43" s="707">
        <v>7700</v>
      </c>
      <c r="AQ43" s="707">
        <v>7700</v>
      </c>
      <c r="AR43" s="707">
        <v>11400</v>
      </c>
      <c r="AS43" s="707">
        <v>11444</v>
      </c>
      <c r="AT43" s="707">
        <v>11666</v>
      </c>
      <c r="AU43" s="707">
        <v>11666</v>
      </c>
      <c r="AV43" s="707">
        <v>14555</v>
      </c>
      <c r="AW43" s="707">
        <v>14555</v>
      </c>
      <c r="AX43" s="707">
        <v>15400</v>
      </c>
      <c r="AY43" s="707">
        <v>15500</v>
      </c>
    </row>
    <row r="44" customHeight="1" spans="1:51">
      <c r="A44" s="679" t="s">
        <v>473</v>
      </c>
      <c r="B44" s="680"/>
      <c r="C44" s="680"/>
      <c r="D44" s="680"/>
      <c r="E44" s="680"/>
      <c r="F44" s="680"/>
      <c r="G44" s="680"/>
      <c r="H44" s="680"/>
      <c r="I44" s="680"/>
      <c r="J44" s="680"/>
      <c r="K44" s="680"/>
      <c r="L44" s="680"/>
      <c r="M44" s="680"/>
      <c r="N44" s="680"/>
      <c r="O44" s="680"/>
      <c r="P44" s="680"/>
      <c r="Q44" s="680"/>
      <c r="R44" s="680"/>
      <c r="S44" s="680"/>
      <c r="T44" s="705"/>
      <c r="U44" s="644"/>
      <c r="V44" s="644"/>
      <c r="W44" s="644"/>
      <c r="X44" s="644"/>
      <c r="Y44" s="644"/>
      <c r="Z44" s="644"/>
      <c r="AI44" t="s">
        <v>330</v>
      </c>
      <c r="AJ44" s="708">
        <v>5450</v>
      </c>
      <c r="AK44" s="708">
        <v>5400</v>
      </c>
      <c r="AL44" s="708">
        <v>5540</v>
      </c>
      <c r="AM44" s="708">
        <v>5540</v>
      </c>
      <c r="AN44" s="708">
        <v>7450</v>
      </c>
      <c r="AO44" s="708">
        <v>7430</v>
      </c>
      <c r="AP44" s="708">
        <v>7650</v>
      </c>
      <c r="AQ44" s="708">
        <v>7700</v>
      </c>
      <c r="AR44" s="708">
        <v>11700</v>
      </c>
      <c r="AS44" s="708">
        <v>11700</v>
      </c>
      <c r="AT44" s="708">
        <v>11900</v>
      </c>
      <c r="AU44" s="708">
        <v>11900</v>
      </c>
      <c r="AV44" s="708">
        <v>14950</v>
      </c>
      <c r="AW44" s="708">
        <v>14950</v>
      </c>
      <c r="AX44" s="708">
        <v>15450</v>
      </c>
      <c r="AY44" s="708">
        <v>15500</v>
      </c>
    </row>
    <row r="45" customHeight="1" spans="1:51">
      <c r="A45" s="681"/>
      <c r="B45" s="682"/>
      <c r="C45" s="682"/>
      <c r="D45" s="682"/>
      <c r="E45" s="682"/>
      <c r="F45" s="682"/>
      <c r="G45" s="682"/>
      <c r="H45" s="682"/>
      <c r="I45" s="682"/>
      <c r="J45" s="682"/>
      <c r="K45" s="682"/>
      <c r="L45" s="682"/>
      <c r="M45" s="682"/>
      <c r="N45" s="682"/>
      <c r="O45" s="682"/>
      <c r="P45" s="682"/>
      <c r="Q45" s="682"/>
      <c r="R45" s="682"/>
      <c r="S45" s="682"/>
      <c r="T45" s="706"/>
      <c r="U45" s="644"/>
      <c r="V45" s="644"/>
      <c r="W45" s="644"/>
      <c r="X45" s="644"/>
      <c r="Y45" s="644"/>
      <c r="Z45" s="644"/>
      <c r="AI45" t="s">
        <v>331</v>
      </c>
      <c r="AJ45" s="708">
        <v>5260</v>
      </c>
      <c r="AK45" s="708">
        <v>5328</v>
      </c>
      <c r="AL45" s="708">
        <v>5952</v>
      </c>
      <c r="AM45" s="708">
        <v>5769</v>
      </c>
      <c r="AN45" s="708">
        <v>7202</v>
      </c>
      <c r="AO45" s="708">
        <v>7199</v>
      </c>
      <c r="AP45" s="708">
        <v>7771</v>
      </c>
      <c r="AQ45" s="708">
        <v>7772</v>
      </c>
      <c r="AR45" s="708">
        <v>11629</v>
      </c>
      <c r="AS45" s="708">
        <v>11645</v>
      </c>
      <c r="AT45" s="708">
        <v>11895</v>
      </c>
      <c r="AU45" s="708">
        <v>12014</v>
      </c>
      <c r="AV45" s="708">
        <v>13790</v>
      </c>
      <c r="AW45" s="708">
        <v>13927</v>
      </c>
      <c r="AX45" s="708">
        <v>15235</v>
      </c>
      <c r="AY45" s="708">
        <v>14819</v>
      </c>
    </row>
    <row r="46" s="662" customFormat="1" customHeight="1" spans="1:51">
      <c r="A46" s="667"/>
      <c r="B46" s="667"/>
      <c r="C46" s="667"/>
      <c r="D46" s="667"/>
      <c r="E46" s="667"/>
      <c r="F46" s="667"/>
      <c r="G46" s="667"/>
      <c r="H46" s="667"/>
      <c r="I46" s="667"/>
      <c r="J46" s="667"/>
      <c r="K46" s="667"/>
      <c r="L46" s="667"/>
      <c r="M46" s="667"/>
      <c r="N46" s="667"/>
      <c r="O46" s="667"/>
      <c r="P46" s="667"/>
      <c r="Q46" s="667"/>
      <c r="R46" s="667"/>
      <c r="S46" s="667"/>
      <c r="T46" s="667"/>
      <c r="U46" s="667"/>
      <c r="V46" s="667"/>
      <c r="W46" s="667"/>
      <c r="X46" s="667"/>
      <c r="Y46" s="667"/>
      <c r="Z46" s="667"/>
      <c r="AI46" s="662" t="s">
        <v>332</v>
      </c>
      <c r="AJ46" s="707">
        <v>5550</v>
      </c>
      <c r="AK46" s="707">
        <v>5550</v>
      </c>
      <c r="AL46" s="707">
        <v>5700</v>
      </c>
      <c r="AM46" s="707">
        <v>5750</v>
      </c>
      <c r="AN46" s="707">
        <v>7444</v>
      </c>
      <c r="AO46" s="707">
        <v>7444</v>
      </c>
      <c r="AP46" s="707">
        <v>7720</v>
      </c>
      <c r="AQ46" s="707">
        <v>7720</v>
      </c>
      <c r="AR46" s="707">
        <v>11800</v>
      </c>
      <c r="AS46" s="707">
        <v>11800</v>
      </c>
      <c r="AT46" s="707">
        <v>11900</v>
      </c>
      <c r="AU46" s="707">
        <v>11900</v>
      </c>
      <c r="AV46" s="707">
        <v>15270</v>
      </c>
      <c r="AW46" s="707">
        <v>15270</v>
      </c>
      <c r="AX46" s="707">
        <v>15700</v>
      </c>
      <c r="AY46" s="707">
        <v>15700</v>
      </c>
    </row>
    <row r="47" s="662" customFormat="1" customHeight="1" spans="1:51">
      <c r="A47" s="683" t="s">
        <v>474</v>
      </c>
      <c r="B47" s="683"/>
      <c r="C47" s="683"/>
      <c r="D47" s="683"/>
      <c r="E47" s="683"/>
      <c r="F47" s="683"/>
      <c r="G47" s="667"/>
      <c r="H47" s="667"/>
      <c r="I47" s="667"/>
      <c r="J47" s="667"/>
      <c r="K47" s="667"/>
      <c r="L47" s="667"/>
      <c r="M47" s="667"/>
      <c r="N47" s="667"/>
      <c r="O47" s="667"/>
      <c r="P47" s="667"/>
      <c r="Q47" s="667"/>
      <c r="R47" s="667"/>
      <c r="S47" s="667"/>
      <c r="T47" s="667"/>
      <c r="U47" s="667"/>
      <c r="V47" s="667"/>
      <c r="W47" s="667"/>
      <c r="X47" s="667"/>
      <c r="Y47" s="667"/>
      <c r="Z47" s="667"/>
      <c r="AI47" s="662" t="s">
        <v>333</v>
      </c>
      <c r="AJ47" s="707">
        <v>5450</v>
      </c>
      <c r="AK47" s="707">
        <v>5450</v>
      </c>
      <c r="AL47" s="707">
        <v>5675</v>
      </c>
      <c r="AM47" s="707">
        <v>5675</v>
      </c>
      <c r="AN47" s="707">
        <v>7525</v>
      </c>
      <c r="AO47" s="707">
        <v>7525</v>
      </c>
      <c r="AP47" s="707">
        <v>7744</v>
      </c>
      <c r="AQ47" s="707">
        <v>7744</v>
      </c>
      <c r="AR47" s="707">
        <v>11888</v>
      </c>
      <c r="AS47" s="707">
        <v>11888</v>
      </c>
      <c r="AT47" s="707">
        <v>12100</v>
      </c>
      <c r="AU47" s="707">
        <v>12100</v>
      </c>
      <c r="AV47" s="707">
        <v>14600</v>
      </c>
      <c r="AW47" s="707">
        <v>14600</v>
      </c>
      <c r="AX47" s="707">
        <v>15100</v>
      </c>
      <c r="AY47" s="707">
        <v>15100</v>
      </c>
    </row>
    <row r="48" s="662" customFormat="1" customHeight="1" spans="1:51">
      <c r="A48" s="603" t="s">
        <v>475</v>
      </c>
      <c r="B48" s="603" t="s">
        <v>38</v>
      </c>
      <c r="C48" s="603" t="s">
        <v>39</v>
      </c>
      <c r="D48" s="603" t="s">
        <v>40</v>
      </c>
      <c r="E48" s="603" t="s">
        <v>41</v>
      </c>
      <c r="F48" s="603" t="s">
        <v>276</v>
      </c>
      <c r="G48" s="667"/>
      <c r="H48" s="667"/>
      <c r="I48" s="667"/>
      <c r="J48" s="667"/>
      <c r="K48" s="667"/>
      <c r="L48" s="667"/>
      <c r="M48" s="667"/>
      <c r="N48" s="667"/>
      <c r="O48" s="667"/>
      <c r="P48" s="667"/>
      <c r="Q48" s="667"/>
      <c r="R48" s="667"/>
      <c r="S48" s="667"/>
      <c r="T48" s="667"/>
      <c r="U48" s="667"/>
      <c r="V48" s="667"/>
      <c r="W48" s="667"/>
      <c r="X48" s="667"/>
      <c r="Y48" s="667"/>
      <c r="Z48" s="667"/>
      <c r="AI48" s="662" t="s">
        <v>334</v>
      </c>
      <c r="AJ48" s="707">
        <v>5650</v>
      </c>
      <c r="AK48" s="707">
        <v>5650</v>
      </c>
      <c r="AL48" s="707">
        <v>5750</v>
      </c>
      <c r="AM48" s="707">
        <v>5750</v>
      </c>
      <c r="AN48" s="707">
        <v>7400</v>
      </c>
      <c r="AO48" s="707">
        <v>7400</v>
      </c>
      <c r="AP48" s="707">
        <v>7800</v>
      </c>
      <c r="AQ48" s="707">
        <v>7800</v>
      </c>
      <c r="AR48" s="707">
        <v>11500</v>
      </c>
      <c r="AS48" s="707">
        <v>11600</v>
      </c>
      <c r="AT48" s="707">
        <v>11800</v>
      </c>
      <c r="AU48" s="707">
        <v>11800</v>
      </c>
      <c r="AV48" s="707">
        <v>14800</v>
      </c>
      <c r="AW48" s="707">
        <v>14800</v>
      </c>
      <c r="AX48" s="707">
        <v>15400</v>
      </c>
      <c r="AY48" s="707">
        <v>15400</v>
      </c>
    </row>
    <row r="49" s="662" customFormat="1" customHeight="1" spans="1:51">
      <c r="A49" s="603" t="s">
        <v>198</v>
      </c>
      <c r="B49" s="684">
        <f>B76</f>
        <v>0</v>
      </c>
      <c r="C49" s="684">
        <f>C76</f>
        <v>0</v>
      </c>
      <c r="D49" s="684">
        <f>D76</f>
        <v>0</v>
      </c>
      <c r="E49" s="684">
        <f>E76</f>
        <v>0</v>
      </c>
      <c r="F49" s="685"/>
      <c r="G49" s="269" t="s">
        <v>476</v>
      </c>
      <c r="H49" s="667"/>
      <c r="I49" s="667"/>
      <c r="J49" s="667"/>
      <c r="K49" s="667"/>
      <c r="L49" s="667"/>
      <c r="M49" s="667"/>
      <c r="N49" s="667"/>
      <c r="O49" s="667"/>
      <c r="P49" s="667"/>
      <c r="Q49" s="667"/>
      <c r="R49" s="667"/>
      <c r="S49" s="667"/>
      <c r="T49" s="667"/>
      <c r="U49" s="667"/>
      <c r="V49" s="667"/>
      <c r="W49" s="667"/>
      <c r="X49" s="667"/>
      <c r="Y49" s="667"/>
      <c r="Z49" s="667"/>
      <c r="AI49" s="662" t="s">
        <v>335</v>
      </c>
      <c r="AJ49" s="707">
        <v>5217</v>
      </c>
      <c r="AK49" s="707">
        <v>5217</v>
      </c>
      <c r="AL49" s="707">
        <v>5216</v>
      </c>
      <c r="AM49" s="707">
        <v>5219</v>
      </c>
      <c r="AN49" s="707">
        <v>7422</v>
      </c>
      <c r="AO49" s="707">
        <v>7422</v>
      </c>
      <c r="AP49" s="707">
        <v>7688</v>
      </c>
      <c r="AQ49" s="707">
        <v>7688</v>
      </c>
      <c r="AR49" s="707">
        <v>11771</v>
      </c>
      <c r="AS49" s="707">
        <v>11776</v>
      </c>
      <c r="AT49" s="707">
        <v>11910</v>
      </c>
      <c r="AU49" s="707">
        <v>11955</v>
      </c>
      <c r="AV49" s="707">
        <v>14333</v>
      </c>
      <c r="AW49" s="707">
        <v>14333</v>
      </c>
      <c r="AX49" s="707">
        <v>14588</v>
      </c>
      <c r="AY49" s="707">
        <v>14588</v>
      </c>
    </row>
    <row r="50" s="662" customFormat="1" customHeight="1" spans="1:51">
      <c r="A50" s="603" t="s">
        <v>202</v>
      </c>
      <c r="B50" s="684">
        <f>F76</f>
        <v>0</v>
      </c>
      <c r="C50" s="684">
        <f>G76</f>
        <v>0</v>
      </c>
      <c r="D50" s="684">
        <f>H76</f>
        <v>0</v>
      </c>
      <c r="E50" s="684">
        <f>I76</f>
        <v>0</v>
      </c>
      <c r="F50" s="685"/>
      <c r="G50" s="686">
        <f>初始化表!B6</f>
        <v>0</v>
      </c>
      <c r="H50" s="667"/>
      <c r="I50" s="667"/>
      <c r="J50" s="667"/>
      <c r="K50" s="667"/>
      <c r="L50" s="667"/>
      <c r="M50" s="667"/>
      <c r="N50" s="667"/>
      <c r="O50" s="667"/>
      <c r="P50" s="667"/>
      <c r="Q50" s="667"/>
      <c r="R50" s="667"/>
      <c r="S50" s="667"/>
      <c r="T50" s="667"/>
      <c r="U50" s="667"/>
      <c r="V50" s="667"/>
      <c r="W50" s="667"/>
      <c r="X50" s="667"/>
      <c r="Y50" s="667"/>
      <c r="Z50" s="667"/>
      <c r="AI50" s="662" t="s">
        <v>336</v>
      </c>
      <c r="AJ50" s="707">
        <v>5830</v>
      </c>
      <c r="AK50" s="707">
        <v>5830</v>
      </c>
      <c r="AL50" s="707">
        <v>5920</v>
      </c>
      <c r="AM50" s="707">
        <v>5910</v>
      </c>
      <c r="AN50" s="707">
        <v>7966</v>
      </c>
      <c r="AO50" s="707">
        <v>8068</v>
      </c>
      <c r="AP50" s="707">
        <v>8099</v>
      </c>
      <c r="AQ50" s="707">
        <v>8084</v>
      </c>
      <c r="AR50" s="707">
        <v>11824</v>
      </c>
      <c r="AS50" s="707">
        <v>11750</v>
      </c>
      <c r="AT50" s="707">
        <v>11536</v>
      </c>
      <c r="AU50" s="707">
        <v>11473</v>
      </c>
      <c r="AV50" s="707">
        <v>14200</v>
      </c>
      <c r="AW50" s="707">
        <v>14200</v>
      </c>
      <c r="AX50" s="707">
        <v>15100</v>
      </c>
      <c r="AY50" s="707">
        <v>15600</v>
      </c>
    </row>
    <row r="51" s="662" customFormat="1" customHeight="1" spans="1:51">
      <c r="A51" s="603" t="s">
        <v>206</v>
      </c>
      <c r="B51" s="684">
        <f>J76</f>
        <v>0</v>
      </c>
      <c r="C51" s="684">
        <f>K76</f>
        <v>0</v>
      </c>
      <c r="D51" s="684">
        <f>L76</f>
        <v>0</v>
      </c>
      <c r="E51" s="684">
        <f>M76</f>
        <v>0</v>
      </c>
      <c r="F51" s="685"/>
      <c r="G51" s="269" t="s">
        <v>477</v>
      </c>
      <c r="H51" s="667"/>
      <c r="I51" s="667"/>
      <c r="J51" s="667"/>
      <c r="K51" s="667"/>
      <c r="L51" s="667"/>
      <c r="M51" s="667"/>
      <c r="N51" s="667"/>
      <c r="O51" s="667"/>
      <c r="P51" s="667"/>
      <c r="Q51" s="667"/>
      <c r="R51" s="667"/>
      <c r="S51" s="667"/>
      <c r="T51" s="667"/>
      <c r="U51" s="667"/>
      <c r="V51" s="667"/>
      <c r="W51" s="667"/>
      <c r="X51" s="667"/>
      <c r="Y51" s="667"/>
      <c r="Z51" s="667"/>
      <c r="AI51" s="662" t="s">
        <v>337</v>
      </c>
      <c r="AJ51" s="707">
        <v>5800</v>
      </c>
      <c r="AK51" s="707">
        <v>5800</v>
      </c>
      <c r="AL51" s="707">
        <v>5900</v>
      </c>
      <c r="AM51" s="707">
        <v>5900</v>
      </c>
      <c r="AN51" s="707">
        <v>7700</v>
      </c>
      <c r="AO51" s="707">
        <v>7700</v>
      </c>
      <c r="AP51" s="707">
        <v>7950</v>
      </c>
      <c r="AQ51" s="707">
        <v>7950</v>
      </c>
      <c r="AR51" s="707">
        <v>11800</v>
      </c>
      <c r="AS51" s="707">
        <v>11800</v>
      </c>
      <c r="AT51" s="707">
        <v>12200</v>
      </c>
      <c r="AU51" s="707">
        <v>12200</v>
      </c>
      <c r="AV51" s="707">
        <v>15000</v>
      </c>
      <c r="AW51" s="707">
        <v>15000</v>
      </c>
      <c r="AX51" s="707">
        <v>15400</v>
      </c>
      <c r="AY51" s="707">
        <v>15500</v>
      </c>
    </row>
    <row r="52" s="662" customFormat="1" customHeight="1" spans="1:51">
      <c r="A52" s="603" t="s">
        <v>208</v>
      </c>
      <c r="B52" s="684">
        <f>N76</f>
        <v>0</v>
      </c>
      <c r="C52" s="684">
        <f>O76</f>
        <v>0</v>
      </c>
      <c r="D52" s="684">
        <f>P76</f>
        <v>0</v>
      </c>
      <c r="E52" s="684">
        <f>Q76</f>
        <v>0</v>
      </c>
      <c r="F52" s="685"/>
      <c r="G52" s="686" t="e">
        <f>INDEX($A$76:$Q$96,$G$50,1)</f>
        <v>#VALUE!</v>
      </c>
      <c r="H52" s="678"/>
      <c r="I52" s="678"/>
      <c r="J52" s="678"/>
      <c r="K52" s="678"/>
      <c r="L52" s="678"/>
      <c r="M52" s="678"/>
      <c r="N52" s="678"/>
      <c r="O52" s="667"/>
      <c r="P52" s="667"/>
      <c r="Q52" s="667"/>
      <c r="R52" s="667"/>
      <c r="S52" s="667"/>
      <c r="T52" s="667"/>
      <c r="U52" s="667"/>
      <c r="V52" s="667"/>
      <c r="W52" s="667"/>
      <c r="X52" s="667"/>
      <c r="Y52" s="667"/>
      <c r="Z52" s="667"/>
      <c r="AI52" s="662" t="s">
        <v>338</v>
      </c>
      <c r="AJ52" s="707">
        <v>9000</v>
      </c>
      <c r="AK52" s="707">
        <v>9000</v>
      </c>
      <c r="AL52" s="707">
        <v>5400</v>
      </c>
      <c r="AM52" s="707">
        <v>5400</v>
      </c>
      <c r="AN52" s="707">
        <v>7290</v>
      </c>
      <c r="AO52" s="707">
        <v>7290</v>
      </c>
      <c r="AP52" s="707">
        <v>7650</v>
      </c>
      <c r="AQ52" s="707">
        <v>7650</v>
      </c>
      <c r="AR52" s="707">
        <v>11350</v>
      </c>
      <c r="AS52" s="707">
        <v>11350</v>
      </c>
      <c r="AT52" s="707">
        <v>11150</v>
      </c>
      <c r="AU52" s="707">
        <v>11150</v>
      </c>
      <c r="AV52" s="707">
        <v>14400</v>
      </c>
      <c r="AW52" s="707">
        <v>14400</v>
      </c>
      <c r="AX52" s="707">
        <v>14600</v>
      </c>
      <c r="AY52" s="707">
        <v>14600</v>
      </c>
    </row>
    <row r="53" s="662" customFormat="1" customHeight="1" spans="1:51">
      <c r="A53" s="603" t="s">
        <v>280</v>
      </c>
      <c r="B53" s="685"/>
      <c r="C53" s="685"/>
      <c r="D53" s="685"/>
      <c r="E53" s="685"/>
      <c r="F53" s="687"/>
      <c r="G53" s="688" t="s">
        <v>478</v>
      </c>
      <c r="H53" s="678"/>
      <c r="I53" s="678"/>
      <c r="J53" s="678"/>
      <c r="K53" s="678"/>
      <c r="L53" s="678"/>
      <c r="M53" s="678"/>
      <c r="N53" s="678"/>
      <c r="O53" s="667"/>
      <c r="P53" s="667"/>
      <c r="Q53" s="667"/>
      <c r="R53" s="667"/>
      <c r="S53" s="667"/>
      <c r="T53" s="667"/>
      <c r="U53" s="667"/>
      <c r="V53" s="667"/>
      <c r="W53" s="667"/>
      <c r="X53" s="667"/>
      <c r="Y53" s="667"/>
      <c r="Z53" s="667"/>
      <c r="AI53" s="662" t="s">
        <v>339</v>
      </c>
      <c r="AJ53" s="707">
        <v>5287</v>
      </c>
      <c r="AK53" s="707">
        <v>5332</v>
      </c>
      <c r="AL53" s="707">
        <v>5524</v>
      </c>
      <c r="AM53" s="707">
        <v>5532</v>
      </c>
      <c r="AN53" s="707">
        <v>7460</v>
      </c>
      <c r="AO53" s="707">
        <v>7480</v>
      </c>
      <c r="AP53" s="707">
        <v>7633</v>
      </c>
      <c r="AQ53" s="707">
        <v>7702</v>
      </c>
      <c r="AR53" s="707">
        <v>11376</v>
      </c>
      <c r="AS53" s="707">
        <v>11293</v>
      </c>
      <c r="AT53" s="707">
        <v>11736</v>
      </c>
      <c r="AU53" s="707">
        <v>11743</v>
      </c>
      <c r="AV53" s="707">
        <v>13855</v>
      </c>
      <c r="AW53" s="707">
        <v>14198</v>
      </c>
      <c r="AX53" s="707">
        <v>14394</v>
      </c>
      <c r="AY53" s="707">
        <v>14642</v>
      </c>
    </row>
    <row r="54" s="662" customFormat="1" customHeight="1" spans="1:51">
      <c r="A54" s="603" t="s">
        <v>282</v>
      </c>
      <c r="B54" s="603" t="s">
        <v>38</v>
      </c>
      <c r="C54" s="603" t="s">
        <v>39</v>
      </c>
      <c r="D54" s="603" t="s">
        <v>40</v>
      </c>
      <c r="E54" s="603" t="s">
        <v>41</v>
      </c>
      <c r="F54" s="689"/>
      <c r="G54" s="690"/>
      <c r="H54" s="678"/>
      <c r="I54" s="678"/>
      <c r="J54" s="678"/>
      <c r="K54" s="678"/>
      <c r="L54" s="678"/>
      <c r="M54" s="678"/>
      <c r="N54" s="678"/>
      <c r="O54" s="667"/>
      <c r="P54" s="667"/>
      <c r="Q54" s="667"/>
      <c r="R54" s="667"/>
      <c r="S54" s="667"/>
      <c r="T54" s="667"/>
      <c r="U54" s="667"/>
      <c r="V54" s="667"/>
      <c r="W54" s="667"/>
      <c r="X54" s="667"/>
      <c r="Y54" s="667"/>
      <c r="Z54" s="667"/>
      <c r="AI54" s="662" t="s">
        <v>340</v>
      </c>
      <c r="AJ54" s="707">
        <v>5608</v>
      </c>
      <c r="AK54" s="707">
        <v>5588</v>
      </c>
      <c r="AL54" s="707">
        <v>5708</v>
      </c>
      <c r="AM54" s="707">
        <v>5708</v>
      </c>
      <c r="AN54" s="707">
        <v>7516</v>
      </c>
      <c r="AO54" s="707">
        <v>7516</v>
      </c>
      <c r="AP54" s="707">
        <v>7928</v>
      </c>
      <c r="AQ54" s="707">
        <v>7933</v>
      </c>
      <c r="AR54" s="707">
        <v>11408</v>
      </c>
      <c r="AS54" s="707">
        <v>11408</v>
      </c>
      <c r="AT54" s="707">
        <v>12094</v>
      </c>
      <c r="AU54" s="707">
        <v>12010</v>
      </c>
      <c r="AV54" s="707">
        <v>15012</v>
      </c>
      <c r="AW54" s="707">
        <v>15043</v>
      </c>
      <c r="AX54" s="707">
        <v>15391</v>
      </c>
      <c r="AY54" s="707">
        <v>15375</v>
      </c>
    </row>
    <row r="55" s="662" customFormat="1" customHeight="1" spans="1:51">
      <c r="A55" s="603" t="s">
        <v>198</v>
      </c>
      <c r="B55" s="691"/>
      <c r="C55" s="691"/>
      <c r="D55" s="691"/>
      <c r="E55" s="691"/>
      <c r="F55" s="689"/>
      <c r="G55" s="690"/>
      <c r="H55" s="678"/>
      <c r="I55" s="696">
        <v>2400</v>
      </c>
      <c r="J55" s="696">
        <v>2400</v>
      </c>
      <c r="K55" s="696">
        <v>2600</v>
      </c>
      <c r="L55" s="696">
        <v>2600</v>
      </c>
      <c r="M55" s="696">
        <v>10000</v>
      </c>
      <c r="N55" s="678"/>
      <c r="O55" s="667"/>
      <c r="P55" s="667"/>
      <c r="Q55" s="667"/>
      <c r="R55" s="667"/>
      <c r="S55" s="667"/>
      <c r="T55" s="667"/>
      <c r="U55" s="667"/>
      <c r="V55" s="667"/>
      <c r="W55" s="667"/>
      <c r="X55" s="667"/>
      <c r="Y55" s="667"/>
      <c r="Z55" s="667"/>
      <c r="AI55" s="662" t="s">
        <v>341</v>
      </c>
      <c r="AJ55" s="707">
        <v>5450</v>
      </c>
      <c r="AK55" s="707">
        <v>5500</v>
      </c>
      <c r="AL55" s="707">
        <v>5700</v>
      </c>
      <c r="AM55" s="707">
        <v>5750</v>
      </c>
      <c r="AN55" s="707">
        <v>7600</v>
      </c>
      <c r="AO55" s="707">
        <v>7650</v>
      </c>
      <c r="AP55" s="707">
        <v>7850</v>
      </c>
      <c r="AQ55" s="707">
        <v>7900</v>
      </c>
      <c r="AR55" s="707">
        <v>11100</v>
      </c>
      <c r="AS55" s="707">
        <v>11200</v>
      </c>
      <c r="AT55" s="707">
        <v>11600</v>
      </c>
      <c r="AU55" s="707">
        <v>11700</v>
      </c>
      <c r="AV55" s="707">
        <v>13600</v>
      </c>
      <c r="AW55" s="707">
        <v>13800</v>
      </c>
      <c r="AX55" s="707">
        <v>14100</v>
      </c>
      <c r="AY55" s="707">
        <v>14200</v>
      </c>
    </row>
    <row r="56" s="662" customFormat="1" customHeight="1" spans="1:51">
      <c r="A56" s="603" t="s">
        <v>202</v>
      </c>
      <c r="B56" s="691"/>
      <c r="C56" s="691"/>
      <c r="D56" s="691"/>
      <c r="E56" s="691"/>
      <c r="F56" s="689"/>
      <c r="G56" s="690"/>
      <c r="H56" s="678"/>
      <c r="I56" s="696">
        <v>4800</v>
      </c>
      <c r="J56" s="696">
        <v>4800</v>
      </c>
      <c r="K56" s="696">
        <v>5000</v>
      </c>
      <c r="L56" s="696">
        <v>5000</v>
      </c>
      <c r="M56" s="696">
        <v>10000</v>
      </c>
      <c r="N56" s="678"/>
      <c r="O56" s="667"/>
      <c r="P56" s="667"/>
      <c r="Q56" s="667"/>
      <c r="R56" s="667"/>
      <c r="S56" s="667"/>
      <c r="T56" s="667"/>
      <c r="U56" s="667"/>
      <c r="V56" s="667"/>
      <c r="W56" s="667"/>
      <c r="X56" s="667"/>
      <c r="Y56" s="667"/>
      <c r="Z56" s="667"/>
      <c r="AI56" s="662" t="s">
        <v>342</v>
      </c>
      <c r="AJ56" s="707">
        <v>5450</v>
      </c>
      <c r="AK56" s="707">
        <v>5450</v>
      </c>
      <c r="AL56" s="707">
        <v>5520</v>
      </c>
      <c r="AM56" s="707">
        <v>5520</v>
      </c>
      <c r="AN56" s="707">
        <v>7350</v>
      </c>
      <c r="AO56" s="707">
        <v>7350</v>
      </c>
      <c r="AP56" s="707">
        <v>7530</v>
      </c>
      <c r="AQ56" s="707">
        <v>7530</v>
      </c>
      <c r="AR56" s="707">
        <v>11823</v>
      </c>
      <c r="AS56" s="707">
        <v>11820</v>
      </c>
      <c r="AT56" s="707">
        <v>11984</v>
      </c>
      <c r="AU56" s="707">
        <v>11973</v>
      </c>
      <c r="AV56" s="707">
        <v>14656</v>
      </c>
      <c r="AW56" s="707">
        <v>14656</v>
      </c>
      <c r="AX56" s="707">
        <v>15095</v>
      </c>
      <c r="AY56" s="707">
        <v>15084</v>
      </c>
    </row>
    <row r="57" s="662" customFormat="1" customHeight="1" spans="1:26">
      <c r="A57" s="603" t="s">
        <v>206</v>
      </c>
      <c r="B57" s="691"/>
      <c r="C57" s="691"/>
      <c r="D57" s="691"/>
      <c r="E57" s="691"/>
      <c r="F57" s="689"/>
      <c r="G57" s="690"/>
      <c r="H57" s="678"/>
      <c r="I57" s="696">
        <v>5700</v>
      </c>
      <c r="J57" s="696">
        <v>5700</v>
      </c>
      <c r="K57" s="696">
        <v>5900</v>
      </c>
      <c r="L57" s="696">
        <v>5900</v>
      </c>
      <c r="M57" s="696">
        <v>0</v>
      </c>
      <c r="N57" s="678"/>
      <c r="O57" s="667"/>
      <c r="P57" s="667"/>
      <c r="Q57" s="667"/>
      <c r="R57" s="667"/>
      <c r="S57" s="667"/>
      <c r="T57" s="667"/>
      <c r="U57" s="667"/>
      <c r="V57" s="667"/>
      <c r="W57" s="667"/>
      <c r="X57" s="667"/>
      <c r="Y57" s="667"/>
      <c r="Z57" s="667"/>
    </row>
    <row r="58" s="662" customFormat="1" customHeight="1" spans="1:26">
      <c r="A58" s="603" t="s">
        <v>208</v>
      </c>
      <c r="B58" s="691"/>
      <c r="C58" s="691"/>
      <c r="D58" s="691"/>
      <c r="E58" s="691"/>
      <c r="F58" s="692"/>
      <c r="G58" s="690"/>
      <c r="H58" s="678"/>
      <c r="I58" s="696">
        <v>7400</v>
      </c>
      <c r="J58" s="696">
        <v>7400</v>
      </c>
      <c r="K58" s="696">
        <v>7600</v>
      </c>
      <c r="L58" s="696">
        <v>7600</v>
      </c>
      <c r="M58" s="696">
        <v>0</v>
      </c>
      <c r="N58" s="678"/>
      <c r="O58" s="667"/>
      <c r="P58" s="667"/>
      <c r="Q58" s="667"/>
      <c r="R58" s="667"/>
      <c r="S58" s="667"/>
      <c r="T58" s="667"/>
      <c r="U58" s="667"/>
      <c r="V58" s="667"/>
      <c r="W58" s="667"/>
      <c r="X58" s="667"/>
      <c r="Y58" s="667"/>
      <c r="Z58" s="667"/>
    </row>
    <row r="59" s="662" customFormat="1" customHeight="1" spans="1:39">
      <c r="A59" s="603" t="s">
        <v>298</v>
      </c>
      <c r="B59" s="603" t="s">
        <v>103</v>
      </c>
      <c r="C59" s="603" t="s">
        <v>299</v>
      </c>
      <c r="D59" s="603" t="s">
        <v>104</v>
      </c>
      <c r="E59" s="603" t="s">
        <v>300</v>
      </c>
      <c r="F59" s="603" t="s">
        <v>110</v>
      </c>
      <c r="G59" s="690"/>
      <c r="H59" s="678"/>
      <c r="I59" s="696">
        <v>10000</v>
      </c>
      <c r="J59" s="696">
        <v>10000</v>
      </c>
      <c r="K59" s="696">
        <v>10000</v>
      </c>
      <c r="L59" s="696">
        <v>0</v>
      </c>
      <c r="M59" s="697"/>
      <c r="N59" s="678"/>
      <c r="O59" s="667"/>
      <c r="P59" s="667"/>
      <c r="Q59" s="667"/>
      <c r="R59" s="667"/>
      <c r="S59" s="667"/>
      <c r="T59" s="667"/>
      <c r="U59" s="667"/>
      <c r="V59" s="667"/>
      <c r="W59" s="667"/>
      <c r="X59" s="667"/>
      <c r="Y59" s="667"/>
      <c r="Z59" s="667"/>
      <c r="AI59" s="662" t="s">
        <v>37</v>
      </c>
      <c r="AJ59" s="662" t="s">
        <v>35</v>
      </c>
      <c r="AK59" s="662" t="s">
        <v>36</v>
      </c>
      <c r="AL59" s="662" t="s">
        <v>62</v>
      </c>
      <c r="AM59" s="662" t="s">
        <v>63</v>
      </c>
    </row>
    <row r="60" s="662" customFormat="1" customHeight="1" spans="1:50">
      <c r="A60" s="603" t="s">
        <v>198</v>
      </c>
      <c r="B60" s="691"/>
      <c r="C60" s="691"/>
      <c r="D60" s="691"/>
      <c r="E60" s="691"/>
      <c r="F60" s="691"/>
      <c r="G60" s="690"/>
      <c r="H60" s="678"/>
      <c r="I60" s="678"/>
      <c r="J60" s="678"/>
      <c r="K60" s="678"/>
      <c r="L60" s="678"/>
      <c r="M60" s="678"/>
      <c r="N60" s="678"/>
      <c r="O60" s="667"/>
      <c r="P60" s="667"/>
      <c r="Q60" s="667"/>
      <c r="R60" s="667"/>
      <c r="S60" s="667"/>
      <c r="T60" s="667"/>
      <c r="U60" s="667"/>
      <c r="V60" s="667"/>
      <c r="W60" s="667"/>
      <c r="X60" s="667"/>
      <c r="Y60" s="667"/>
      <c r="Z60" s="667"/>
      <c r="AI60" s="662" t="s">
        <v>38</v>
      </c>
      <c r="AJ60" s="662" t="s">
        <v>39</v>
      </c>
      <c r="AK60" s="662" t="s">
        <v>40</v>
      </c>
      <c r="AL60" s="662" t="s">
        <v>41</v>
      </c>
      <c r="AM60" s="662" t="s">
        <v>38</v>
      </c>
      <c r="AN60" s="662" t="s">
        <v>39</v>
      </c>
      <c r="AO60" s="662" t="s">
        <v>40</v>
      </c>
      <c r="AP60" s="662" t="s">
        <v>41</v>
      </c>
      <c r="AQ60" s="662" t="s">
        <v>38</v>
      </c>
      <c r="AR60" s="662" t="s">
        <v>39</v>
      </c>
      <c r="AS60" s="662" t="s">
        <v>40</v>
      </c>
      <c r="AT60" s="662" t="s">
        <v>41</v>
      </c>
      <c r="AU60" s="662" t="s">
        <v>38</v>
      </c>
      <c r="AV60" s="662" t="s">
        <v>39</v>
      </c>
      <c r="AW60" s="662" t="s">
        <v>40</v>
      </c>
      <c r="AX60" s="662" t="s">
        <v>41</v>
      </c>
    </row>
    <row r="61" s="662" customFormat="1" customHeight="1" spans="1:51">
      <c r="A61" s="603" t="s">
        <v>202</v>
      </c>
      <c r="B61" s="691"/>
      <c r="C61" s="691"/>
      <c r="D61" s="691"/>
      <c r="E61" s="691"/>
      <c r="F61" s="691"/>
      <c r="G61" s="690"/>
      <c r="H61" s="678"/>
      <c r="I61" s="678"/>
      <c r="J61" s="678"/>
      <c r="K61" s="678"/>
      <c r="L61" s="678"/>
      <c r="M61" s="678"/>
      <c r="N61" s="678"/>
      <c r="O61" s="667"/>
      <c r="P61" s="667"/>
      <c r="Q61" s="667"/>
      <c r="R61" s="667"/>
      <c r="S61" s="667"/>
      <c r="T61" s="667"/>
      <c r="U61" s="667"/>
      <c r="V61" s="667"/>
      <c r="W61" s="667"/>
      <c r="X61" s="667"/>
      <c r="Y61" s="667"/>
      <c r="Z61" s="667"/>
      <c r="AI61" s="662" t="s">
        <v>323</v>
      </c>
      <c r="AJ61" s="709">
        <v>0.0633</v>
      </c>
      <c r="AK61" s="709">
        <v>0.0585</v>
      </c>
      <c r="AL61" s="709">
        <v>0.0546</v>
      </c>
      <c r="AM61" s="709">
        <v>0.0545</v>
      </c>
      <c r="AN61" s="709">
        <v>0.0425</v>
      </c>
      <c r="AO61" s="709">
        <v>0.0422</v>
      </c>
      <c r="AP61" s="709">
        <v>0.0467</v>
      </c>
      <c r="AQ61" s="709">
        <v>0.0471</v>
      </c>
      <c r="AR61" s="709">
        <v>0.0291</v>
      </c>
      <c r="AS61" s="709">
        <v>0.0293</v>
      </c>
      <c r="AT61" s="709">
        <v>0.0333</v>
      </c>
      <c r="AU61" s="709">
        <v>0.0325</v>
      </c>
      <c r="AV61" s="709">
        <v>0.0519</v>
      </c>
      <c r="AW61" s="709">
        <v>0.0509</v>
      </c>
      <c r="AX61" s="709">
        <v>0.0584</v>
      </c>
      <c r="AY61" s="709">
        <v>0.0595</v>
      </c>
    </row>
    <row r="62" s="662" customFormat="1" customHeight="1" spans="1:51">
      <c r="A62" s="603" t="s">
        <v>206</v>
      </c>
      <c r="B62" s="691"/>
      <c r="C62" s="691"/>
      <c r="D62" s="691"/>
      <c r="E62" s="691"/>
      <c r="F62" s="691"/>
      <c r="G62" s="690"/>
      <c r="H62" s="678"/>
      <c r="I62" s="678"/>
      <c r="J62" s="678"/>
      <c r="K62" s="678"/>
      <c r="L62" s="678"/>
      <c r="M62" s="678"/>
      <c r="N62" s="678"/>
      <c r="O62" s="667"/>
      <c r="P62" s="667"/>
      <c r="Q62" s="667"/>
      <c r="R62" s="667"/>
      <c r="S62" s="667"/>
      <c r="T62" s="667"/>
      <c r="U62" s="667"/>
      <c r="V62" s="667"/>
      <c r="W62" s="667"/>
      <c r="X62" s="667"/>
      <c r="Y62" s="667"/>
      <c r="Z62" s="667"/>
      <c r="AI62" s="662" t="s">
        <v>324</v>
      </c>
      <c r="AJ62" s="709">
        <v>0.0394</v>
      </c>
      <c r="AK62" s="709">
        <v>0.0394</v>
      </c>
      <c r="AL62" s="709">
        <v>0.05</v>
      </c>
      <c r="AM62" s="709">
        <v>0.05</v>
      </c>
      <c r="AN62" s="709">
        <v>0.0425</v>
      </c>
      <c r="AO62" s="709">
        <v>0.0422</v>
      </c>
      <c r="AP62" s="709">
        <v>0.0502</v>
      </c>
      <c r="AQ62" s="709">
        <v>0.0507</v>
      </c>
      <c r="AR62" s="709">
        <v>0.0442</v>
      </c>
      <c r="AS62" s="709">
        <v>0.0469</v>
      </c>
      <c r="AT62" s="709">
        <v>0.0499</v>
      </c>
      <c r="AU62" s="709">
        <v>0.0506</v>
      </c>
      <c r="AV62" s="709">
        <v>0.057</v>
      </c>
      <c r="AW62" s="709">
        <v>0.0619</v>
      </c>
      <c r="AX62" s="709">
        <v>0.0497</v>
      </c>
      <c r="AY62" s="709">
        <v>0.0509</v>
      </c>
    </row>
    <row r="63" s="662" customFormat="1" customHeight="1" spans="1:51">
      <c r="A63" s="603" t="s">
        <v>208</v>
      </c>
      <c r="B63" s="691"/>
      <c r="C63" s="691"/>
      <c r="D63" s="691"/>
      <c r="E63" s="691"/>
      <c r="F63" s="691"/>
      <c r="G63" s="690"/>
      <c r="H63" s="667"/>
      <c r="I63" s="667"/>
      <c r="J63" s="667"/>
      <c r="K63" s="667"/>
      <c r="L63" s="667"/>
      <c r="M63" s="667"/>
      <c r="N63" s="667"/>
      <c r="O63" s="667"/>
      <c r="P63" s="667"/>
      <c r="Q63" s="667"/>
      <c r="R63" s="667"/>
      <c r="S63" s="667"/>
      <c r="T63" s="667"/>
      <c r="U63" s="667"/>
      <c r="V63" s="667"/>
      <c r="W63" s="667"/>
      <c r="X63" s="667"/>
      <c r="Y63" s="667"/>
      <c r="Z63" s="667"/>
      <c r="AI63" s="662" t="s">
        <v>325</v>
      </c>
      <c r="AJ63" s="709">
        <v>0.0406</v>
      </c>
      <c r="AK63" s="709">
        <v>0.0406</v>
      </c>
      <c r="AL63" s="709">
        <v>0.0379</v>
      </c>
      <c r="AM63" s="709">
        <v>0.0379</v>
      </c>
      <c r="AN63" s="709">
        <v>0.0567</v>
      </c>
      <c r="AO63" s="709">
        <v>0.0563</v>
      </c>
      <c r="AP63" s="709">
        <v>0.037</v>
      </c>
      <c r="AQ63" s="709">
        <v>0.0382</v>
      </c>
      <c r="AR63" s="709">
        <v>0.0547</v>
      </c>
      <c r="AS63" s="709">
        <v>0.0516</v>
      </c>
      <c r="AT63" s="709">
        <v>0.0545</v>
      </c>
      <c r="AU63" s="709">
        <v>0.0529</v>
      </c>
      <c r="AV63" s="709">
        <v>0.0432</v>
      </c>
      <c r="AW63" s="709">
        <v>0.0424</v>
      </c>
      <c r="AX63" s="709">
        <v>0.0353</v>
      </c>
      <c r="AY63" s="709">
        <v>0.0349</v>
      </c>
    </row>
    <row r="64" s="662" customFormat="1" customHeight="1" spans="1:51">
      <c r="A64" s="409" t="s">
        <v>303</v>
      </c>
      <c r="B64" s="603" t="s">
        <v>304</v>
      </c>
      <c r="C64" s="603" t="s">
        <v>305</v>
      </c>
      <c r="D64" s="603" t="s">
        <v>306</v>
      </c>
      <c r="E64" s="603" t="s">
        <v>307</v>
      </c>
      <c r="F64" s="409"/>
      <c r="G64" s="690"/>
      <c r="H64" s="667"/>
      <c r="I64" s="667"/>
      <c r="J64" s="667"/>
      <c r="K64" s="667"/>
      <c r="L64" s="667"/>
      <c r="M64" s="667"/>
      <c r="N64" s="667"/>
      <c r="O64" s="667"/>
      <c r="P64" s="667"/>
      <c r="Q64" s="667"/>
      <c r="R64" s="667"/>
      <c r="S64" s="667"/>
      <c r="T64" s="667"/>
      <c r="U64" s="667"/>
      <c r="V64" s="667"/>
      <c r="W64" s="667"/>
      <c r="X64" s="667"/>
      <c r="Y64" s="667"/>
      <c r="Z64" s="667"/>
      <c r="AI64" s="662" t="s">
        <v>326</v>
      </c>
      <c r="AJ64" s="709">
        <v>0.0765</v>
      </c>
      <c r="AK64" s="709">
        <v>0.0765</v>
      </c>
      <c r="AL64" s="709">
        <v>0.0675</v>
      </c>
      <c r="AM64" s="709">
        <v>0.0674</v>
      </c>
      <c r="AN64" s="709">
        <v>0.068</v>
      </c>
      <c r="AO64" s="709">
        <v>0.0675</v>
      </c>
      <c r="AP64" s="709">
        <v>0.0643</v>
      </c>
      <c r="AQ64" s="709">
        <v>0.0658</v>
      </c>
      <c r="AR64" s="709">
        <v>0.0175</v>
      </c>
      <c r="AS64" s="709">
        <v>0.0164</v>
      </c>
      <c r="AT64" s="709">
        <v>0.0219</v>
      </c>
      <c r="AU64" s="709">
        <v>0.0219</v>
      </c>
      <c r="AV64" s="709">
        <v>0.0225</v>
      </c>
      <c r="AW64" s="709">
        <v>0.0246</v>
      </c>
      <c r="AX64" s="709">
        <v>0.037</v>
      </c>
      <c r="AY64" s="709">
        <v>0.036</v>
      </c>
    </row>
    <row r="65" s="662" customFormat="1" customHeight="1" spans="1:51">
      <c r="A65" s="352"/>
      <c r="B65" s="691"/>
      <c r="C65" s="691"/>
      <c r="D65" s="691"/>
      <c r="E65" s="691"/>
      <c r="F65" s="352"/>
      <c r="G65" s="690"/>
      <c r="H65" s="667"/>
      <c r="I65" s="667"/>
      <c r="J65" s="667"/>
      <c r="K65" s="667"/>
      <c r="L65" s="667"/>
      <c r="M65" s="667"/>
      <c r="N65" s="667"/>
      <c r="O65" s="667"/>
      <c r="P65" s="667"/>
      <c r="Q65" s="667"/>
      <c r="R65" s="667"/>
      <c r="S65" s="667"/>
      <c r="T65" s="667"/>
      <c r="U65" s="667"/>
      <c r="V65" s="667"/>
      <c r="W65" s="667"/>
      <c r="X65" s="667"/>
      <c r="Y65" s="667"/>
      <c r="Z65" s="667"/>
      <c r="AI65" s="662" t="s">
        <v>327</v>
      </c>
      <c r="AJ65" s="709">
        <v>0.0729</v>
      </c>
      <c r="AK65" s="709">
        <v>0.0741</v>
      </c>
      <c r="AL65" s="709">
        <v>0.0614</v>
      </c>
      <c r="AM65" s="709">
        <v>0.0614</v>
      </c>
      <c r="AN65" s="709">
        <v>0.0765</v>
      </c>
      <c r="AO65" s="709">
        <v>0.0774</v>
      </c>
      <c r="AP65" s="709">
        <v>0.0678</v>
      </c>
      <c r="AQ65" s="709">
        <v>0.0684</v>
      </c>
      <c r="AR65" s="709">
        <v>0.0442</v>
      </c>
      <c r="AS65" s="709">
        <v>0.0445</v>
      </c>
      <c r="AT65" s="709">
        <v>0.0386</v>
      </c>
      <c r="AU65" s="709">
        <v>0.0378</v>
      </c>
      <c r="AV65" s="709">
        <v>0.0424</v>
      </c>
      <c r="AW65" s="709">
        <v>0.045</v>
      </c>
      <c r="AX65" s="709">
        <v>0.0416</v>
      </c>
      <c r="AY65" s="709">
        <v>0.0429</v>
      </c>
    </row>
    <row r="66" s="662" customFormat="1" customHeight="1" spans="1:51">
      <c r="A66" s="409" t="s">
        <v>308</v>
      </c>
      <c r="B66" s="603" t="s">
        <v>309</v>
      </c>
      <c r="C66" s="603" t="s">
        <v>310</v>
      </c>
      <c r="D66" s="603" t="s">
        <v>311</v>
      </c>
      <c r="E66" s="603" t="s">
        <v>312</v>
      </c>
      <c r="F66" s="603" t="s">
        <v>313</v>
      </c>
      <c r="G66" s="690"/>
      <c r="H66" s="667"/>
      <c r="I66" s="667"/>
      <c r="J66" s="667"/>
      <c r="K66" s="667"/>
      <c r="L66" s="667"/>
      <c r="M66" s="667"/>
      <c r="N66" s="667"/>
      <c r="O66" s="667"/>
      <c r="P66" s="667"/>
      <c r="Q66" s="667"/>
      <c r="R66" s="667"/>
      <c r="S66" s="667"/>
      <c r="T66" s="667"/>
      <c r="U66" s="667"/>
      <c r="V66" s="667"/>
      <c r="W66" s="667"/>
      <c r="X66" s="667"/>
      <c r="Y66" s="667"/>
      <c r="Z66" s="667"/>
      <c r="AI66" s="662" t="s">
        <v>328</v>
      </c>
      <c r="AJ66" s="709">
        <v>0.0573</v>
      </c>
      <c r="AK66" s="709">
        <v>0.0573</v>
      </c>
      <c r="AL66" s="709">
        <v>0.0546</v>
      </c>
      <c r="AM66" s="709">
        <v>0.0545</v>
      </c>
      <c r="AN66" s="709">
        <v>0.0269</v>
      </c>
      <c r="AO66" s="709">
        <v>0.0267</v>
      </c>
      <c r="AP66" s="709">
        <v>0.0343</v>
      </c>
      <c r="AQ66" s="709">
        <v>0.0338</v>
      </c>
      <c r="AR66" s="709">
        <v>0.0559</v>
      </c>
      <c r="AS66" s="709">
        <v>0.0551</v>
      </c>
      <c r="AT66" s="709">
        <v>0.0582</v>
      </c>
      <c r="AU66" s="709">
        <v>0.0582</v>
      </c>
      <c r="AV66" s="709">
        <v>0.0735</v>
      </c>
      <c r="AW66" s="709">
        <v>0.0721</v>
      </c>
      <c r="AX66" s="709">
        <v>0.0735</v>
      </c>
      <c r="AY66" s="709">
        <v>0.0727</v>
      </c>
    </row>
    <row r="67" s="662" customFormat="1" customHeight="1" spans="1:51">
      <c r="A67" s="352"/>
      <c r="B67" s="691"/>
      <c r="C67" s="691"/>
      <c r="D67" s="691"/>
      <c r="E67" s="691"/>
      <c r="F67" s="710">
        <v>1</v>
      </c>
      <c r="G67" s="690"/>
      <c r="H67" s="667"/>
      <c r="I67" s="667"/>
      <c r="J67" s="667"/>
      <c r="K67" s="667"/>
      <c r="L67" s="667"/>
      <c r="M67" s="667"/>
      <c r="N67" s="667"/>
      <c r="O67" s="667"/>
      <c r="P67" s="667"/>
      <c r="Q67" s="667"/>
      <c r="R67" s="667"/>
      <c r="S67" s="667"/>
      <c r="T67" s="667"/>
      <c r="U67" s="667"/>
      <c r="V67" s="667"/>
      <c r="W67" s="667"/>
      <c r="X67" s="667"/>
      <c r="Y67" s="667"/>
      <c r="Z67" s="667"/>
      <c r="AI67" s="662" t="s">
        <v>329</v>
      </c>
      <c r="AJ67" s="709">
        <v>0.0502</v>
      </c>
      <c r="AK67" s="709">
        <v>0.0442</v>
      </c>
      <c r="AL67" s="709">
        <v>0.0531</v>
      </c>
      <c r="AM67" s="709">
        <v>0.047</v>
      </c>
      <c r="AN67" s="709">
        <v>0.0411</v>
      </c>
      <c r="AO67" s="709">
        <v>0.0549</v>
      </c>
      <c r="AP67" s="709">
        <v>0.0519</v>
      </c>
      <c r="AQ67" s="709">
        <v>0.0524</v>
      </c>
      <c r="AR67" s="709">
        <v>0.0582</v>
      </c>
      <c r="AS67" s="709">
        <v>0.0586</v>
      </c>
      <c r="AT67" s="709">
        <v>0.0492</v>
      </c>
      <c r="AU67" s="709">
        <v>0.0582</v>
      </c>
      <c r="AV67" s="709">
        <v>0.0467</v>
      </c>
      <c r="AW67" s="709">
        <v>0.045</v>
      </c>
      <c r="AX67" s="709">
        <v>0.0428</v>
      </c>
      <c r="AY67" s="709">
        <v>0.0423</v>
      </c>
    </row>
    <row r="68" customHeight="1" spans="1:51">
      <c r="A68" s="644"/>
      <c r="B68" s="644"/>
      <c r="C68" s="644"/>
      <c r="D68" s="644"/>
      <c r="E68" s="644"/>
      <c r="F68" s="644"/>
      <c r="G68" s="644"/>
      <c r="H68" s="644"/>
      <c r="I68" s="644"/>
      <c r="J68" s="644"/>
      <c r="K68" s="644"/>
      <c r="L68" s="644"/>
      <c r="M68" s="644"/>
      <c r="N68" s="644"/>
      <c r="O68" s="644"/>
      <c r="P68" s="644"/>
      <c r="Q68" s="644"/>
      <c r="R68" s="644"/>
      <c r="S68" s="644"/>
      <c r="T68" s="644"/>
      <c r="U68" s="644"/>
      <c r="V68" s="644"/>
      <c r="W68" s="644"/>
      <c r="X68" s="644"/>
      <c r="Y68" s="644"/>
      <c r="Z68" s="644"/>
      <c r="AI68" t="s">
        <v>330</v>
      </c>
      <c r="AJ68" s="726">
        <v>0.0418</v>
      </c>
      <c r="AK68" s="726">
        <v>0.043</v>
      </c>
      <c r="AL68" s="726">
        <v>0.0599</v>
      </c>
      <c r="AM68" s="726">
        <v>0.0538</v>
      </c>
      <c r="AN68" s="726">
        <v>0.0482</v>
      </c>
      <c r="AO68" s="726">
        <v>0.0478</v>
      </c>
      <c r="AP68" s="726">
        <v>0.0458</v>
      </c>
      <c r="AQ68" s="726">
        <v>0.0462</v>
      </c>
      <c r="AR68" s="726">
        <v>0.0629</v>
      </c>
      <c r="AS68" s="726">
        <v>0.0633</v>
      </c>
      <c r="AT68" s="726">
        <v>0.0605</v>
      </c>
      <c r="AU68" s="726">
        <v>0.0605</v>
      </c>
      <c r="AV68" s="726">
        <v>0.0614</v>
      </c>
      <c r="AW68" s="726">
        <v>0.0645</v>
      </c>
      <c r="AX68" s="726">
        <v>0.0521</v>
      </c>
      <c r="AY68" s="726">
        <v>0.0538</v>
      </c>
    </row>
    <row r="69" customHeight="1" spans="1:51">
      <c r="A69" s="644"/>
      <c r="B69" s="644"/>
      <c r="C69" s="644"/>
      <c r="D69" s="644"/>
      <c r="E69" s="644"/>
      <c r="F69" s="644"/>
      <c r="G69" s="644"/>
      <c r="H69" s="644"/>
      <c r="I69" s="644"/>
      <c r="J69" s="644"/>
      <c r="K69" s="644"/>
      <c r="L69" s="644"/>
      <c r="M69" s="644"/>
      <c r="N69" s="644"/>
      <c r="O69" s="644"/>
      <c r="P69" s="644"/>
      <c r="Q69" s="644"/>
      <c r="R69" s="644"/>
      <c r="S69" s="644"/>
      <c r="T69" s="644"/>
      <c r="U69" s="644"/>
      <c r="V69" s="644"/>
      <c r="W69" s="644"/>
      <c r="X69" s="644"/>
      <c r="Y69" s="644"/>
      <c r="Z69" s="644"/>
      <c r="AI69" t="s">
        <v>331</v>
      </c>
      <c r="AJ69" s="726">
        <v>0.0717</v>
      </c>
      <c r="AK69" s="726">
        <v>0.0669</v>
      </c>
      <c r="AL69" s="726">
        <v>0.0205</v>
      </c>
      <c r="AM69" s="726">
        <v>0.028</v>
      </c>
      <c r="AN69" s="726">
        <v>0.0722</v>
      </c>
      <c r="AO69" s="726">
        <v>0.0717</v>
      </c>
      <c r="AP69" s="726">
        <v>0.044</v>
      </c>
      <c r="AQ69" s="726">
        <v>0.0444</v>
      </c>
      <c r="AR69" s="726">
        <v>0.0512</v>
      </c>
      <c r="AS69" s="726">
        <v>0.0504</v>
      </c>
      <c r="AT69" s="726">
        <v>0.0514</v>
      </c>
      <c r="AU69" s="726">
        <v>0.0476</v>
      </c>
      <c r="AV69" s="726">
        <v>0.0735</v>
      </c>
      <c r="AW69" s="726">
        <v>0.0712</v>
      </c>
      <c r="AX69" s="726">
        <v>0.059</v>
      </c>
      <c r="AY69" s="726">
        <v>0.0641</v>
      </c>
    </row>
    <row r="70" customHeight="1" spans="1:51">
      <c r="A70" s="711" t="s">
        <v>479</v>
      </c>
      <c r="B70" s="712"/>
      <c r="C70" s="712"/>
      <c r="D70" s="712"/>
      <c r="E70" s="712"/>
      <c r="F70" s="712"/>
      <c r="G70" s="712"/>
      <c r="H70" s="712"/>
      <c r="I70" s="712"/>
      <c r="J70" s="712"/>
      <c r="K70" s="712"/>
      <c r="L70" s="712"/>
      <c r="M70" s="712"/>
      <c r="N70" s="712"/>
      <c r="O70" s="712"/>
      <c r="P70" s="712"/>
      <c r="Q70" s="712"/>
      <c r="R70" s="712"/>
      <c r="S70" s="712"/>
      <c r="T70" s="724"/>
      <c r="U70" s="644"/>
      <c r="V70" s="644"/>
      <c r="W70" s="644"/>
      <c r="X70" s="644"/>
      <c r="Y70" s="644"/>
      <c r="Z70" s="644"/>
      <c r="AI70" t="s">
        <v>332</v>
      </c>
      <c r="AJ70" s="726">
        <v>0.055</v>
      </c>
      <c r="AK70" s="726">
        <v>0.055</v>
      </c>
      <c r="AL70" s="726">
        <v>0.0538</v>
      </c>
      <c r="AM70" s="726">
        <v>0.0523</v>
      </c>
      <c r="AN70" s="726">
        <v>0.0623</v>
      </c>
      <c r="AO70" s="726">
        <v>0.0619</v>
      </c>
      <c r="AP70" s="726">
        <v>0.0572</v>
      </c>
      <c r="AQ70" s="726">
        <v>0.0578</v>
      </c>
      <c r="AR70" s="726">
        <v>0.0384</v>
      </c>
      <c r="AS70" s="726">
        <v>0.0387</v>
      </c>
      <c r="AT70" s="726">
        <v>0.0469</v>
      </c>
      <c r="AU70" s="726">
        <v>0.0476</v>
      </c>
      <c r="AV70" s="726">
        <v>0.0363</v>
      </c>
      <c r="AW70" s="726">
        <v>0.0382</v>
      </c>
      <c r="AX70" s="726">
        <v>0.0509</v>
      </c>
      <c r="AY70" s="726">
        <v>0.0486</v>
      </c>
    </row>
    <row r="71" customHeight="1" spans="1:51">
      <c r="A71" s="713"/>
      <c r="B71" s="714"/>
      <c r="C71" s="714"/>
      <c r="D71" s="714"/>
      <c r="E71" s="714"/>
      <c r="F71" s="714"/>
      <c r="G71" s="714"/>
      <c r="H71" s="714"/>
      <c r="I71" s="714"/>
      <c r="J71" s="714"/>
      <c r="K71" s="714"/>
      <c r="L71" s="714"/>
      <c r="M71" s="714"/>
      <c r="N71" s="714"/>
      <c r="O71" s="714"/>
      <c r="P71" s="714"/>
      <c r="Q71" s="714"/>
      <c r="R71" s="714"/>
      <c r="S71" s="714"/>
      <c r="T71" s="725"/>
      <c r="U71" s="644"/>
      <c r="V71" s="644"/>
      <c r="W71" s="644"/>
      <c r="X71" s="644"/>
      <c r="Y71" s="644"/>
      <c r="Z71" s="644"/>
      <c r="AI71" t="s">
        <v>333</v>
      </c>
      <c r="AJ71" s="726">
        <v>0.0573</v>
      </c>
      <c r="AK71" s="726">
        <v>0.0585</v>
      </c>
      <c r="AL71" s="726">
        <v>0.0531</v>
      </c>
      <c r="AM71" s="726">
        <v>0.053</v>
      </c>
      <c r="AN71" s="726">
        <v>0.0425</v>
      </c>
      <c r="AO71" s="726">
        <v>0.0422</v>
      </c>
      <c r="AP71" s="726">
        <v>0.059</v>
      </c>
      <c r="AQ71" s="726">
        <v>0.0587</v>
      </c>
      <c r="AR71" s="726">
        <v>0.0349</v>
      </c>
      <c r="AS71" s="726">
        <v>0.0352</v>
      </c>
      <c r="AT71" s="726">
        <v>0.0424</v>
      </c>
      <c r="AU71" s="726">
        <v>0.0416</v>
      </c>
      <c r="AV71" s="726">
        <v>0.0501</v>
      </c>
      <c r="AW71" s="726">
        <v>0.0492</v>
      </c>
      <c r="AX71" s="726">
        <v>0.0521</v>
      </c>
      <c r="AY71" s="726">
        <v>0.0515</v>
      </c>
    </row>
    <row r="72" customHeight="1" spans="1:51">
      <c r="A72" s="644"/>
      <c r="B72" s="644"/>
      <c r="C72" s="644"/>
      <c r="D72" s="644"/>
      <c r="E72" s="644"/>
      <c r="F72" s="644"/>
      <c r="G72" s="644"/>
      <c r="H72" s="644"/>
      <c r="I72" s="644"/>
      <c r="J72" s="644"/>
      <c r="K72" s="644"/>
      <c r="L72" s="644"/>
      <c r="M72" s="644"/>
      <c r="N72" s="644"/>
      <c r="O72" s="644"/>
      <c r="P72" s="644"/>
      <c r="Q72" s="644"/>
      <c r="R72" s="644"/>
      <c r="S72" s="644"/>
      <c r="T72" s="644"/>
      <c r="U72" s="644"/>
      <c r="V72" s="644"/>
      <c r="W72" s="644"/>
      <c r="X72" s="644"/>
      <c r="Y72" s="644"/>
      <c r="Z72" s="644"/>
      <c r="AI72" t="s">
        <v>334</v>
      </c>
      <c r="AJ72" s="726">
        <v>0.0358</v>
      </c>
      <c r="AK72" s="726">
        <v>0.0514</v>
      </c>
      <c r="AL72" s="726">
        <v>0.0379</v>
      </c>
      <c r="AM72" s="726">
        <v>0.0379</v>
      </c>
      <c r="AN72" s="726">
        <v>0.0567</v>
      </c>
      <c r="AO72" s="726">
        <v>0.0563</v>
      </c>
      <c r="AP72" s="726">
        <v>0.044</v>
      </c>
      <c r="AQ72" s="726">
        <v>0.0444</v>
      </c>
      <c r="AR72" s="726">
        <v>0.0582</v>
      </c>
      <c r="AS72" s="726">
        <v>0.0586</v>
      </c>
      <c r="AT72" s="726">
        <v>0.0582</v>
      </c>
      <c r="AU72" s="726">
        <v>0.0582</v>
      </c>
      <c r="AV72" s="726">
        <v>0.0389</v>
      </c>
      <c r="AW72" s="726">
        <v>0.039</v>
      </c>
      <c r="AX72" s="726">
        <v>0.0393</v>
      </c>
      <c r="AY72" s="726">
        <v>0.0389</v>
      </c>
    </row>
    <row r="73" customHeight="1" spans="1:51">
      <c r="A73" s="269" t="s">
        <v>480</v>
      </c>
      <c r="B73" s="269"/>
      <c r="C73" s="269"/>
      <c r="D73" s="269"/>
      <c r="E73" s="269"/>
      <c r="F73" s="269"/>
      <c r="G73" s="269"/>
      <c r="H73" s="269"/>
      <c r="I73" s="269"/>
      <c r="J73" s="269"/>
      <c r="K73" s="269"/>
      <c r="L73" s="269"/>
      <c r="M73" s="269"/>
      <c r="N73" s="269"/>
      <c r="O73" s="269"/>
      <c r="P73" s="269"/>
      <c r="Q73" s="269"/>
      <c r="R73" s="644"/>
      <c r="S73" s="644"/>
      <c r="T73" s="644"/>
      <c r="U73" s="644"/>
      <c r="V73" s="644"/>
      <c r="W73" s="644"/>
      <c r="X73" s="644"/>
      <c r="Y73" s="644"/>
      <c r="Z73" s="644"/>
      <c r="AI73" t="s">
        <v>335</v>
      </c>
      <c r="AJ73" s="726">
        <v>0.0514</v>
      </c>
      <c r="AK73" s="726">
        <v>0.0514</v>
      </c>
      <c r="AL73" s="726">
        <v>0.0516</v>
      </c>
      <c r="AM73" s="726">
        <v>0.0515</v>
      </c>
      <c r="AN73" s="726">
        <v>0.0496</v>
      </c>
      <c r="AO73" s="726">
        <v>0.0492</v>
      </c>
      <c r="AP73" s="726">
        <v>0.0502</v>
      </c>
      <c r="AQ73" s="726">
        <v>0.0516</v>
      </c>
      <c r="AR73" s="726">
        <v>0.0512</v>
      </c>
      <c r="AS73" s="726">
        <v>0.0516</v>
      </c>
      <c r="AT73" s="726">
        <v>0.0582</v>
      </c>
      <c r="AU73" s="726">
        <v>0.0567</v>
      </c>
      <c r="AV73" s="726">
        <v>0.051</v>
      </c>
      <c r="AW73" s="726">
        <v>0.05</v>
      </c>
      <c r="AX73" s="726">
        <v>0.0515</v>
      </c>
      <c r="AY73" s="726">
        <v>0.0515</v>
      </c>
    </row>
    <row r="74" customHeight="1" spans="1:51">
      <c r="A74" s="409" t="s">
        <v>37</v>
      </c>
      <c r="B74" s="289" t="s">
        <v>35</v>
      </c>
      <c r="C74" s="715"/>
      <c r="D74" s="715"/>
      <c r="E74" s="419"/>
      <c r="F74" s="289" t="s">
        <v>202</v>
      </c>
      <c r="G74" s="715"/>
      <c r="H74" s="715"/>
      <c r="I74" s="419"/>
      <c r="J74" s="289" t="s">
        <v>206</v>
      </c>
      <c r="K74" s="715"/>
      <c r="L74" s="715"/>
      <c r="M74" s="419"/>
      <c r="N74" s="289" t="s">
        <v>208</v>
      </c>
      <c r="O74" s="715"/>
      <c r="P74" s="715"/>
      <c r="Q74" s="419"/>
      <c r="R74" s="644"/>
      <c r="S74" s="644"/>
      <c r="T74" s="644"/>
      <c r="U74" s="644"/>
      <c r="V74" s="644"/>
      <c r="W74" s="644"/>
      <c r="X74" s="644"/>
      <c r="Y74" s="644"/>
      <c r="Z74" s="644"/>
      <c r="AI74" t="s">
        <v>336</v>
      </c>
      <c r="AJ74" s="726">
        <v>0.0418</v>
      </c>
      <c r="AK74" s="726">
        <v>0.0418</v>
      </c>
      <c r="AL74" s="726">
        <v>0.0447</v>
      </c>
      <c r="AM74" s="726">
        <v>0.0439</v>
      </c>
      <c r="AN74" s="726">
        <v>0.0382</v>
      </c>
      <c r="AO74" s="726">
        <v>0.0309</v>
      </c>
      <c r="AP74" s="726">
        <v>0.0475</v>
      </c>
      <c r="AQ74" s="726">
        <v>0.0471</v>
      </c>
      <c r="AR74" s="726">
        <v>0.0442</v>
      </c>
      <c r="AS74" s="726">
        <v>0.0492</v>
      </c>
      <c r="AT74" s="726">
        <v>0.0658</v>
      </c>
      <c r="AU74" s="726">
        <v>0.0665</v>
      </c>
      <c r="AV74" s="726">
        <v>0.0553</v>
      </c>
      <c r="AW74" s="726">
        <v>0.0543</v>
      </c>
      <c r="AX74" s="726">
        <v>0.0578</v>
      </c>
      <c r="AY74" s="726">
        <v>0.0561</v>
      </c>
    </row>
    <row r="75" customHeight="1" spans="1:51">
      <c r="A75" s="716"/>
      <c r="B75" s="409" t="s">
        <v>320</v>
      </c>
      <c r="C75" s="409" t="s">
        <v>321</v>
      </c>
      <c r="D75" s="409" t="s">
        <v>322</v>
      </c>
      <c r="E75" s="409" t="s">
        <v>319</v>
      </c>
      <c r="F75" s="409" t="s">
        <v>320</v>
      </c>
      <c r="G75" s="409" t="s">
        <v>321</v>
      </c>
      <c r="H75" s="409" t="s">
        <v>322</v>
      </c>
      <c r="I75" s="409" t="s">
        <v>319</v>
      </c>
      <c r="J75" s="409" t="s">
        <v>320</v>
      </c>
      <c r="K75" s="409" t="s">
        <v>321</v>
      </c>
      <c r="L75" s="409" t="s">
        <v>322</v>
      </c>
      <c r="M75" s="409" t="s">
        <v>319</v>
      </c>
      <c r="N75" s="409" t="s">
        <v>320</v>
      </c>
      <c r="O75" s="409" t="s">
        <v>321</v>
      </c>
      <c r="P75" s="409" t="s">
        <v>322</v>
      </c>
      <c r="Q75" s="409" t="s">
        <v>41</v>
      </c>
      <c r="R75" s="644"/>
      <c r="S75" s="644"/>
      <c r="T75" s="644"/>
      <c r="U75" s="644"/>
      <c r="V75" s="644"/>
      <c r="W75" s="644"/>
      <c r="X75" s="644"/>
      <c r="Y75" s="644"/>
      <c r="Z75" s="644"/>
      <c r="AI75" t="s">
        <v>337</v>
      </c>
      <c r="AJ75" s="726">
        <v>0.037</v>
      </c>
      <c r="AK75" s="726">
        <v>0.037</v>
      </c>
      <c r="AL75" s="726">
        <v>0.0356</v>
      </c>
      <c r="AM75" s="726">
        <v>0.0409</v>
      </c>
      <c r="AN75" s="726">
        <v>0.0382</v>
      </c>
      <c r="AO75" s="726">
        <v>0.038</v>
      </c>
      <c r="AP75" s="726">
        <v>0.0396</v>
      </c>
      <c r="AQ75" s="726">
        <v>0.0373</v>
      </c>
      <c r="AR75" s="726">
        <v>0.0361</v>
      </c>
      <c r="AS75" s="726">
        <v>0.0352</v>
      </c>
      <c r="AT75" s="726">
        <v>0.0303</v>
      </c>
      <c r="AU75" s="726">
        <v>0.0295</v>
      </c>
      <c r="AV75" s="726">
        <v>0.0588</v>
      </c>
      <c r="AW75" s="726">
        <v>0.0619</v>
      </c>
      <c r="AX75" s="726">
        <v>0.0388</v>
      </c>
      <c r="AY75" s="726">
        <v>0.0383</v>
      </c>
    </row>
    <row r="76" customHeight="1" spans="1:51">
      <c r="A76" s="717"/>
      <c r="B76" s="718"/>
      <c r="C76" s="718"/>
      <c r="D76" s="718"/>
      <c r="E76" s="718"/>
      <c r="F76" s="718"/>
      <c r="G76" s="718"/>
      <c r="H76" s="718"/>
      <c r="I76" s="718"/>
      <c r="J76" s="718"/>
      <c r="K76" s="718"/>
      <c r="L76" s="718"/>
      <c r="M76" s="718"/>
      <c r="N76" s="718"/>
      <c r="O76" s="718"/>
      <c r="P76" s="718"/>
      <c r="Q76" s="718"/>
      <c r="R76" s="644"/>
      <c r="S76" s="644"/>
      <c r="T76" s="644"/>
      <c r="U76" s="644"/>
      <c r="V76" s="644"/>
      <c r="W76" s="644"/>
      <c r="X76" s="644"/>
      <c r="Y76" s="644"/>
      <c r="Z76" s="644"/>
      <c r="AI76" t="s">
        <v>338</v>
      </c>
      <c r="AJ76" s="726">
        <v>0</v>
      </c>
      <c r="AK76" s="726">
        <v>0</v>
      </c>
      <c r="AL76" s="726">
        <v>0.0652</v>
      </c>
      <c r="AM76" s="726">
        <v>0.0659</v>
      </c>
      <c r="AN76" s="726">
        <v>0.051</v>
      </c>
      <c r="AO76" s="726">
        <v>0.0506</v>
      </c>
      <c r="AP76" s="726">
        <v>0.0405</v>
      </c>
      <c r="AQ76" s="726">
        <v>0.0409</v>
      </c>
      <c r="AR76" s="726">
        <v>0.0536</v>
      </c>
      <c r="AS76" s="726">
        <v>0.0539</v>
      </c>
      <c r="AT76" s="726">
        <v>0.0514</v>
      </c>
      <c r="AU76" s="726">
        <v>0.0522</v>
      </c>
      <c r="AV76" s="726">
        <v>0.0346</v>
      </c>
      <c r="AW76" s="726">
        <v>0.0339</v>
      </c>
      <c r="AX76" s="726">
        <v>0.0422</v>
      </c>
      <c r="AY76" s="726">
        <v>0.0423</v>
      </c>
    </row>
    <row r="77" customHeight="1" spans="1:51">
      <c r="A77" s="717"/>
      <c r="B77" s="718"/>
      <c r="C77" s="718"/>
      <c r="D77" s="718"/>
      <c r="E77" s="718"/>
      <c r="F77" s="718"/>
      <c r="G77" s="718"/>
      <c r="H77" s="718"/>
      <c r="I77" s="718"/>
      <c r="J77" s="718"/>
      <c r="K77" s="718"/>
      <c r="L77" s="718"/>
      <c r="M77" s="718"/>
      <c r="N77" s="718"/>
      <c r="O77" s="718"/>
      <c r="P77" s="718"/>
      <c r="Q77" s="718"/>
      <c r="R77" s="644"/>
      <c r="S77" s="644"/>
      <c r="T77" s="644"/>
      <c r="U77" s="644"/>
      <c r="V77" s="644"/>
      <c r="W77" s="644"/>
      <c r="X77" s="644"/>
      <c r="Y77" s="644"/>
      <c r="Z77" s="644"/>
      <c r="AI77" t="s">
        <v>339</v>
      </c>
      <c r="AJ77" s="726">
        <v>0.0597</v>
      </c>
      <c r="AK77" s="726">
        <v>0.0562</v>
      </c>
      <c r="AL77" s="726">
        <v>0.047</v>
      </c>
      <c r="AM77" s="726">
        <v>0.0477</v>
      </c>
      <c r="AN77" s="726">
        <v>0.0496</v>
      </c>
      <c r="AO77" s="726">
        <v>0.0492</v>
      </c>
      <c r="AP77" s="726">
        <v>0.0616</v>
      </c>
      <c r="AQ77" s="726">
        <v>0.0604</v>
      </c>
      <c r="AR77" s="726">
        <v>0.0477</v>
      </c>
      <c r="AS77" s="726">
        <v>0.0492</v>
      </c>
      <c r="AT77" s="726">
        <v>0.0499</v>
      </c>
      <c r="AU77" s="726">
        <v>0.0506</v>
      </c>
      <c r="AV77" s="726">
        <v>0.0519</v>
      </c>
      <c r="AW77" s="726">
        <v>0.0483</v>
      </c>
      <c r="AX77" s="726">
        <v>0.0602</v>
      </c>
      <c r="AY77" s="726">
        <v>0.0589</v>
      </c>
    </row>
    <row r="78" customHeight="1" spans="1:51">
      <c r="A78" s="719"/>
      <c r="B78" s="718"/>
      <c r="C78" s="718"/>
      <c r="D78" s="718"/>
      <c r="E78" s="718"/>
      <c r="F78" s="718"/>
      <c r="G78" s="718"/>
      <c r="H78" s="718"/>
      <c r="I78" s="718"/>
      <c r="J78" s="718"/>
      <c r="K78" s="718"/>
      <c r="L78" s="718"/>
      <c r="M78" s="718"/>
      <c r="N78" s="718"/>
      <c r="O78" s="718"/>
      <c r="P78" s="718"/>
      <c r="Q78" s="718"/>
      <c r="R78" s="644"/>
      <c r="S78" s="644"/>
      <c r="T78" s="644"/>
      <c r="U78" s="644"/>
      <c r="V78" s="644"/>
      <c r="W78" s="644"/>
      <c r="X78" s="644"/>
      <c r="Y78" s="644"/>
      <c r="Z78" s="644"/>
      <c r="AI78" t="s">
        <v>340</v>
      </c>
      <c r="AJ78" s="726">
        <v>0.0418</v>
      </c>
      <c r="AK78" s="726">
        <v>0.043</v>
      </c>
      <c r="AL78" s="726">
        <v>0.047</v>
      </c>
      <c r="AM78" s="726">
        <v>0.0455</v>
      </c>
      <c r="AN78" s="726">
        <v>0.051</v>
      </c>
      <c r="AO78" s="726">
        <v>0.0506</v>
      </c>
      <c r="AP78" s="726">
        <v>0.0502</v>
      </c>
      <c r="AQ78" s="726">
        <v>0.0498</v>
      </c>
      <c r="AR78" s="726">
        <v>0.064</v>
      </c>
      <c r="AS78" s="726">
        <v>0.0645</v>
      </c>
      <c r="AT78" s="726">
        <v>0.0514</v>
      </c>
      <c r="AU78" s="726">
        <v>0.0552</v>
      </c>
      <c r="AV78" s="726">
        <v>0.0449</v>
      </c>
      <c r="AW78" s="726">
        <v>0.0433</v>
      </c>
      <c r="AX78" s="726">
        <v>0.0463</v>
      </c>
      <c r="AY78" s="726">
        <v>0.0458</v>
      </c>
    </row>
    <row r="79" customHeight="1" spans="1:51">
      <c r="A79" s="717"/>
      <c r="B79" s="718"/>
      <c r="C79" s="718"/>
      <c r="D79" s="718"/>
      <c r="E79" s="718"/>
      <c r="F79" s="718"/>
      <c r="G79" s="718"/>
      <c r="H79" s="718"/>
      <c r="I79" s="718"/>
      <c r="J79" s="718"/>
      <c r="K79" s="718"/>
      <c r="L79" s="718"/>
      <c r="M79" s="718"/>
      <c r="N79" s="718"/>
      <c r="O79" s="718"/>
      <c r="P79" s="718"/>
      <c r="Q79" s="718"/>
      <c r="R79" s="644"/>
      <c r="S79" s="644"/>
      <c r="T79" s="644"/>
      <c r="U79" s="644"/>
      <c r="V79" s="644"/>
      <c r="W79" s="644"/>
      <c r="X79" s="644"/>
      <c r="Y79" s="644"/>
      <c r="Z79" s="644"/>
      <c r="AI79" t="s">
        <v>341</v>
      </c>
      <c r="AJ79" s="726">
        <v>0.0585</v>
      </c>
      <c r="AK79" s="726">
        <v>0.0573</v>
      </c>
      <c r="AL79" s="726">
        <v>0.0546</v>
      </c>
      <c r="AM79" s="726">
        <v>0.0545</v>
      </c>
      <c r="AN79" s="726">
        <v>0.0439</v>
      </c>
      <c r="AO79" s="726">
        <v>0.0422</v>
      </c>
      <c r="AP79" s="726">
        <v>0.0493</v>
      </c>
      <c r="AQ79" s="726">
        <v>0.0453</v>
      </c>
      <c r="AR79" s="726">
        <v>0.1059</v>
      </c>
      <c r="AS79" s="726">
        <v>0.0985</v>
      </c>
      <c r="AT79" s="726">
        <v>0.0734</v>
      </c>
      <c r="AU79" s="726">
        <v>0.0665</v>
      </c>
      <c r="AV79" s="726">
        <v>0.0614</v>
      </c>
      <c r="AW79" s="726">
        <v>0.0602</v>
      </c>
      <c r="AX79" s="726">
        <v>0.0607</v>
      </c>
      <c r="AY79" s="726">
        <v>0.0601</v>
      </c>
    </row>
    <row r="80" customHeight="1" spans="1:51">
      <c r="A80" s="717"/>
      <c r="B80" s="718"/>
      <c r="C80" s="718"/>
      <c r="D80" s="718"/>
      <c r="E80" s="718"/>
      <c r="F80" s="718"/>
      <c r="G80" s="718"/>
      <c r="H80" s="718"/>
      <c r="I80" s="718"/>
      <c r="J80" s="718"/>
      <c r="K80" s="718"/>
      <c r="L80" s="718"/>
      <c r="M80" s="718"/>
      <c r="N80" s="718"/>
      <c r="O80" s="718"/>
      <c r="P80" s="718"/>
      <c r="Q80" s="718"/>
      <c r="R80" s="644"/>
      <c r="S80" s="644"/>
      <c r="T80" s="644"/>
      <c r="U80" s="644"/>
      <c r="V80" s="644"/>
      <c r="W80" s="644"/>
      <c r="X80" s="644"/>
      <c r="Y80" s="644"/>
      <c r="Z80" s="644"/>
      <c r="AI80" t="s">
        <v>342</v>
      </c>
      <c r="AJ80" s="726">
        <v>0.0478</v>
      </c>
      <c r="AK80" s="726">
        <v>0.0478</v>
      </c>
      <c r="AL80" s="726">
        <v>0.05</v>
      </c>
      <c r="AM80" s="726">
        <v>0.0523</v>
      </c>
      <c r="AN80" s="726">
        <v>0.0425</v>
      </c>
      <c r="AO80" s="726">
        <v>0.0422</v>
      </c>
      <c r="AP80" s="726">
        <v>0.059</v>
      </c>
      <c r="AQ80" s="726">
        <v>0.0596</v>
      </c>
      <c r="AR80" s="726">
        <v>0.0477</v>
      </c>
      <c r="AS80" s="726">
        <v>0.0492</v>
      </c>
      <c r="AT80" s="726">
        <v>0.0545</v>
      </c>
      <c r="AU80" s="726">
        <v>0.0552</v>
      </c>
      <c r="AV80" s="726">
        <v>0.0449</v>
      </c>
      <c r="AW80" s="726">
        <v>0.0441</v>
      </c>
      <c r="AX80" s="726">
        <v>0.0509</v>
      </c>
      <c r="AY80" s="726">
        <v>0.0509</v>
      </c>
    </row>
    <row r="81" customHeight="1" spans="1:26">
      <c r="A81" s="717"/>
      <c r="B81" s="718"/>
      <c r="C81" s="718"/>
      <c r="D81" s="718"/>
      <c r="E81" s="718"/>
      <c r="F81" s="718"/>
      <c r="G81" s="718"/>
      <c r="H81" s="718"/>
      <c r="I81" s="718"/>
      <c r="J81" s="718"/>
      <c r="K81" s="718"/>
      <c r="L81" s="718"/>
      <c r="M81" s="718"/>
      <c r="N81" s="718"/>
      <c r="O81" s="718"/>
      <c r="P81" s="718"/>
      <c r="Q81" s="718"/>
      <c r="R81" s="644"/>
      <c r="S81" s="644"/>
      <c r="T81" s="644"/>
      <c r="U81" s="644"/>
      <c r="V81" s="644"/>
      <c r="W81" s="644"/>
      <c r="X81" s="644"/>
      <c r="Y81" s="644"/>
      <c r="Z81" s="644"/>
    </row>
    <row r="82" customHeight="1" spans="1:26">
      <c r="A82" s="717"/>
      <c r="B82" s="718"/>
      <c r="C82" s="718"/>
      <c r="D82" s="718"/>
      <c r="E82" s="718"/>
      <c r="F82" s="718"/>
      <c r="G82" s="718"/>
      <c r="H82" s="718"/>
      <c r="I82" s="718"/>
      <c r="J82" s="718"/>
      <c r="K82" s="718"/>
      <c r="L82" s="718"/>
      <c r="M82" s="718"/>
      <c r="N82" s="718"/>
      <c r="O82" s="718"/>
      <c r="P82" s="718"/>
      <c r="Q82" s="718"/>
      <c r="R82" s="644"/>
      <c r="S82" s="644"/>
      <c r="T82" s="644"/>
      <c r="U82" s="644"/>
      <c r="V82" s="644"/>
      <c r="W82" s="644"/>
      <c r="X82" s="644"/>
      <c r="Y82" s="644"/>
      <c r="Z82" s="644"/>
    </row>
    <row r="83" customHeight="1" spans="1:46">
      <c r="A83" s="717"/>
      <c r="B83" s="718"/>
      <c r="C83" s="718"/>
      <c r="D83" s="718"/>
      <c r="E83" s="718"/>
      <c r="F83" s="718"/>
      <c r="G83" s="718"/>
      <c r="H83" s="718"/>
      <c r="I83" s="718"/>
      <c r="J83" s="718"/>
      <c r="K83" s="718"/>
      <c r="L83" s="718"/>
      <c r="M83" s="718"/>
      <c r="N83" s="718"/>
      <c r="O83" s="718"/>
      <c r="P83" s="718"/>
      <c r="Q83" s="718"/>
      <c r="R83" s="644"/>
      <c r="S83" s="644"/>
      <c r="T83" s="644"/>
      <c r="U83" s="644"/>
      <c r="V83" s="644"/>
      <c r="W83" s="644"/>
      <c r="X83" s="644"/>
      <c r="Y83" s="644"/>
      <c r="Z83" s="644"/>
      <c r="AI83" t="s">
        <v>37</v>
      </c>
      <c r="AJ83" t="s">
        <v>343</v>
      </c>
      <c r="AK83" t="s">
        <v>344</v>
      </c>
      <c r="AL83" t="s">
        <v>345</v>
      </c>
      <c r="AM83" t="s">
        <v>346</v>
      </c>
      <c r="AN83" t="s">
        <v>310</v>
      </c>
      <c r="AO83" t="s">
        <v>313</v>
      </c>
      <c r="AP83" t="s">
        <v>347</v>
      </c>
      <c r="AQ83" t="s">
        <v>264</v>
      </c>
      <c r="AR83" t="s">
        <v>268</v>
      </c>
      <c r="AS83" t="s">
        <v>270</v>
      </c>
      <c r="AT83" t="s">
        <v>272</v>
      </c>
    </row>
    <row r="84" customHeight="1" spans="1:46">
      <c r="A84" s="717"/>
      <c r="B84" s="718"/>
      <c r="C84" s="718"/>
      <c r="D84" s="718"/>
      <c r="E84" s="718"/>
      <c r="F84" s="718"/>
      <c r="G84" s="718"/>
      <c r="H84" s="718"/>
      <c r="I84" s="718"/>
      <c r="J84" s="718"/>
      <c r="K84" s="718"/>
      <c r="L84" s="718"/>
      <c r="M84" s="718"/>
      <c r="N84" s="718"/>
      <c r="O84" s="718"/>
      <c r="P84" s="718"/>
      <c r="Q84" s="718"/>
      <c r="R84" s="644"/>
      <c r="S84" s="644"/>
      <c r="T84" s="644"/>
      <c r="U84" s="644"/>
      <c r="V84" s="644"/>
      <c r="W84" s="644"/>
      <c r="X84" s="644"/>
      <c r="Y84" s="644"/>
      <c r="Z84" s="644"/>
      <c r="AI84" t="s">
        <v>332</v>
      </c>
      <c r="AJ84">
        <v>0.27</v>
      </c>
      <c r="AK84">
        <v>1</v>
      </c>
      <c r="AL84">
        <v>1</v>
      </c>
      <c r="AM84">
        <v>4</v>
      </c>
      <c r="AN84">
        <v>7</v>
      </c>
      <c r="AO84">
        <v>4</v>
      </c>
      <c r="AP84">
        <v>18</v>
      </c>
      <c r="AQ84">
        <v>4</v>
      </c>
      <c r="AR84">
        <v>4</v>
      </c>
      <c r="AS84">
        <v>12</v>
      </c>
      <c r="AT84">
        <v>13</v>
      </c>
    </row>
    <row r="85" customHeight="1" spans="1:46">
      <c r="A85" s="717"/>
      <c r="B85" s="718"/>
      <c r="C85" s="718"/>
      <c r="D85" s="718"/>
      <c r="E85" s="718"/>
      <c r="F85" s="718"/>
      <c r="G85" s="718"/>
      <c r="H85" s="718"/>
      <c r="I85" s="718"/>
      <c r="J85" s="718"/>
      <c r="K85" s="718"/>
      <c r="L85" s="718"/>
      <c r="M85" s="718"/>
      <c r="N85" s="718"/>
      <c r="O85" s="718"/>
      <c r="P85" s="718"/>
      <c r="Q85" s="718"/>
      <c r="R85" s="644"/>
      <c r="S85" s="644"/>
      <c r="T85" s="644"/>
      <c r="U85" s="644"/>
      <c r="V85" s="644"/>
      <c r="W85" s="644"/>
      <c r="X85" s="644"/>
      <c r="Y85" s="644"/>
      <c r="Z85" s="644"/>
      <c r="AI85" t="s">
        <v>333</v>
      </c>
      <c r="AJ85">
        <v>0.253</v>
      </c>
      <c r="AK85">
        <v>2</v>
      </c>
      <c r="AL85">
        <v>1</v>
      </c>
      <c r="AM85">
        <v>5</v>
      </c>
      <c r="AN85">
        <v>9</v>
      </c>
      <c r="AO85">
        <v>9</v>
      </c>
      <c r="AP85">
        <v>1</v>
      </c>
      <c r="AQ85">
        <v>6</v>
      </c>
      <c r="AR85">
        <v>7</v>
      </c>
      <c r="AS85">
        <v>10</v>
      </c>
      <c r="AT85">
        <v>11</v>
      </c>
    </row>
    <row r="86" customHeight="1" spans="1:46">
      <c r="A86" s="717"/>
      <c r="B86" s="718"/>
      <c r="C86" s="718"/>
      <c r="D86" s="718"/>
      <c r="E86" s="718"/>
      <c r="F86" s="718"/>
      <c r="G86" s="718"/>
      <c r="H86" s="718"/>
      <c r="I86" s="718"/>
      <c r="J86" s="718"/>
      <c r="K86" s="718"/>
      <c r="L86" s="718"/>
      <c r="M86" s="718"/>
      <c r="N86" s="718"/>
      <c r="O86" s="718"/>
      <c r="P86" s="718"/>
      <c r="Q86" s="718"/>
      <c r="R86" s="644"/>
      <c r="S86" s="644"/>
      <c r="T86" s="644"/>
      <c r="U86" s="644"/>
      <c r="V86" s="644"/>
      <c r="W86" s="644"/>
      <c r="X86" s="644"/>
      <c r="Y86" s="644"/>
      <c r="Z86" s="644"/>
      <c r="AI86" t="s">
        <v>330</v>
      </c>
      <c r="AJ86">
        <v>0.134</v>
      </c>
      <c r="AK86">
        <v>3</v>
      </c>
      <c r="AL86">
        <v>1</v>
      </c>
      <c r="AM86">
        <v>9</v>
      </c>
      <c r="AN86">
        <v>11</v>
      </c>
      <c r="AO86">
        <v>15</v>
      </c>
      <c r="AP86">
        <v>1</v>
      </c>
      <c r="AQ86">
        <v>2</v>
      </c>
      <c r="AR86">
        <v>11</v>
      </c>
      <c r="AS86">
        <v>2</v>
      </c>
      <c r="AT86">
        <v>2</v>
      </c>
    </row>
    <row r="87" customHeight="1" spans="1:46">
      <c r="A87" s="717"/>
      <c r="B87" s="718"/>
      <c r="C87" s="718"/>
      <c r="D87" s="718"/>
      <c r="E87" s="718"/>
      <c r="F87" s="718"/>
      <c r="G87" s="718"/>
      <c r="H87" s="718"/>
      <c r="I87" s="718"/>
      <c r="J87" s="718"/>
      <c r="K87" s="718"/>
      <c r="L87" s="718"/>
      <c r="M87" s="718"/>
      <c r="N87" s="718"/>
      <c r="O87" s="718"/>
      <c r="P87" s="718"/>
      <c r="Q87" s="718"/>
      <c r="R87" s="644"/>
      <c r="S87" s="644"/>
      <c r="T87" s="644"/>
      <c r="U87" s="644"/>
      <c r="V87" s="644"/>
      <c r="W87" s="644"/>
      <c r="X87" s="644"/>
      <c r="Y87" s="644"/>
      <c r="Z87" s="644"/>
      <c r="AI87" t="s">
        <v>331</v>
      </c>
      <c r="AJ87">
        <v>0.125</v>
      </c>
      <c r="AK87">
        <v>4</v>
      </c>
      <c r="AL87">
        <v>1</v>
      </c>
      <c r="AM87">
        <v>6</v>
      </c>
      <c r="AN87">
        <v>14</v>
      </c>
      <c r="AO87">
        <v>12</v>
      </c>
      <c r="AP87">
        <v>17</v>
      </c>
      <c r="AQ87">
        <v>9</v>
      </c>
      <c r="AR87">
        <v>6</v>
      </c>
      <c r="AS87">
        <v>4</v>
      </c>
      <c r="AT87">
        <v>4</v>
      </c>
    </row>
    <row r="88" customHeight="1" spans="1:46">
      <c r="A88" s="717"/>
      <c r="B88" s="718"/>
      <c r="C88" s="718"/>
      <c r="D88" s="718"/>
      <c r="E88" s="718"/>
      <c r="F88" s="718"/>
      <c r="G88" s="718"/>
      <c r="H88" s="718"/>
      <c r="I88" s="718"/>
      <c r="J88" s="718"/>
      <c r="K88" s="718"/>
      <c r="L88" s="718"/>
      <c r="M88" s="718"/>
      <c r="N88" s="718"/>
      <c r="O88" s="718"/>
      <c r="P88" s="718"/>
      <c r="Q88" s="718"/>
      <c r="R88" s="644"/>
      <c r="S88" s="644"/>
      <c r="T88" s="644"/>
      <c r="U88" s="644"/>
      <c r="V88" s="644"/>
      <c r="W88" s="644"/>
      <c r="X88" s="644"/>
      <c r="Y88" s="644"/>
      <c r="Z88" s="644"/>
      <c r="AI88" t="s">
        <v>339</v>
      </c>
      <c r="AJ88">
        <v>0.09</v>
      </c>
      <c r="AK88">
        <v>5</v>
      </c>
      <c r="AL88">
        <v>1</v>
      </c>
      <c r="AM88">
        <v>11</v>
      </c>
      <c r="AN88">
        <v>5</v>
      </c>
      <c r="AO88">
        <v>2</v>
      </c>
      <c r="AP88">
        <v>1</v>
      </c>
      <c r="AQ88">
        <v>9</v>
      </c>
      <c r="AR88">
        <v>9</v>
      </c>
      <c r="AS88">
        <v>11</v>
      </c>
      <c r="AT88">
        <v>12</v>
      </c>
    </row>
    <row r="89" customHeight="1" spans="1:46">
      <c r="A89" s="717"/>
      <c r="B89" s="718"/>
      <c r="C89" s="718"/>
      <c r="D89" s="718"/>
      <c r="E89" s="718"/>
      <c r="F89" s="718"/>
      <c r="G89" s="718"/>
      <c r="H89" s="718"/>
      <c r="I89" s="718"/>
      <c r="J89" s="718"/>
      <c r="K89" s="718"/>
      <c r="L89" s="718"/>
      <c r="M89" s="718"/>
      <c r="N89" s="718"/>
      <c r="O89" s="718"/>
      <c r="P89" s="718"/>
      <c r="Q89" s="718"/>
      <c r="R89" s="644"/>
      <c r="S89" s="644"/>
      <c r="T89" s="644"/>
      <c r="U89" s="644"/>
      <c r="V89" s="644"/>
      <c r="W89" s="644"/>
      <c r="X89" s="644"/>
      <c r="Y89" s="644"/>
      <c r="Z89" s="644"/>
      <c r="AI89" t="s">
        <v>329</v>
      </c>
      <c r="AJ89">
        <v>0.064</v>
      </c>
      <c r="AK89">
        <v>6</v>
      </c>
      <c r="AL89">
        <v>1</v>
      </c>
      <c r="AM89">
        <v>11</v>
      </c>
      <c r="AN89">
        <v>18</v>
      </c>
      <c r="AO89">
        <v>13</v>
      </c>
      <c r="AP89">
        <v>1</v>
      </c>
      <c r="AQ89">
        <v>17</v>
      </c>
      <c r="AR89">
        <v>3</v>
      </c>
      <c r="AS89">
        <v>8</v>
      </c>
      <c r="AT89">
        <v>7</v>
      </c>
    </row>
    <row r="90" customHeight="1" spans="1:46">
      <c r="A90" s="717"/>
      <c r="B90" s="718"/>
      <c r="C90" s="718"/>
      <c r="D90" s="718"/>
      <c r="E90" s="718"/>
      <c r="F90" s="718"/>
      <c r="G90" s="718"/>
      <c r="H90" s="718"/>
      <c r="I90" s="718"/>
      <c r="J90" s="718"/>
      <c r="K90" s="718"/>
      <c r="L90" s="718"/>
      <c r="M90" s="718"/>
      <c r="N90" s="718"/>
      <c r="O90" s="718"/>
      <c r="P90" s="718"/>
      <c r="Q90" s="718"/>
      <c r="R90" s="644"/>
      <c r="S90" s="644"/>
      <c r="T90" s="644"/>
      <c r="U90" s="644"/>
      <c r="V90" s="644"/>
      <c r="W90" s="644"/>
      <c r="X90" s="644"/>
      <c r="Y90" s="644"/>
      <c r="Z90" s="644"/>
      <c r="AI90" t="s">
        <v>342</v>
      </c>
      <c r="AJ90">
        <v>0.06</v>
      </c>
      <c r="AK90">
        <v>7</v>
      </c>
      <c r="AL90">
        <v>1</v>
      </c>
      <c r="AM90">
        <v>11</v>
      </c>
      <c r="AN90">
        <v>15</v>
      </c>
      <c r="AO90">
        <v>7</v>
      </c>
      <c r="AP90">
        <v>1</v>
      </c>
      <c r="AQ90">
        <v>16</v>
      </c>
      <c r="AR90">
        <v>2</v>
      </c>
      <c r="AS90">
        <v>7</v>
      </c>
      <c r="AT90">
        <v>8</v>
      </c>
    </row>
    <row r="91" customHeight="1" spans="1:46">
      <c r="A91" s="717"/>
      <c r="B91" s="718"/>
      <c r="C91" s="718"/>
      <c r="D91" s="718"/>
      <c r="E91" s="718"/>
      <c r="F91" s="718"/>
      <c r="G91" s="718"/>
      <c r="H91" s="718"/>
      <c r="I91" s="718"/>
      <c r="J91" s="718"/>
      <c r="K91" s="718"/>
      <c r="L91" s="718"/>
      <c r="M91" s="718"/>
      <c r="N91" s="718"/>
      <c r="O91" s="718"/>
      <c r="P91" s="718"/>
      <c r="Q91" s="718"/>
      <c r="R91" s="644"/>
      <c r="S91" s="644"/>
      <c r="T91" s="644"/>
      <c r="U91" s="644"/>
      <c r="V91" s="644"/>
      <c r="W91" s="644"/>
      <c r="X91" s="644"/>
      <c r="Y91" s="644"/>
      <c r="Z91" s="644"/>
      <c r="AI91" t="s">
        <v>323</v>
      </c>
      <c r="AJ91">
        <v>0.044</v>
      </c>
      <c r="AK91">
        <v>8</v>
      </c>
      <c r="AL91">
        <v>1</v>
      </c>
      <c r="AM91">
        <v>8</v>
      </c>
      <c r="AN91">
        <v>20</v>
      </c>
      <c r="AO91">
        <v>7</v>
      </c>
      <c r="AP91">
        <v>1</v>
      </c>
      <c r="AQ91">
        <v>19</v>
      </c>
      <c r="AR91">
        <v>1</v>
      </c>
      <c r="AS91">
        <v>13</v>
      </c>
      <c r="AT91">
        <v>6</v>
      </c>
    </row>
    <row r="92" customHeight="1" spans="1:46">
      <c r="A92" s="717"/>
      <c r="B92" s="718"/>
      <c r="C92" s="718"/>
      <c r="D92" s="718"/>
      <c r="E92" s="718"/>
      <c r="F92" s="718"/>
      <c r="G92" s="718"/>
      <c r="H92" s="718"/>
      <c r="I92" s="718"/>
      <c r="J92" s="718"/>
      <c r="K92" s="718"/>
      <c r="L92" s="718"/>
      <c r="M92" s="718"/>
      <c r="N92" s="718"/>
      <c r="O92" s="718"/>
      <c r="P92" s="718"/>
      <c r="Q92" s="718"/>
      <c r="R92" s="644"/>
      <c r="S92" s="644"/>
      <c r="T92" s="644"/>
      <c r="U92" s="644"/>
      <c r="V92" s="644"/>
      <c r="W92" s="644"/>
      <c r="X92" s="644"/>
      <c r="Y92" s="644"/>
      <c r="Z92" s="644"/>
      <c r="AI92" t="s">
        <v>340</v>
      </c>
      <c r="AJ92">
        <v>0.022</v>
      </c>
      <c r="AK92">
        <v>9</v>
      </c>
      <c r="AL92">
        <v>1</v>
      </c>
      <c r="AM92">
        <v>9</v>
      </c>
      <c r="AN92">
        <v>6</v>
      </c>
      <c r="AO92">
        <v>18</v>
      </c>
      <c r="AP92">
        <v>1</v>
      </c>
      <c r="AQ92">
        <v>9</v>
      </c>
      <c r="AR92">
        <v>8</v>
      </c>
      <c r="AS92">
        <v>6</v>
      </c>
      <c r="AT92">
        <v>9</v>
      </c>
    </row>
    <row r="93" customHeight="1" spans="1:46">
      <c r="A93" s="717"/>
      <c r="B93" s="718"/>
      <c r="C93" s="718"/>
      <c r="D93" s="718"/>
      <c r="E93" s="718"/>
      <c r="F93" s="718"/>
      <c r="G93" s="718"/>
      <c r="H93" s="718"/>
      <c r="I93" s="718"/>
      <c r="J93" s="718"/>
      <c r="K93" s="718"/>
      <c r="L93" s="718"/>
      <c r="M93" s="718"/>
      <c r="N93" s="718"/>
      <c r="O93" s="718"/>
      <c r="P93" s="718"/>
      <c r="Q93" s="718"/>
      <c r="R93" s="644"/>
      <c r="S93" s="644"/>
      <c r="T93" s="644"/>
      <c r="U93" s="644"/>
      <c r="V93" s="644"/>
      <c r="W93" s="644"/>
      <c r="X93" s="644"/>
      <c r="Y93" s="644"/>
      <c r="Z93" s="644"/>
      <c r="AI93" t="s">
        <v>334</v>
      </c>
      <c r="AJ93">
        <v>0.021</v>
      </c>
      <c r="AK93">
        <v>10</v>
      </c>
      <c r="AL93">
        <v>1</v>
      </c>
      <c r="AM93">
        <v>20</v>
      </c>
      <c r="AN93">
        <v>19</v>
      </c>
      <c r="AO93">
        <v>5</v>
      </c>
      <c r="AP93">
        <v>1</v>
      </c>
      <c r="AQ93">
        <v>8</v>
      </c>
      <c r="AR93">
        <v>10</v>
      </c>
      <c r="AS93">
        <v>16</v>
      </c>
      <c r="AT93">
        <v>16</v>
      </c>
    </row>
    <row r="94" customHeight="1" spans="1:46">
      <c r="A94" s="719"/>
      <c r="B94" s="718"/>
      <c r="C94" s="718"/>
      <c r="D94" s="718"/>
      <c r="E94" s="718"/>
      <c r="F94" s="718"/>
      <c r="G94" s="718"/>
      <c r="H94" s="718"/>
      <c r="I94" s="718"/>
      <c r="J94" s="718"/>
      <c r="K94" s="718"/>
      <c r="L94" s="718"/>
      <c r="M94" s="718"/>
      <c r="N94" s="718"/>
      <c r="O94" s="718"/>
      <c r="P94" s="718"/>
      <c r="Q94" s="718"/>
      <c r="R94" s="644"/>
      <c r="S94" s="644"/>
      <c r="T94" s="644"/>
      <c r="U94" s="644"/>
      <c r="V94" s="644"/>
      <c r="W94" s="644"/>
      <c r="X94" s="644"/>
      <c r="Y94" s="644"/>
      <c r="Z94" s="644"/>
      <c r="AI94" t="s">
        <v>327</v>
      </c>
      <c r="AJ94">
        <v>0.009</v>
      </c>
      <c r="AK94">
        <v>11</v>
      </c>
      <c r="AL94">
        <v>20</v>
      </c>
      <c r="AM94">
        <v>11</v>
      </c>
      <c r="AN94">
        <v>8</v>
      </c>
      <c r="AO94">
        <v>6</v>
      </c>
      <c r="AP94">
        <v>1</v>
      </c>
      <c r="AQ94">
        <v>7</v>
      </c>
      <c r="AR94">
        <v>15</v>
      </c>
      <c r="AS94">
        <v>14</v>
      </c>
      <c r="AT94">
        <v>15</v>
      </c>
    </row>
    <row r="95" customHeight="1" spans="1:46">
      <c r="A95" s="719"/>
      <c r="B95" s="718"/>
      <c r="C95" s="718"/>
      <c r="D95" s="718"/>
      <c r="E95" s="718"/>
      <c r="F95" s="718"/>
      <c r="G95" s="718"/>
      <c r="H95" s="718"/>
      <c r="I95" s="718"/>
      <c r="J95" s="718"/>
      <c r="K95" s="718"/>
      <c r="L95" s="718"/>
      <c r="M95" s="718"/>
      <c r="N95" s="718"/>
      <c r="O95" s="718"/>
      <c r="P95" s="718"/>
      <c r="Q95" s="718"/>
      <c r="R95" s="644"/>
      <c r="S95" s="644"/>
      <c r="T95" s="644"/>
      <c r="U95" s="644"/>
      <c r="V95" s="644"/>
      <c r="W95" s="644"/>
      <c r="X95" s="644"/>
      <c r="Y95" s="644"/>
      <c r="Z95" s="644"/>
      <c r="AI95" t="s">
        <v>325</v>
      </c>
      <c r="AJ95">
        <v>-0.13</v>
      </c>
      <c r="AK95">
        <v>12</v>
      </c>
      <c r="AL95">
        <v>1</v>
      </c>
      <c r="AM95">
        <v>6</v>
      </c>
      <c r="AN95">
        <v>1</v>
      </c>
      <c r="AO95">
        <v>14</v>
      </c>
      <c r="AP95">
        <v>1</v>
      </c>
      <c r="AQ95">
        <v>9</v>
      </c>
      <c r="AR95">
        <v>13</v>
      </c>
      <c r="AS95">
        <v>17</v>
      </c>
      <c r="AT95">
        <v>17</v>
      </c>
    </row>
    <row r="96" customHeight="1" spans="1:46">
      <c r="A96" s="667"/>
      <c r="B96" s="667"/>
      <c r="C96" s="667"/>
      <c r="D96" s="667"/>
      <c r="E96" s="667"/>
      <c r="F96" s="667"/>
      <c r="G96" s="667"/>
      <c r="H96" s="667"/>
      <c r="I96" s="667"/>
      <c r="J96" s="667"/>
      <c r="K96" s="667"/>
      <c r="L96" s="667"/>
      <c r="M96" s="667"/>
      <c r="N96" s="667"/>
      <c r="O96" s="667"/>
      <c r="P96" s="667"/>
      <c r="Q96" s="667"/>
      <c r="R96" s="644"/>
      <c r="S96" s="644"/>
      <c r="T96" s="644"/>
      <c r="U96" s="644"/>
      <c r="V96" s="644"/>
      <c r="W96" s="644"/>
      <c r="X96" s="644"/>
      <c r="Y96" s="644"/>
      <c r="Z96" s="644"/>
      <c r="AI96" t="s">
        <v>336</v>
      </c>
      <c r="AJ96">
        <v>-0.139</v>
      </c>
      <c r="AK96">
        <v>13</v>
      </c>
      <c r="AL96">
        <v>1</v>
      </c>
      <c r="AM96">
        <v>11</v>
      </c>
      <c r="AN96">
        <v>2</v>
      </c>
      <c r="AO96">
        <v>3</v>
      </c>
      <c r="AP96">
        <v>1</v>
      </c>
      <c r="AQ96">
        <v>14</v>
      </c>
      <c r="AR96">
        <v>12</v>
      </c>
      <c r="AS96">
        <v>5</v>
      </c>
      <c r="AT96">
        <v>5</v>
      </c>
    </row>
    <row r="97" customHeight="1" spans="1:46">
      <c r="A97" s="269" t="s">
        <v>481</v>
      </c>
      <c r="B97" s="269"/>
      <c r="C97" s="269"/>
      <c r="D97" s="269"/>
      <c r="E97" s="269"/>
      <c r="F97" s="269"/>
      <c r="G97" s="269"/>
      <c r="H97" s="269"/>
      <c r="I97" s="269"/>
      <c r="J97" s="269"/>
      <c r="K97" s="269"/>
      <c r="L97" s="269"/>
      <c r="M97" s="269"/>
      <c r="N97" s="269"/>
      <c r="O97" s="269"/>
      <c r="P97" s="269"/>
      <c r="Q97" s="269"/>
      <c r="R97" s="644"/>
      <c r="S97" s="644"/>
      <c r="T97" s="644"/>
      <c r="U97" s="644"/>
      <c r="V97" s="644"/>
      <c r="W97" s="644"/>
      <c r="X97" s="644"/>
      <c r="Y97" s="644"/>
      <c r="Z97" s="644"/>
      <c r="AI97" t="s">
        <v>341</v>
      </c>
      <c r="AJ97">
        <v>-0.164</v>
      </c>
      <c r="AK97">
        <v>14</v>
      </c>
      <c r="AL97">
        <v>1</v>
      </c>
      <c r="AM97">
        <v>3</v>
      </c>
      <c r="AN97">
        <v>17</v>
      </c>
      <c r="AO97">
        <v>11</v>
      </c>
      <c r="AP97">
        <v>20</v>
      </c>
      <c r="AQ97">
        <v>1</v>
      </c>
      <c r="AR97">
        <v>18</v>
      </c>
      <c r="AS97">
        <v>1</v>
      </c>
      <c r="AT97">
        <v>1</v>
      </c>
    </row>
    <row r="98" customHeight="1" spans="1:46">
      <c r="A98" s="328" t="s">
        <v>37</v>
      </c>
      <c r="B98" s="269" t="s">
        <v>35</v>
      </c>
      <c r="C98" s="269" t="s">
        <v>36</v>
      </c>
      <c r="D98" s="269" t="s">
        <v>62</v>
      </c>
      <c r="E98" s="269" t="s">
        <v>63</v>
      </c>
      <c r="F98" s="269" t="s">
        <v>202</v>
      </c>
      <c r="G98" s="269"/>
      <c r="H98" s="269"/>
      <c r="I98" s="269"/>
      <c r="J98" s="269" t="s">
        <v>206</v>
      </c>
      <c r="K98" s="269"/>
      <c r="L98" s="269"/>
      <c r="M98" s="269"/>
      <c r="N98" s="269" t="s">
        <v>208</v>
      </c>
      <c r="O98" s="269"/>
      <c r="P98" s="269"/>
      <c r="Q98" s="269"/>
      <c r="R98" s="644"/>
      <c r="S98" s="644"/>
      <c r="T98" s="644"/>
      <c r="U98" s="644"/>
      <c r="V98" s="644"/>
      <c r="W98" s="644"/>
      <c r="X98" s="644"/>
      <c r="Y98" s="644"/>
      <c r="Z98" s="644"/>
      <c r="AI98" t="s">
        <v>328</v>
      </c>
      <c r="AJ98">
        <v>-0.196</v>
      </c>
      <c r="AK98">
        <v>15</v>
      </c>
      <c r="AL98">
        <v>1</v>
      </c>
      <c r="AM98">
        <v>11</v>
      </c>
      <c r="AN98">
        <v>12</v>
      </c>
      <c r="AO98">
        <v>15</v>
      </c>
      <c r="AP98">
        <v>1</v>
      </c>
      <c r="AQ98">
        <v>18</v>
      </c>
      <c r="AR98">
        <v>5</v>
      </c>
      <c r="AS98">
        <v>3</v>
      </c>
      <c r="AT98">
        <v>3</v>
      </c>
    </row>
    <row r="99" customHeight="1" spans="1:46">
      <c r="A99" s="409"/>
      <c r="B99" s="409" t="s">
        <v>39</v>
      </c>
      <c r="C99" s="409" t="s">
        <v>40</v>
      </c>
      <c r="D99" s="409" t="s">
        <v>41</v>
      </c>
      <c r="E99" s="409" t="s">
        <v>38</v>
      </c>
      <c r="F99" s="409" t="s">
        <v>39</v>
      </c>
      <c r="G99" s="409" t="s">
        <v>40</v>
      </c>
      <c r="H99" s="409" t="s">
        <v>41</v>
      </c>
      <c r="I99" s="409" t="s">
        <v>38</v>
      </c>
      <c r="J99" s="409" t="s">
        <v>39</v>
      </c>
      <c r="K99" s="409" t="s">
        <v>40</v>
      </c>
      <c r="L99" s="409" t="s">
        <v>41</v>
      </c>
      <c r="M99" s="409" t="s">
        <v>38</v>
      </c>
      <c r="N99" s="409" t="s">
        <v>39</v>
      </c>
      <c r="O99" s="409" t="s">
        <v>40</v>
      </c>
      <c r="P99" s="409" t="s">
        <v>41</v>
      </c>
      <c r="Q99" s="409" t="s">
        <v>41</v>
      </c>
      <c r="R99" s="644"/>
      <c r="S99" s="644"/>
      <c r="T99" s="644"/>
      <c r="U99" s="644"/>
      <c r="V99" s="644"/>
      <c r="W99" s="644"/>
      <c r="X99" s="644"/>
      <c r="Y99" s="644"/>
      <c r="Z99" s="644"/>
      <c r="AI99" t="s">
        <v>324</v>
      </c>
      <c r="AJ99">
        <v>-0.215</v>
      </c>
      <c r="AK99">
        <v>16</v>
      </c>
      <c r="AL99">
        <v>1</v>
      </c>
      <c r="AM99">
        <v>2</v>
      </c>
      <c r="AN99">
        <v>13</v>
      </c>
      <c r="AO99">
        <v>15</v>
      </c>
      <c r="AP99">
        <v>1</v>
      </c>
      <c r="AQ99">
        <v>3</v>
      </c>
      <c r="AR99">
        <v>16</v>
      </c>
      <c r="AS99">
        <v>15</v>
      </c>
      <c r="AT99">
        <v>14</v>
      </c>
    </row>
    <row r="100" customHeight="1" spans="1:46">
      <c r="A100" s="717"/>
      <c r="B100" s="720"/>
      <c r="C100" s="720"/>
      <c r="D100" s="720"/>
      <c r="E100" s="720"/>
      <c r="F100" s="720"/>
      <c r="G100" s="720"/>
      <c r="H100" s="720"/>
      <c r="I100" s="720"/>
      <c r="J100" s="720"/>
      <c r="K100" s="720"/>
      <c r="L100" s="720"/>
      <c r="M100" s="720"/>
      <c r="N100" s="720"/>
      <c r="O100" s="720"/>
      <c r="P100" s="720"/>
      <c r="Q100" s="720"/>
      <c r="R100" s="644"/>
      <c r="S100" s="644"/>
      <c r="T100" s="644"/>
      <c r="U100" s="644"/>
      <c r="V100" s="644"/>
      <c r="W100" s="644"/>
      <c r="X100" s="644"/>
      <c r="Y100" s="644"/>
      <c r="Z100" s="644"/>
      <c r="AI100" t="s">
        <v>335</v>
      </c>
      <c r="AJ100">
        <v>-0.412</v>
      </c>
      <c r="AK100">
        <v>17</v>
      </c>
      <c r="AL100">
        <v>1</v>
      </c>
      <c r="AM100">
        <v>11</v>
      </c>
      <c r="AN100">
        <v>4</v>
      </c>
      <c r="AO100">
        <v>10</v>
      </c>
      <c r="AP100">
        <v>1</v>
      </c>
      <c r="AQ100">
        <v>19</v>
      </c>
      <c r="AR100">
        <v>14</v>
      </c>
      <c r="AS100">
        <v>9</v>
      </c>
      <c r="AT100">
        <v>10</v>
      </c>
    </row>
    <row r="101" customHeight="1" spans="1:46">
      <c r="A101" s="717"/>
      <c r="B101" s="720"/>
      <c r="C101" s="720"/>
      <c r="D101" s="720"/>
      <c r="E101" s="720"/>
      <c r="F101" s="720"/>
      <c r="G101" s="720"/>
      <c r="H101" s="720"/>
      <c r="I101" s="720"/>
      <c r="J101" s="720"/>
      <c r="K101" s="720"/>
      <c r="L101" s="720"/>
      <c r="M101" s="720"/>
      <c r="N101" s="720"/>
      <c r="O101" s="720"/>
      <c r="P101" s="720"/>
      <c r="Q101" s="720"/>
      <c r="R101" s="644"/>
      <c r="S101" s="644"/>
      <c r="T101" s="644"/>
      <c r="U101" s="644"/>
      <c r="V101" s="644"/>
      <c r="W101" s="644"/>
      <c r="X101" s="644"/>
      <c r="Y101" s="644"/>
      <c r="Z101" s="644"/>
      <c r="AI101" t="s">
        <v>337</v>
      </c>
      <c r="AJ101">
        <v>-0.569</v>
      </c>
      <c r="AK101">
        <v>18</v>
      </c>
      <c r="AL101">
        <v>1</v>
      </c>
      <c r="AM101">
        <v>11</v>
      </c>
      <c r="AN101">
        <v>10</v>
      </c>
      <c r="AO101">
        <v>19</v>
      </c>
      <c r="AP101">
        <v>1</v>
      </c>
      <c r="AQ101">
        <v>9</v>
      </c>
      <c r="AR101">
        <v>17</v>
      </c>
      <c r="AS101">
        <v>18</v>
      </c>
      <c r="AT101">
        <v>18</v>
      </c>
    </row>
    <row r="102" customHeight="1" spans="1:46">
      <c r="A102" s="719"/>
      <c r="B102" s="720"/>
      <c r="C102" s="720"/>
      <c r="D102" s="720"/>
      <c r="E102" s="720"/>
      <c r="F102" s="720"/>
      <c r="G102" s="720"/>
      <c r="H102" s="720"/>
      <c r="I102" s="720"/>
      <c r="J102" s="720"/>
      <c r="K102" s="720"/>
      <c r="L102" s="720"/>
      <c r="M102" s="720"/>
      <c r="N102" s="720"/>
      <c r="O102" s="720"/>
      <c r="P102" s="720"/>
      <c r="Q102" s="720"/>
      <c r="R102" s="644"/>
      <c r="S102" s="644"/>
      <c r="T102" s="644"/>
      <c r="U102" s="644"/>
      <c r="V102" s="644"/>
      <c r="W102" s="644"/>
      <c r="X102" s="644"/>
      <c r="Y102" s="644"/>
      <c r="Z102" s="644"/>
      <c r="AI102" t="s">
        <v>326</v>
      </c>
      <c r="AJ102">
        <v>-0.707</v>
      </c>
      <c r="AK102">
        <v>19</v>
      </c>
      <c r="AL102">
        <v>1</v>
      </c>
      <c r="AM102">
        <v>11</v>
      </c>
      <c r="AN102">
        <v>3</v>
      </c>
      <c r="AO102">
        <v>1</v>
      </c>
      <c r="AP102">
        <v>1</v>
      </c>
      <c r="AQ102">
        <v>4</v>
      </c>
      <c r="AR102">
        <v>19</v>
      </c>
      <c r="AS102">
        <v>20</v>
      </c>
      <c r="AT102">
        <v>20</v>
      </c>
    </row>
    <row r="103" customHeight="1" spans="1:46">
      <c r="A103" s="717"/>
      <c r="B103" s="720"/>
      <c r="C103" s="720"/>
      <c r="D103" s="720"/>
      <c r="E103" s="720"/>
      <c r="F103" s="720"/>
      <c r="G103" s="720"/>
      <c r="H103" s="720"/>
      <c r="I103" s="720"/>
      <c r="J103" s="720"/>
      <c r="K103" s="720"/>
      <c r="L103" s="720"/>
      <c r="M103" s="720"/>
      <c r="N103" s="720"/>
      <c r="O103" s="720"/>
      <c r="P103" s="720"/>
      <c r="Q103" s="720"/>
      <c r="R103" s="644"/>
      <c r="S103" s="644"/>
      <c r="T103" s="644"/>
      <c r="U103" s="644"/>
      <c r="V103" s="644"/>
      <c r="W103" s="644"/>
      <c r="X103" s="644"/>
      <c r="Y103" s="644"/>
      <c r="Z103" s="644"/>
      <c r="AI103" t="s">
        <v>338</v>
      </c>
      <c r="AJ103">
        <v>-1.29</v>
      </c>
      <c r="AK103">
        <v>20</v>
      </c>
      <c r="AL103">
        <v>1</v>
      </c>
      <c r="AM103">
        <v>1</v>
      </c>
      <c r="AN103">
        <v>16</v>
      </c>
      <c r="AO103">
        <v>20</v>
      </c>
      <c r="AP103">
        <v>18</v>
      </c>
      <c r="AQ103">
        <v>15</v>
      </c>
      <c r="AR103">
        <v>20</v>
      </c>
      <c r="AS103">
        <v>19</v>
      </c>
      <c r="AT103">
        <v>19</v>
      </c>
    </row>
    <row r="104" customHeight="1" spans="1:26">
      <c r="A104" s="717"/>
      <c r="B104" s="720"/>
      <c r="C104" s="720"/>
      <c r="D104" s="720"/>
      <c r="E104" s="720"/>
      <c r="F104" s="720"/>
      <c r="G104" s="720"/>
      <c r="H104" s="720"/>
      <c r="I104" s="720"/>
      <c r="J104" s="720"/>
      <c r="K104" s="720"/>
      <c r="L104" s="720"/>
      <c r="M104" s="720"/>
      <c r="N104" s="720"/>
      <c r="O104" s="720"/>
      <c r="P104" s="720"/>
      <c r="Q104" s="720"/>
      <c r="R104" s="644"/>
      <c r="S104" s="644"/>
      <c r="T104" s="644"/>
      <c r="U104" s="644"/>
      <c r="V104" s="644"/>
      <c r="W104" s="644"/>
      <c r="X104" s="644"/>
      <c r="Y104" s="644"/>
      <c r="Z104" s="644"/>
    </row>
    <row r="105" customHeight="1" spans="1:26">
      <c r="A105" s="717"/>
      <c r="B105" s="720"/>
      <c r="C105" s="720"/>
      <c r="D105" s="720"/>
      <c r="E105" s="720"/>
      <c r="F105" s="720"/>
      <c r="G105" s="720"/>
      <c r="H105" s="720"/>
      <c r="I105" s="720"/>
      <c r="J105" s="720"/>
      <c r="K105" s="720"/>
      <c r="L105" s="720"/>
      <c r="M105" s="720"/>
      <c r="N105" s="720"/>
      <c r="O105" s="720"/>
      <c r="P105" s="720"/>
      <c r="Q105" s="720"/>
      <c r="R105" s="644"/>
      <c r="S105" s="644"/>
      <c r="T105" s="644"/>
      <c r="U105" s="644"/>
      <c r="V105" s="644"/>
      <c r="W105" s="644"/>
      <c r="X105" s="644"/>
      <c r="Y105" s="644"/>
      <c r="Z105" s="644"/>
    </row>
    <row r="106" customHeight="1" spans="1:43">
      <c r="A106" s="717"/>
      <c r="B106" s="720"/>
      <c r="C106" s="720"/>
      <c r="D106" s="720"/>
      <c r="E106" s="720"/>
      <c r="F106" s="720"/>
      <c r="G106" s="720"/>
      <c r="H106" s="720"/>
      <c r="I106" s="720"/>
      <c r="J106" s="720"/>
      <c r="K106" s="720"/>
      <c r="L106" s="720"/>
      <c r="M106" s="720"/>
      <c r="N106" s="720"/>
      <c r="O106" s="720"/>
      <c r="P106" s="720"/>
      <c r="Q106" s="720"/>
      <c r="R106" s="644"/>
      <c r="S106" s="644"/>
      <c r="T106" s="644"/>
      <c r="U106" s="644"/>
      <c r="V106" s="644"/>
      <c r="W106" s="644"/>
      <c r="X106" s="644"/>
      <c r="Y106" s="644"/>
      <c r="Z106" s="644"/>
      <c r="AI106" t="s">
        <v>37</v>
      </c>
      <c r="AJ106" t="s">
        <v>358</v>
      </c>
      <c r="AK106" t="s">
        <v>359</v>
      </c>
      <c r="AL106" t="s">
        <v>482</v>
      </c>
      <c r="AM106" t="s">
        <v>483</v>
      </c>
      <c r="AN106" t="s">
        <v>484</v>
      </c>
      <c r="AO106" t="s">
        <v>485</v>
      </c>
      <c r="AP106" t="s">
        <v>486</v>
      </c>
      <c r="AQ106" t="s">
        <v>487</v>
      </c>
    </row>
    <row r="107" customHeight="1" spans="1:43">
      <c r="A107" s="717"/>
      <c r="B107" s="720"/>
      <c r="C107" s="720"/>
      <c r="D107" s="720"/>
      <c r="E107" s="720"/>
      <c r="F107" s="720"/>
      <c r="G107" s="720"/>
      <c r="H107" s="720"/>
      <c r="I107" s="720"/>
      <c r="J107" s="720"/>
      <c r="K107" s="720"/>
      <c r="L107" s="720"/>
      <c r="M107" s="720"/>
      <c r="N107" s="720"/>
      <c r="O107" s="720"/>
      <c r="P107" s="720"/>
      <c r="Q107" s="720"/>
      <c r="R107" s="644"/>
      <c r="S107" s="644"/>
      <c r="T107" s="644"/>
      <c r="U107" s="644"/>
      <c r="V107" s="644"/>
      <c r="W107" s="644"/>
      <c r="X107" s="644"/>
      <c r="Y107" s="644"/>
      <c r="Z107" s="644"/>
      <c r="AI107" t="s">
        <v>323</v>
      </c>
      <c r="AJ107" s="727">
        <v>9158901</v>
      </c>
      <c r="AK107" s="727">
        <v>7351188.66</v>
      </c>
      <c r="AL107" s="727">
        <v>1807712.34</v>
      </c>
      <c r="AM107" s="727">
        <v>695924.53</v>
      </c>
      <c r="AN107">
        <v>70.05</v>
      </c>
      <c r="AO107" s="727">
        <v>688149.39</v>
      </c>
      <c r="AP107" s="727">
        <v>20548300.15</v>
      </c>
      <c r="AQ107">
        <v>0.044</v>
      </c>
    </row>
    <row r="108" customHeight="1" spans="1:43">
      <c r="A108" s="717"/>
      <c r="B108" s="720"/>
      <c r="C108" s="720"/>
      <c r="D108" s="720"/>
      <c r="E108" s="720"/>
      <c r="F108" s="720"/>
      <c r="G108" s="720"/>
      <c r="H108" s="720"/>
      <c r="I108" s="720"/>
      <c r="J108" s="720"/>
      <c r="K108" s="720"/>
      <c r="L108" s="720"/>
      <c r="M108" s="720"/>
      <c r="N108" s="720"/>
      <c r="O108" s="720"/>
      <c r="P108" s="720"/>
      <c r="Q108" s="720"/>
      <c r="R108" s="644"/>
      <c r="S108" s="644"/>
      <c r="T108" s="644"/>
      <c r="U108" s="644"/>
      <c r="V108" s="644"/>
      <c r="W108" s="644"/>
      <c r="X108" s="644"/>
      <c r="Y108" s="644"/>
      <c r="Z108" s="644"/>
      <c r="AI108" t="s">
        <v>324</v>
      </c>
      <c r="AJ108" s="727">
        <v>9588610.03</v>
      </c>
      <c r="AK108" s="727">
        <v>7814768.83</v>
      </c>
      <c r="AL108" s="727">
        <v>1773841.2</v>
      </c>
      <c r="AM108" s="727">
        <v>601812.21</v>
      </c>
      <c r="AN108" s="727">
        <v>338403.04</v>
      </c>
      <c r="AO108" s="727">
        <v>4584442.49</v>
      </c>
      <c r="AP108" s="727">
        <v>19865762.26</v>
      </c>
      <c r="AQ108">
        <v>-0.215</v>
      </c>
    </row>
    <row r="109" customHeight="1" spans="1:43">
      <c r="A109" s="717"/>
      <c r="B109" s="720"/>
      <c r="C109" s="720"/>
      <c r="D109" s="720"/>
      <c r="E109" s="720"/>
      <c r="F109" s="720"/>
      <c r="G109" s="720"/>
      <c r="H109" s="720"/>
      <c r="I109" s="720"/>
      <c r="J109" s="720"/>
      <c r="K109" s="720"/>
      <c r="L109" s="720"/>
      <c r="M109" s="720"/>
      <c r="N109" s="720"/>
      <c r="O109" s="720"/>
      <c r="P109" s="720"/>
      <c r="Q109" s="720"/>
      <c r="R109" s="644"/>
      <c r="S109" s="644"/>
      <c r="T109" s="644"/>
      <c r="U109" s="644"/>
      <c r="V109" s="644"/>
      <c r="W109" s="644"/>
      <c r="X109" s="644"/>
      <c r="Y109" s="644"/>
      <c r="Z109" s="644"/>
      <c r="AI109" t="s">
        <v>325</v>
      </c>
      <c r="AJ109" s="727">
        <v>8448058</v>
      </c>
      <c r="AK109" s="727">
        <v>6953283.09</v>
      </c>
      <c r="AL109" s="727">
        <v>1494774.91</v>
      </c>
      <c r="AM109" s="727">
        <v>644764.64</v>
      </c>
      <c r="AN109" s="727">
        <v>203070.05</v>
      </c>
      <c r="AO109" s="727">
        <v>3496137.07</v>
      </c>
      <c r="AP109" s="727">
        <v>20155032.23</v>
      </c>
      <c r="AQ109">
        <v>-0.13</v>
      </c>
    </row>
    <row r="110" customHeight="1" spans="1:43">
      <c r="A110" s="717"/>
      <c r="B110" s="720"/>
      <c r="C110" s="720"/>
      <c r="D110" s="720"/>
      <c r="E110" s="720"/>
      <c r="F110" s="720"/>
      <c r="G110" s="720"/>
      <c r="H110" s="720"/>
      <c r="I110" s="720"/>
      <c r="J110" s="720"/>
      <c r="K110" s="720"/>
      <c r="L110" s="720"/>
      <c r="M110" s="720"/>
      <c r="N110" s="720"/>
      <c r="O110" s="720"/>
      <c r="P110" s="720"/>
      <c r="Q110" s="720"/>
      <c r="R110" s="644"/>
      <c r="S110" s="644"/>
      <c r="T110" s="644"/>
      <c r="U110" s="644"/>
      <c r="V110" s="644"/>
      <c r="W110" s="644"/>
      <c r="X110" s="644"/>
      <c r="Y110" s="644"/>
      <c r="Z110" s="644"/>
      <c r="AI110" t="s">
        <v>326</v>
      </c>
      <c r="AJ110" s="727">
        <v>7382090</v>
      </c>
      <c r="AK110" s="727">
        <v>6505326.42</v>
      </c>
      <c r="AL110" s="727">
        <v>876763.58</v>
      </c>
      <c r="AM110" s="727">
        <v>478848.82</v>
      </c>
      <c r="AN110" s="727">
        <v>304570.05</v>
      </c>
      <c r="AO110" s="727">
        <v>2838154.38</v>
      </c>
      <c r="AP110" s="727">
        <v>19432881.53</v>
      </c>
      <c r="AQ110">
        <v>-0.707</v>
      </c>
    </row>
    <row r="111" customHeight="1" spans="1:43">
      <c r="A111" s="717"/>
      <c r="B111" s="720"/>
      <c r="C111" s="720"/>
      <c r="D111" s="720"/>
      <c r="E111" s="720"/>
      <c r="F111" s="720"/>
      <c r="G111" s="720"/>
      <c r="H111" s="720"/>
      <c r="I111" s="720"/>
      <c r="J111" s="720"/>
      <c r="K111" s="720"/>
      <c r="L111" s="720"/>
      <c r="M111" s="720"/>
      <c r="N111" s="720"/>
      <c r="O111" s="720"/>
      <c r="P111" s="720"/>
      <c r="Q111" s="720"/>
      <c r="R111" s="644"/>
      <c r="S111" s="644"/>
      <c r="T111" s="644"/>
      <c r="U111" s="644"/>
      <c r="V111" s="644"/>
      <c r="W111" s="644"/>
      <c r="X111" s="644"/>
      <c r="Y111" s="644"/>
      <c r="Z111" s="644"/>
      <c r="AI111" t="s">
        <v>327</v>
      </c>
      <c r="AJ111" s="727">
        <v>9782140</v>
      </c>
      <c r="AK111" s="727">
        <v>7999101.27</v>
      </c>
      <c r="AL111" s="727">
        <v>1783038.73</v>
      </c>
      <c r="AM111" s="727">
        <v>653430.25</v>
      </c>
      <c r="AN111" s="727">
        <v>259458.37</v>
      </c>
      <c r="AO111" s="727">
        <v>3863534.17</v>
      </c>
      <c r="AP111" s="727">
        <v>20134960.09</v>
      </c>
      <c r="AQ111">
        <v>0.009</v>
      </c>
    </row>
    <row r="112" customHeight="1" spans="1:43">
      <c r="A112" s="717"/>
      <c r="B112" s="720"/>
      <c r="C112" s="720"/>
      <c r="D112" s="720"/>
      <c r="E112" s="720"/>
      <c r="F112" s="720"/>
      <c r="G112" s="720"/>
      <c r="H112" s="720"/>
      <c r="I112" s="720"/>
      <c r="J112" s="720"/>
      <c r="K112" s="720"/>
      <c r="L112" s="720"/>
      <c r="M112" s="720"/>
      <c r="N112" s="720"/>
      <c r="O112" s="720"/>
      <c r="P112" s="720"/>
      <c r="Q112" s="720"/>
      <c r="R112" s="644"/>
      <c r="S112" s="644"/>
      <c r="T112" s="644"/>
      <c r="U112" s="644"/>
      <c r="V112" s="644"/>
      <c r="W112" s="644"/>
      <c r="X112" s="644"/>
      <c r="Y112" s="644"/>
      <c r="Z112" s="644"/>
      <c r="AI112" t="s">
        <v>328</v>
      </c>
      <c r="AJ112" s="727">
        <v>11038500</v>
      </c>
      <c r="AK112" s="727">
        <v>8728901.72</v>
      </c>
      <c r="AL112" s="727">
        <v>2309598.28</v>
      </c>
      <c r="AM112" s="727">
        <v>647263.94</v>
      </c>
      <c r="AN112" s="727">
        <v>39786.05</v>
      </c>
      <c r="AO112" s="727">
        <v>4000000.51</v>
      </c>
      <c r="AP112" s="727">
        <v>20334092.36</v>
      </c>
      <c r="AQ112">
        <v>-0.196</v>
      </c>
    </row>
    <row r="113" customHeight="1" spans="1:43">
      <c r="A113" s="717"/>
      <c r="B113" s="720"/>
      <c r="C113" s="720"/>
      <c r="D113" s="720"/>
      <c r="E113" s="720"/>
      <c r="F113" s="720"/>
      <c r="G113" s="720"/>
      <c r="H113" s="720"/>
      <c r="I113" s="720"/>
      <c r="J113" s="720"/>
      <c r="K113" s="720"/>
      <c r="L113" s="720"/>
      <c r="M113" s="720"/>
      <c r="N113" s="720"/>
      <c r="O113" s="720"/>
      <c r="P113" s="720"/>
      <c r="Q113" s="720"/>
      <c r="R113" s="644"/>
      <c r="S113" s="644"/>
      <c r="T113" s="644"/>
      <c r="U113" s="644"/>
      <c r="V113" s="644"/>
      <c r="W113" s="644"/>
      <c r="X113" s="644"/>
      <c r="Y113" s="644"/>
      <c r="Z113" s="644"/>
      <c r="AI113" t="s">
        <v>329</v>
      </c>
      <c r="AJ113" s="727">
        <v>9285395</v>
      </c>
      <c r="AK113" s="727">
        <v>7436651.67</v>
      </c>
      <c r="AL113" s="727">
        <v>1848743.33</v>
      </c>
      <c r="AM113" s="727">
        <v>685802.44</v>
      </c>
      <c r="AN113" s="727">
        <v>152319.03</v>
      </c>
      <c r="AO113" s="727">
        <v>4505256.87</v>
      </c>
      <c r="AP113" s="727">
        <v>20361264.56</v>
      </c>
      <c r="AQ113">
        <v>0.064</v>
      </c>
    </row>
    <row r="114" customHeight="1" spans="1:43">
      <c r="A114" s="717"/>
      <c r="B114" s="720"/>
      <c r="C114" s="720"/>
      <c r="D114" s="720"/>
      <c r="E114" s="720"/>
      <c r="F114" s="720"/>
      <c r="G114" s="720"/>
      <c r="H114" s="720"/>
      <c r="I114" s="720"/>
      <c r="J114" s="720"/>
      <c r="K114" s="720"/>
      <c r="L114" s="720"/>
      <c r="M114" s="720"/>
      <c r="N114" s="720"/>
      <c r="O114" s="720"/>
      <c r="P114" s="720"/>
      <c r="Q114" s="720"/>
      <c r="R114" s="644"/>
      <c r="S114" s="644"/>
      <c r="T114" s="644"/>
      <c r="U114" s="644"/>
      <c r="V114" s="644"/>
      <c r="W114" s="644"/>
      <c r="X114" s="644"/>
      <c r="Y114" s="644"/>
      <c r="Z114" s="644"/>
      <c r="AI114" t="s">
        <v>330</v>
      </c>
      <c r="AJ114" s="727">
        <v>10732738</v>
      </c>
      <c r="AK114" s="727">
        <v>8372475.96</v>
      </c>
      <c r="AL114" s="727">
        <v>2360262.04</v>
      </c>
      <c r="AM114" s="727">
        <v>697587.36</v>
      </c>
      <c r="AN114" s="727">
        <v>350070.05</v>
      </c>
      <c r="AO114" s="727">
        <v>4484536.3</v>
      </c>
      <c r="AP114" s="727">
        <v>20210914.07</v>
      </c>
      <c r="AQ114">
        <v>0.134</v>
      </c>
    </row>
    <row r="115" customHeight="1" spans="1:43">
      <c r="A115" s="717"/>
      <c r="B115" s="720"/>
      <c r="C115" s="720"/>
      <c r="D115" s="720"/>
      <c r="E115" s="720"/>
      <c r="F115" s="720"/>
      <c r="G115" s="720"/>
      <c r="H115" s="720"/>
      <c r="I115" s="720"/>
      <c r="J115" s="720"/>
      <c r="K115" s="720"/>
      <c r="L115" s="720"/>
      <c r="M115" s="720"/>
      <c r="N115" s="720"/>
      <c r="O115" s="720"/>
      <c r="P115" s="720"/>
      <c r="Q115" s="720"/>
      <c r="R115" s="644"/>
      <c r="S115" s="644"/>
      <c r="T115" s="644"/>
      <c r="U115" s="644"/>
      <c r="V115" s="644"/>
      <c r="W115" s="644"/>
      <c r="X115" s="644"/>
      <c r="Y115" s="644"/>
      <c r="Z115" s="644"/>
      <c r="AI115" t="s">
        <v>331</v>
      </c>
      <c r="AJ115" s="727">
        <v>10633427</v>
      </c>
      <c r="AK115" s="727">
        <v>8422343.13</v>
      </c>
      <c r="AL115" s="727">
        <v>2211083.87</v>
      </c>
      <c r="AM115" s="727">
        <v>687367</v>
      </c>
      <c r="AN115" s="727">
        <v>203070.05</v>
      </c>
      <c r="AO115" s="727">
        <v>3357567.86</v>
      </c>
      <c r="AP115" s="727">
        <v>20321292.6</v>
      </c>
      <c r="AQ115">
        <v>0.125</v>
      </c>
    </row>
    <row r="116" customHeight="1" spans="1:43">
      <c r="A116" s="717"/>
      <c r="B116" s="720"/>
      <c r="C116" s="720"/>
      <c r="D116" s="720"/>
      <c r="E116" s="720"/>
      <c r="F116" s="720"/>
      <c r="G116" s="720"/>
      <c r="H116" s="720"/>
      <c r="I116" s="720"/>
      <c r="J116" s="720"/>
      <c r="K116" s="720"/>
      <c r="L116" s="720"/>
      <c r="M116" s="720"/>
      <c r="N116" s="720"/>
      <c r="O116" s="720"/>
      <c r="P116" s="720"/>
      <c r="Q116" s="720"/>
      <c r="R116" s="644"/>
      <c r="S116" s="644"/>
      <c r="T116" s="644"/>
      <c r="U116" s="644"/>
      <c r="V116" s="644"/>
      <c r="W116" s="644"/>
      <c r="X116" s="644"/>
      <c r="Y116" s="644"/>
      <c r="Z116" s="644"/>
      <c r="AI116" t="s">
        <v>332</v>
      </c>
      <c r="AJ116" s="727">
        <v>9281612</v>
      </c>
      <c r="AK116" s="727">
        <v>7459601.26</v>
      </c>
      <c r="AL116" s="727">
        <v>1822010.74</v>
      </c>
      <c r="AM116" s="727">
        <v>723109.31</v>
      </c>
      <c r="AN116" s="727">
        <v>304570.05</v>
      </c>
      <c r="AO116" s="727">
        <v>2684092.13</v>
      </c>
      <c r="AP116" s="727">
        <v>20349222.28</v>
      </c>
      <c r="AQ116">
        <v>0.27</v>
      </c>
    </row>
    <row r="117" customHeight="1" spans="1:43">
      <c r="A117" s="717"/>
      <c r="B117" s="720"/>
      <c r="C117" s="720"/>
      <c r="D117" s="720"/>
      <c r="E117" s="720"/>
      <c r="F117" s="720"/>
      <c r="G117" s="720"/>
      <c r="H117" s="720"/>
      <c r="I117" s="720"/>
      <c r="J117" s="720"/>
      <c r="K117" s="720"/>
      <c r="L117" s="720"/>
      <c r="M117" s="720"/>
      <c r="N117" s="720"/>
      <c r="O117" s="720"/>
      <c r="P117" s="720"/>
      <c r="Q117" s="720"/>
      <c r="R117" s="644"/>
      <c r="S117" s="644"/>
      <c r="T117" s="644"/>
      <c r="U117" s="644"/>
      <c r="V117" s="644"/>
      <c r="W117" s="644"/>
      <c r="X117" s="644"/>
      <c r="Y117" s="644"/>
      <c r="Z117" s="644"/>
      <c r="AI117" t="s">
        <v>333</v>
      </c>
      <c r="AJ117" s="727">
        <v>9295856</v>
      </c>
      <c r="AK117" s="727">
        <v>7462127.92</v>
      </c>
      <c r="AL117" s="727">
        <v>1833728.08</v>
      </c>
      <c r="AM117" s="727">
        <v>711864.74</v>
      </c>
      <c r="AN117" s="727">
        <v>293291.37</v>
      </c>
      <c r="AO117" s="727">
        <v>3783087.94</v>
      </c>
      <c r="AP117" s="727">
        <v>20318795.25</v>
      </c>
      <c r="AQ117">
        <v>0.253</v>
      </c>
    </row>
    <row r="118" customHeight="1" spans="1:43">
      <c r="A118" s="719"/>
      <c r="B118" s="720"/>
      <c r="C118" s="720"/>
      <c r="D118" s="720"/>
      <c r="E118" s="720"/>
      <c r="F118" s="720"/>
      <c r="G118" s="720"/>
      <c r="H118" s="720"/>
      <c r="I118" s="720"/>
      <c r="J118" s="720"/>
      <c r="K118" s="720"/>
      <c r="L118" s="720"/>
      <c r="M118" s="720"/>
      <c r="N118" s="720"/>
      <c r="O118" s="720"/>
      <c r="P118" s="720"/>
      <c r="Q118" s="720"/>
      <c r="R118" s="644"/>
      <c r="S118" s="644"/>
      <c r="T118" s="644"/>
      <c r="U118" s="644"/>
      <c r="V118" s="644"/>
      <c r="W118" s="644"/>
      <c r="X118" s="644"/>
      <c r="Y118" s="644"/>
      <c r="Z118" s="644"/>
      <c r="AI118" t="s">
        <v>334</v>
      </c>
      <c r="AJ118" s="727">
        <v>8812900</v>
      </c>
      <c r="AK118" s="727">
        <v>7174616.67</v>
      </c>
      <c r="AL118" s="727">
        <v>1638283.33</v>
      </c>
      <c r="AM118" s="727">
        <v>671313.23</v>
      </c>
      <c r="AN118" s="727">
        <v>213220.05</v>
      </c>
      <c r="AO118" s="727">
        <v>3615497.28</v>
      </c>
      <c r="AP118" s="727">
        <v>20245104.97</v>
      </c>
      <c r="AQ118">
        <v>0.021</v>
      </c>
    </row>
    <row r="119" customHeight="1" spans="1:43">
      <c r="A119" s="719"/>
      <c r="B119" s="720"/>
      <c r="C119" s="720"/>
      <c r="D119" s="720"/>
      <c r="E119" s="720"/>
      <c r="F119" s="720"/>
      <c r="G119" s="720"/>
      <c r="H119" s="720"/>
      <c r="I119" s="720"/>
      <c r="J119" s="720"/>
      <c r="K119" s="720"/>
      <c r="L119" s="720"/>
      <c r="M119" s="720"/>
      <c r="N119" s="720"/>
      <c r="O119" s="720"/>
      <c r="P119" s="720"/>
      <c r="Q119" s="720"/>
      <c r="R119" s="644"/>
      <c r="S119" s="644"/>
      <c r="T119" s="644"/>
      <c r="U119" s="644"/>
      <c r="V119" s="644"/>
      <c r="W119" s="644"/>
      <c r="X119" s="644"/>
      <c r="Y119" s="644"/>
      <c r="Z119" s="644"/>
      <c r="AI119" t="s">
        <v>335</v>
      </c>
      <c r="AJ119" s="727">
        <v>9744722</v>
      </c>
      <c r="AK119" s="727">
        <v>7899828.93</v>
      </c>
      <c r="AL119" s="727">
        <v>1844893.07</v>
      </c>
      <c r="AM119" s="727">
        <v>589033.11</v>
      </c>
      <c r="AN119">
        <v>70.05</v>
      </c>
      <c r="AO119" s="727">
        <v>4032162.3</v>
      </c>
      <c r="AP119" s="727">
        <v>20152561.46</v>
      </c>
      <c r="AQ119">
        <v>-0.412</v>
      </c>
    </row>
    <row r="120" customHeight="1" spans="1:43">
      <c r="A120" s="667"/>
      <c r="B120" s="667"/>
      <c r="C120" s="667"/>
      <c r="D120" s="667"/>
      <c r="E120" s="667"/>
      <c r="F120" s="667"/>
      <c r="G120" s="667"/>
      <c r="H120" s="667"/>
      <c r="I120" s="667"/>
      <c r="J120" s="667"/>
      <c r="K120" s="667"/>
      <c r="L120" s="667"/>
      <c r="M120" s="667"/>
      <c r="N120" s="667"/>
      <c r="O120" s="667"/>
      <c r="P120" s="667"/>
      <c r="Q120" s="667"/>
      <c r="R120" s="644"/>
      <c r="S120" s="644"/>
      <c r="T120" s="644"/>
      <c r="U120" s="644"/>
      <c r="V120" s="644"/>
      <c r="W120" s="644"/>
      <c r="X120" s="644"/>
      <c r="Y120" s="644"/>
      <c r="Z120" s="644"/>
      <c r="AI120" t="s">
        <v>336</v>
      </c>
      <c r="AJ120" s="727">
        <v>10191962</v>
      </c>
      <c r="AK120" s="727">
        <v>8193588.21</v>
      </c>
      <c r="AL120" s="727">
        <v>1998373.79</v>
      </c>
      <c r="AM120" s="727">
        <v>644060.95</v>
      </c>
      <c r="AN120" s="727">
        <v>200070.05</v>
      </c>
      <c r="AO120" s="727">
        <v>4523101.43</v>
      </c>
      <c r="AP120" s="727">
        <v>20158303.58</v>
      </c>
      <c r="AQ120">
        <v>-0.139</v>
      </c>
    </row>
    <row r="121" customHeight="1" spans="1:43">
      <c r="A121" s="269" t="s">
        <v>488</v>
      </c>
      <c r="B121" s="269"/>
      <c r="C121" s="269"/>
      <c r="D121" s="269"/>
      <c r="E121" s="269"/>
      <c r="F121" s="269"/>
      <c r="G121" s="269"/>
      <c r="H121" s="269"/>
      <c r="I121" s="269"/>
      <c r="J121" s="269"/>
      <c r="K121" s="269"/>
      <c r="L121" s="269"/>
      <c r="M121" s="409"/>
      <c r="N121" s="409"/>
      <c r="O121" s="678"/>
      <c r="P121" s="678"/>
      <c r="Q121" s="678"/>
      <c r="R121" s="644"/>
      <c r="S121" s="644"/>
      <c r="T121" s="644"/>
      <c r="U121" s="644"/>
      <c r="V121" s="644"/>
      <c r="W121" s="644"/>
      <c r="X121" s="644"/>
      <c r="Y121" s="644"/>
      <c r="Z121" s="644"/>
      <c r="AI121" t="s">
        <v>337</v>
      </c>
      <c r="AJ121" s="727">
        <v>7791134</v>
      </c>
      <c r="AK121" s="727">
        <v>6522689.15</v>
      </c>
      <c r="AL121" s="727">
        <v>1268444.85</v>
      </c>
      <c r="AM121" s="727">
        <v>536573.28</v>
      </c>
      <c r="AN121" s="727">
        <v>203070.05</v>
      </c>
      <c r="AO121" s="727">
        <v>3459146.72</v>
      </c>
      <c r="AP121" s="727">
        <v>19751399.11</v>
      </c>
      <c r="AQ121">
        <v>-0.569</v>
      </c>
    </row>
    <row r="122" customHeight="1" spans="1:43">
      <c r="A122" s="721" t="s">
        <v>37</v>
      </c>
      <c r="B122" s="409" t="s">
        <v>343</v>
      </c>
      <c r="C122" s="409" t="s">
        <v>344</v>
      </c>
      <c r="D122" s="409" t="s">
        <v>345</v>
      </c>
      <c r="E122" s="409" t="s">
        <v>346</v>
      </c>
      <c r="F122" s="409" t="s">
        <v>310</v>
      </c>
      <c r="G122" s="409" t="s">
        <v>313</v>
      </c>
      <c r="H122" s="409" t="s">
        <v>347</v>
      </c>
      <c r="I122" s="409" t="s">
        <v>264</v>
      </c>
      <c r="J122" s="409" t="s">
        <v>268</v>
      </c>
      <c r="K122" s="409" t="s">
        <v>270</v>
      </c>
      <c r="L122" s="723" t="s">
        <v>272</v>
      </c>
      <c r="M122" s="521" t="str">
        <f>IF(初始化表!$B40=1,"综合评分","")</f>
        <v/>
      </c>
      <c r="N122" s="521" t="str">
        <f>IF(初始化表!$B40=1,"总评名次","")</f>
        <v/>
      </c>
      <c r="O122" s="678"/>
      <c r="P122" s="678"/>
      <c r="Q122" s="678"/>
      <c r="R122" s="644"/>
      <c r="S122" s="644"/>
      <c r="T122" s="644"/>
      <c r="U122" s="644"/>
      <c r="V122" s="644"/>
      <c r="W122" s="644"/>
      <c r="X122" s="644"/>
      <c r="Y122" s="644"/>
      <c r="Z122" s="644"/>
      <c r="AI122" t="s">
        <v>338</v>
      </c>
      <c r="AJ122" s="727">
        <v>7700690.03</v>
      </c>
      <c r="AK122" s="727">
        <v>6780397.17</v>
      </c>
      <c r="AL122" s="727">
        <v>920292.86</v>
      </c>
      <c r="AM122" s="727">
        <v>356659.26</v>
      </c>
      <c r="AN122" s="727">
        <v>174575.95</v>
      </c>
      <c r="AO122" s="727">
        <v>5683105.34</v>
      </c>
      <c r="AP122" s="727">
        <v>19108590.32</v>
      </c>
      <c r="AQ122">
        <v>-1.29</v>
      </c>
    </row>
    <row r="123" customHeight="1" spans="1:43">
      <c r="A123" s="717"/>
      <c r="B123" s="722"/>
      <c r="C123" s="722"/>
      <c r="D123" s="722"/>
      <c r="E123" s="722"/>
      <c r="F123" s="722"/>
      <c r="G123" s="722"/>
      <c r="H123" s="722"/>
      <c r="I123" s="722"/>
      <c r="J123" s="722"/>
      <c r="K123" s="722"/>
      <c r="L123" s="722"/>
      <c r="M123" s="667"/>
      <c r="N123" s="667"/>
      <c r="O123" s="678"/>
      <c r="P123" s="678"/>
      <c r="Q123" s="678"/>
      <c r="R123" s="644"/>
      <c r="S123" s="644"/>
      <c r="T123" s="644"/>
      <c r="U123" s="644"/>
      <c r="V123" s="644"/>
      <c r="W123" s="644"/>
      <c r="X123" s="644"/>
      <c r="Y123" s="644"/>
      <c r="Z123" s="644"/>
      <c r="AI123" t="s">
        <v>339</v>
      </c>
      <c r="AJ123" s="727">
        <v>9979671</v>
      </c>
      <c r="AK123" s="727">
        <v>8154643.86</v>
      </c>
      <c r="AL123" s="727">
        <v>1825027.14</v>
      </c>
      <c r="AM123" s="727">
        <v>676910.25</v>
      </c>
      <c r="AN123" s="727">
        <v>203070.05</v>
      </c>
      <c r="AO123" s="727">
        <v>4334271.71</v>
      </c>
      <c r="AP123" s="727">
        <v>20278029.47</v>
      </c>
      <c r="AQ123">
        <v>0.09</v>
      </c>
    </row>
    <row r="124" customHeight="1" spans="1:43">
      <c r="A124" s="717"/>
      <c r="B124" s="722"/>
      <c r="C124" s="722"/>
      <c r="D124" s="722"/>
      <c r="E124" s="722"/>
      <c r="F124" s="722"/>
      <c r="G124" s="722"/>
      <c r="H124" s="722"/>
      <c r="I124" s="722"/>
      <c r="J124" s="722"/>
      <c r="K124" s="722"/>
      <c r="L124" s="722"/>
      <c r="M124" s="667"/>
      <c r="N124" s="667"/>
      <c r="O124" s="678"/>
      <c r="P124" s="678"/>
      <c r="Q124" s="678"/>
      <c r="R124" s="644"/>
      <c r="S124" s="644"/>
      <c r="T124" s="644"/>
      <c r="U124" s="644"/>
      <c r="V124" s="644"/>
      <c r="W124" s="644"/>
      <c r="X124" s="644"/>
      <c r="Y124" s="644"/>
      <c r="Z124" s="644"/>
      <c r="AI124" t="s">
        <v>340</v>
      </c>
      <c r="AJ124" s="727">
        <v>9482647</v>
      </c>
      <c r="AK124" s="727">
        <v>7625300.66</v>
      </c>
      <c r="AL124" s="727">
        <v>1857346.34</v>
      </c>
      <c r="AM124" s="727">
        <v>678713.35</v>
      </c>
      <c r="AN124" s="727">
        <v>203070.05</v>
      </c>
      <c r="AO124" s="727">
        <v>3102874.97</v>
      </c>
      <c r="AP124" s="727">
        <v>20285089.66</v>
      </c>
      <c r="AQ124">
        <v>0.022</v>
      </c>
    </row>
    <row r="125" customHeight="1" spans="1:43">
      <c r="A125" s="719"/>
      <c r="B125" s="722"/>
      <c r="C125" s="722"/>
      <c r="D125" s="722"/>
      <c r="E125" s="722"/>
      <c r="F125" s="722"/>
      <c r="G125" s="722"/>
      <c r="H125" s="722"/>
      <c r="I125" s="722"/>
      <c r="J125" s="722"/>
      <c r="K125" s="722"/>
      <c r="L125" s="722"/>
      <c r="M125" s="667"/>
      <c r="N125" s="667"/>
      <c r="O125" s="678"/>
      <c r="P125" s="678"/>
      <c r="Q125" s="678"/>
      <c r="R125" s="644"/>
      <c r="S125" s="644"/>
      <c r="T125" s="644"/>
      <c r="U125" s="644"/>
      <c r="V125" s="644"/>
      <c r="W125" s="644"/>
      <c r="X125" s="644"/>
      <c r="Y125" s="644"/>
      <c r="Z125" s="644"/>
      <c r="AI125" t="s">
        <v>341</v>
      </c>
      <c r="AJ125" s="727">
        <v>11699100</v>
      </c>
      <c r="AK125" s="727">
        <v>9026392.78</v>
      </c>
      <c r="AL125" s="727">
        <v>2672707.22</v>
      </c>
      <c r="AM125" s="727">
        <v>605744.95</v>
      </c>
      <c r="AN125" s="727">
        <v>469713.05</v>
      </c>
      <c r="AO125" s="727">
        <v>4000000.66</v>
      </c>
      <c r="AP125" s="727">
        <v>19750489.89</v>
      </c>
      <c r="AQ125">
        <v>-0.164</v>
      </c>
    </row>
    <row r="126" customHeight="1" spans="1:43">
      <c r="A126" s="717"/>
      <c r="B126" s="722"/>
      <c r="C126" s="722"/>
      <c r="D126" s="722"/>
      <c r="E126" s="722"/>
      <c r="F126" s="722"/>
      <c r="G126" s="722"/>
      <c r="H126" s="722"/>
      <c r="I126" s="722"/>
      <c r="J126" s="722"/>
      <c r="K126" s="722"/>
      <c r="L126" s="722"/>
      <c r="M126" s="667"/>
      <c r="N126" s="667"/>
      <c r="O126" s="678"/>
      <c r="P126" s="678"/>
      <c r="Q126" s="678"/>
      <c r="R126" s="644"/>
      <c r="S126" s="644"/>
      <c r="T126" s="644"/>
      <c r="U126" s="644"/>
      <c r="V126" s="644"/>
      <c r="W126" s="644"/>
      <c r="X126" s="644"/>
      <c r="Y126" s="644"/>
      <c r="Z126" s="644"/>
      <c r="AI126" t="s">
        <v>342</v>
      </c>
      <c r="AJ126" s="727">
        <v>9544076</v>
      </c>
      <c r="AK126" s="727">
        <v>7691013.86</v>
      </c>
      <c r="AL126" s="727">
        <v>1853062.14</v>
      </c>
      <c r="AM126" s="727">
        <v>687815.57</v>
      </c>
      <c r="AN126" s="727">
        <v>152320.05</v>
      </c>
      <c r="AO126" s="727">
        <v>4718756.75</v>
      </c>
      <c r="AP126" s="727">
        <v>20368775.29</v>
      </c>
      <c r="AQ126">
        <v>0.06</v>
      </c>
    </row>
    <row r="127" customHeight="1" spans="1:26">
      <c r="A127" s="717"/>
      <c r="B127" s="722"/>
      <c r="C127" s="722"/>
      <c r="D127" s="722"/>
      <c r="E127" s="722"/>
      <c r="F127" s="722"/>
      <c r="G127" s="722"/>
      <c r="H127" s="722"/>
      <c r="I127" s="722"/>
      <c r="J127" s="722"/>
      <c r="K127" s="722"/>
      <c r="L127" s="722"/>
      <c r="M127" s="667"/>
      <c r="N127" s="667"/>
      <c r="O127" s="678"/>
      <c r="P127" s="678"/>
      <c r="Q127" s="678"/>
      <c r="R127" s="644"/>
      <c r="S127" s="644"/>
      <c r="T127" s="644"/>
      <c r="U127" s="644"/>
      <c r="V127" s="644"/>
      <c r="W127" s="644"/>
      <c r="X127" s="644"/>
      <c r="Y127" s="644"/>
      <c r="Z127" s="644"/>
    </row>
    <row r="128" customHeight="1" spans="1:26">
      <c r="A128" s="717"/>
      <c r="B128" s="722"/>
      <c r="C128" s="722"/>
      <c r="D128" s="722"/>
      <c r="E128" s="722"/>
      <c r="F128" s="722"/>
      <c r="G128" s="722"/>
      <c r="H128" s="722"/>
      <c r="I128" s="722"/>
      <c r="J128" s="722"/>
      <c r="K128" s="722"/>
      <c r="L128" s="722"/>
      <c r="M128" s="667"/>
      <c r="N128" s="667"/>
      <c r="O128" s="678"/>
      <c r="P128" s="678"/>
      <c r="Q128" s="678"/>
      <c r="R128" s="644"/>
      <c r="S128" s="644"/>
      <c r="T128" s="644"/>
      <c r="U128" s="644"/>
      <c r="V128" s="644"/>
      <c r="W128" s="644"/>
      <c r="X128" s="644"/>
      <c r="Y128" s="644"/>
      <c r="Z128" s="644"/>
    </row>
    <row r="129" customHeight="1" spans="1:26">
      <c r="A129" s="717"/>
      <c r="B129" s="722"/>
      <c r="C129" s="722"/>
      <c r="D129" s="722"/>
      <c r="E129" s="722"/>
      <c r="F129" s="722"/>
      <c r="G129" s="722"/>
      <c r="H129" s="722"/>
      <c r="I129" s="722"/>
      <c r="J129" s="722"/>
      <c r="K129" s="722"/>
      <c r="L129" s="722"/>
      <c r="M129" s="667"/>
      <c r="N129" s="667"/>
      <c r="O129" s="678"/>
      <c r="P129" s="678"/>
      <c r="Q129" s="678"/>
      <c r="R129" s="644"/>
      <c r="S129" s="644"/>
      <c r="T129" s="644"/>
      <c r="U129" s="644"/>
      <c r="V129" s="644"/>
      <c r="W129" s="644"/>
      <c r="X129" s="644"/>
      <c r="Y129" s="644"/>
      <c r="Z129" s="644"/>
    </row>
    <row r="130" customHeight="1" spans="1:26">
      <c r="A130" s="717"/>
      <c r="B130" s="722"/>
      <c r="C130" s="722"/>
      <c r="D130" s="722"/>
      <c r="E130" s="722"/>
      <c r="F130" s="722"/>
      <c r="G130" s="722"/>
      <c r="H130" s="722"/>
      <c r="I130" s="722"/>
      <c r="J130" s="722"/>
      <c r="K130" s="722"/>
      <c r="L130" s="722"/>
      <c r="M130" s="667"/>
      <c r="N130" s="667"/>
      <c r="O130" s="678"/>
      <c r="P130" s="678"/>
      <c r="Q130" s="678"/>
      <c r="R130" s="644"/>
      <c r="S130" s="644"/>
      <c r="T130" s="644"/>
      <c r="U130" s="644"/>
      <c r="V130" s="644"/>
      <c r="W130" s="644"/>
      <c r="X130" s="644"/>
      <c r="Y130" s="644"/>
      <c r="Z130" s="644"/>
    </row>
    <row r="131" customHeight="1" spans="1:26">
      <c r="A131" s="717"/>
      <c r="B131" s="722"/>
      <c r="C131" s="722"/>
      <c r="D131" s="722"/>
      <c r="E131" s="722"/>
      <c r="F131" s="722"/>
      <c r="G131" s="722"/>
      <c r="H131" s="722"/>
      <c r="I131" s="722"/>
      <c r="J131" s="722"/>
      <c r="K131" s="722"/>
      <c r="L131" s="722"/>
      <c r="M131" s="667"/>
      <c r="N131" s="667"/>
      <c r="O131" s="678"/>
      <c r="P131" s="678"/>
      <c r="Q131" s="678"/>
      <c r="R131" s="644"/>
      <c r="S131" s="644"/>
      <c r="T131" s="644"/>
      <c r="U131" s="644"/>
      <c r="V131" s="644"/>
      <c r="W131" s="644"/>
      <c r="X131" s="644"/>
      <c r="Y131" s="644"/>
      <c r="Z131" s="644"/>
    </row>
    <row r="132" customHeight="1" spans="1:26">
      <c r="A132" s="717"/>
      <c r="B132" s="722"/>
      <c r="C132" s="722"/>
      <c r="D132" s="722"/>
      <c r="E132" s="722"/>
      <c r="F132" s="722"/>
      <c r="G132" s="722"/>
      <c r="H132" s="722"/>
      <c r="I132" s="722"/>
      <c r="J132" s="722"/>
      <c r="K132" s="722"/>
      <c r="L132" s="722"/>
      <c r="M132" s="667"/>
      <c r="N132" s="667"/>
      <c r="O132" s="678"/>
      <c r="P132" s="678"/>
      <c r="Q132" s="678"/>
      <c r="R132" s="644"/>
      <c r="S132" s="644"/>
      <c r="T132" s="644"/>
      <c r="U132" s="644"/>
      <c r="V132" s="644"/>
      <c r="W132" s="644"/>
      <c r="X132" s="644"/>
      <c r="Y132" s="644"/>
      <c r="Z132" s="644"/>
    </row>
    <row r="133" customHeight="1" spans="1:26">
      <c r="A133" s="717"/>
      <c r="B133" s="722"/>
      <c r="C133" s="722"/>
      <c r="D133" s="722"/>
      <c r="E133" s="722"/>
      <c r="F133" s="722"/>
      <c r="G133" s="722"/>
      <c r="H133" s="722"/>
      <c r="I133" s="722"/>
      <c r="J133" s="722"/>
      <c r="K133" s="722"/>
      <c r="L133" s="722"/>
      <c r="M133" s="667"/>
      <c r="N133" s="667"/>
      <c r="O133" s="678"/>
      <c r="P133" s="678"/>
      <c r="Q133" s="678"/>
      <c r="R133" s="644"/>
      <c r="S133" s="644"/>
      <c r="T133" s="644"/>
      <c r="U133" s="644"/>
      <c r="V133" s="644"/>
      <c r="W133" s="644"/>
      <c r="X133" s="644"/>
      <c r="Y133" s="644"/>
      <c r="Z133" s="644"/>
    </row>
    <row r="134" customHeight="1" spans="1:26">
      <c r="A134" s="717"/>
      <c r="B134" s="722"/>
      <c r="C134" s="722"/>
      <c r="D134" s="722"/>
      <c r="E134" s="722"/>
      <c r="F134" s="722"/>
      <c r="G134" s="722"/>
      <c r="H134" s="722"/>
      <c r="I134" s="722"/>
      <c r="J134" s="722"/>
      <c r="K134" s="722"/>
      <c r="L134" s="722"/>
      <c r="M134" s="667"/>
      <c r="N134" s="667"/>
      <c r="O134" s="678"/>
      <c r="P134" s="678"/>
      <c r="Q134" s="678"/>
      <c r="R134" s="644"/>
      <c r="S134" s="644"/>
      <c r="T134" s="644"/>
      <c r="U134" s="644"/>
      <c r="V134" s="644"/>
      <c r="W134" s="644"/>
      <c r="X134" s="644"/>
      <c r="Y134" s="644"/>
      <c r="Z134" s="644"/>
    </row>
    <row r="135" customHeight="1" spans="1:26">
      <c r="A135" s="717"/>
      <c r="B135" s="722"/>
      <c r="C135" s="722"/>
      <c r="D135" s="722"/>
      <c r="E135" s="722"/>
      <c r="F135" s="722"/>
      <c r="G135" s="722"/>
      <c r="H135" s="722"/>
      <c r="I135" s="722"/>
      <c r="J135" s="722"/>
      <c r="K135" s="722"/>
      <c r="L135" s="722"/>
      <c r="M135" s="667"/>
      <c r="N135" s="667"/>
      <c r="O135" s="678"/>
      <c r="P135" s="678"/>
      <c r="Q135" s="678"/>
      <c r="R135" s="644"/>
      <c r="S135" s="644"/>
      <c r="T135" s="644"/>
      <c r="U135" s="644"/>
      <c r="V135" s="644"/>
      <c r="W135" s="644"/>
      <c r="X135" s="644"/>
      <c r="Y135" s="644"/>
      <c r="Z135" s="644"/>
    </row>
    <row r="136" customHeight="1" spans="1:26">
      <c r="A136" s="717"/>
      <c r="B136" s="722"/>
      <c r="C136" s="722"/>
      <c r="D136" s="722"/>
      <c r="E136" s="722"/>
      <c r="F136" s="722"/>
      <c r="G136" s="722"/>
      <c r="H136" s="722"/>
      <c r="I136" s="722"/>
      <c r="J136" s="722"/>
      <c r="K136" s="722"/>
      <c r="L136" s="722"/>
      <c r="M136" s="667"/>
      <c r="N136" s="667"/>
      <c r="O136" s="678"/>
      <c r="P136" s="678"/>
      <c r="Q136" s="678"/>
      <c r="R136" s="644"/>
      <c r="S136" s="644"/>
      <c r="T136" s="644"/>
      <c r="U136" s="644"/>
      <c r="V136" s="644"/>
      <c r="W136" s="644"/>
      <c r="X136" s="644"/>
      <c r="Y136" s="644"/>
      <c r="Z136" s="644"/>
    </row>
    <row r="137" customHeight="1" spans="1:26">
      <c r="A137" s="717"/>
      <c r="B137" s="722"/>
      <c r="C137" s="722"/>
      <c r="D137" s="722"/>
      <c r="E137" s="722"/>
      <c r="F137" s="722"/>
      <c r="G137" s="722"/>
      <c r="H137" s="722"/>
      <c r="I137" s="722"/>
      <c r="J137" s="722"/>
      <c r="K137" s="722"/>
      <c r="L137" s="722"/>
      <c r="M137" s="667"/>
      <c r="N137" s="667"/>
      <c r="O137" s="678"/>
      <c r="P137" s="678"/>
      <c r="Q137" s="678"/>
      <c r="R137" s="644"/>
      <c r="S137" s="644"/>
      <c r="T137" s="644"/>
      <c r="U137" s="644"/>
      <c r="V137" s="644"/>
      <c r="W137" s="644"/>
      <c r="X137" s="644"/>
      <c r="Y137" s="644"/>
      <c r="Z137" s="644"/>
    </row>
    <row r="138" customHeight="1" spans="1:26">
      <c r="A138" s="717"/>
      <c r="B138" s="722"/>
      <c r="C138" s="722"/>
      <c r="D138" s="722"/>
      <c r="E138" s="722"/>
      <c r="F138" s="722"/>
      <c r="G138" s="722"/>
      <c r="H138" s="722"/>
      <c r="I138" s="722"/>
      <c r="J138" s="722"/>
      <c r="K138" s="722"/>
      <c r="L138" s="722"/>
      <c r="M138" s="667"/>
      <c r="N138" s="667"/>
      <c r="O138" s="678"/>
      <c r="P138" s="678"/>
      <c r="Q138" s="678"/>
      <c r="R138" s="644"/>
      <c r="S138" s="644"/>
      <c r="T138" s="644"/>
      <c r="U138" s="644"/>
      <c r="V138" s="644"/>
      <c r="W138" s="644"/>
      <c r="X138" s="644"/>
      <c r="Y138" s="644"/>
      <c r="Z138" s="644"/>
    </row>
    <row r="139" customHeight="1" spans="1:26">
      <c r="A139" s="717"/>
      <c r="B139" s="722"/>
      <c r="C139" s="722"/>
      <c r="D139" s="722"/>
      <c r="E139" s="722"/>
      <c r="F139" s="722"/>
      <c r="G139" s="722"/>
      <c r="H139" s="722"/>
      <c r="I139" s="722"/>
      <c r="J139" s="722"/>
      <c r="K139" s="722"/>
      <c r="L139" s="722"/>
      <c r="M139" s="667"/>
      <c r="N139" s="667"/>
      <c r="O139" s="678"/>
      <c r="P139" s="678"/>
      <c r="Q139" s="678"/>
      <c r="R139" s="644"/>
      <c r="S139" s="644"/>
      <c r="T139" s="644"/>
      <c r="U139" s="644"/>
      <c r="V139" s="644"/>
      <c r="W139" s="644"/>
      <c r="X139" s="644"/>
      <c r="Y139" s="644"/>
      <c r="Z139" s="644"/>
    </row>
    <row r="140" customHeight="1" spans="1:26">
      <c r="A140" s="717"/>
      <c r="B140" s="722"/>
      <c r="C140" s="722"/>
      <c r="D140" s="722"/>
      <c r="E140" s="722"/>
      <c r="F140" s="722"/>
      <c r="G140" s="722"/>
      <c r="H140" s="722"/>
      <c r="I140" s="722"/>
      <c r="J140" s="722"/>
      <c r="K140" s="722"/>
      <c r="L140" s="722"/>
      <c r="M140" s="667"/>
      <c r="N140" s="667"/>
      <c r="O140" s="678"/>
      <c r="P140" s="678"/>
      <c r="Q140" s="678"/>
      <c r="R140" s="644"/>
      <c r="S140" s="644"/>
      <c r="T140" s="644"/>
      <c r="U140" s="644"/>
      <c r="V140" s="644"/>
      <c r="W140" s="644"/>
      <c r="X140" s="644"/>
      <c r="Y140" s="644"/>
      <c r="Z140" s="644"/>
    </row>
    <row r="141" customHeight="1" spans="1:26">
      <c r="A141" s="719"/>
      <c r="B141" s="722"/>
      <c r="C141" s="722"/>
      <c r="D141" s="722"/>
      <c r="E141" s="722"/>
      <c r="F141" s="722"/>
      <c r="G141" s="722"/>
      <c r="H141" s="722"/>
      <c r="I141" s="722"/>
      <c r="J141" s="722"/>
      <c r="K141" s="722"/>
      <c r="L141" s="722"/>
      <c r="M141" s="667"/>
      <c r="N141" s="667"/>
      <c r="O141" s="678"/>
      <c r="P141" s="678"/>
      <c r="Q141" s="678"/>
      <c r="R141" s="644"/>
      <c r="S141" s="644"/>
      <c r="T141" s="644"/>
      <c r="U141" s="644"/>
      <c r="V141" s="644"/>
      <c r="W141" s="644"/>
      <c r="X141" s="644"/>
      <c r="Y141" s="644"/>
      <c r="Z141" s="644"/>
    </row>
    <row r="142" customHeight="1" spans="1:26">
      <c r="A142" s="719"/>
      <c r="B142" s="722"/>
      <c r="C142" s="722"/>
      <c r="D142" s="722"/>
      <c r="E142" s="722"/>
      <c r="F142" s="722"/>
      <c r="G142" s="722"/>
      <c r="H142" s="722"/>
      <c r="I142" s="722"/>
      <c r="J142" s="722"/>
      <c r="K142" s="722"/>
      <c r="L142" s="722"/>
      <c r="M142" s="667"/>
      <c r="N142" s="667"/>
      <c r="O142" s="678"/>
      <c r="P142" s="678"/>
      <c r="Q142" s="678"/>
      <c r="R142" s="644"/>
      <c r="S142" s="644"/>
      <c r="T142" s="644"/>
      <c r="U142" s="644"/>
      <c r="V142" s="644"/>
      <c r="W142" s="644"/>
      <c r="X142" s="644"/>
      <c r="Y142" s="644"/>
      <c r="Z142" s="644"/>
    </row>
    <row r="143" customHeight="1" spans="1:26">
      <c r="A143" s="678"/>
      <c r="B143" s="678"/>
      <c r="C143" s="678"/>
      <c r="D143" s="678"/>
      <c r="E143" s="678"/>
      <c r="F143" s="678"/>
      <c r="G143" s="678"/>
      <c r="H143" s="678"/>
      <c r="I143" s="678"/>
      <c r="J143" s="678"/>
      <c r="K143" s="678"/>
      <c r="L143" s="678"/>
      <c r="M143" s="678"/>
      <c r="N143" s="678"/>
      <c r="O143" s="678"/>
      <c r="P143" s="678"/>
      <c r="Q143" s="678"/>
      <c r="R143" s="644"/>
      <c r="S143" s="644"/>
      <c r="T143" s="644"/>
      <c r="U143" s="644"/>
      <c r="V143" s="644"/>
      <c r="W143" s="644"/>
      <c r="X143" s="644"/>
      <c r="Y143" s="644"/>
      <c r="Z143" s="644"/>
    </row>
    <row r="144" customHeight="1" spans="1:26">
      <c r="A144" s="678"/>
      <c r="B144" s="678"/>
      <c r="C144" s="678"/>
      <c r="D144" s="678"/>
      <c r="E144" s="678"/>
      <c r="F144" s="678"/>
      <c r="G144" s="678"/>
      <c r="H144" s="678"/>
      <c r="I144" s="678"/>
      <c r="J144" s="678"/>
      <c r="K144" s="678"/>
      <c r="L144" s="678"/>
      <c r="M144" s="678"/>
      <c r="N144" s="678"/>
      <c r="O144" s="678"/>
      <c r="P144" s="678"/>
      <c r="Q144" s="678"/>
      <c r="R144" s="644"/>
      <c r="S144" s="644"/>
      <c r="T144" s="644"/>
      <c r="U144" s="644"/>
      <c r="V144" s="644"/>
      <c r="W144" s="644"/>
      <c r="X144" s="644"/>
      <c r="Y144" s="644"/>
      <c r="Z144" s="644"/>
    </row>
    <row r="145" customHeight="1" spans="1:26">
      <c r="A145" s="728" t="s">
        <v>37</v>
      </c>
      <c r="B145" s="728" t="s">
        <v>358</v>
      </c>
      <c r="C145" s="728" t="s">
        <v>359</v>
      </c>
      <c r="D145" s="728" t="s">
        <v>482</v>
      </c>
      <c r="E145" s="728" t="s">
        <v>483</v>
      </c>
      <c r="F145" s="728" t="s">
        <v>484</v>
      </c>
      <c r="G145" s="728" t="s">
        <v>485</v>
      </c>
      <c r="H145" s="728" t="s">
        <v>486</v>
      </c>
      <c r="I145" s="728" t="s">
        <v>487</v>
      </c>
      <c r="J145" s="678"/>
      <c r="K145" s="678"/>
      <c r="L145" s="678"/>
      <c r="M145" s="678"/>
      <c r="N145" s="678"/>
      <c r="O145" s="678"/>
      <c r="P145" s="678"/>
      <c r="Q145" s="678"/>
      <c r="R145" s="644"/>
      <c r="S145" s="644"/>
      <c r="T145" s="644"/>
      <c r="U145" s="644"/>
      <c r="V145" s="644"/>
      <c r="W145" s="644"/>
      <c r="X145" s="644"/>
      <c r="Y145" s="644"/>
      <c r="Z145" s="644"/>
    </row>
    <row r="146" customHeight="1" spans="1:26">
      <c r="A146" s="717"/>
      <c r="B146" s="729"/>
      <c r="C146" s="729"/>
      <c r="D146" s="729"/>
      <c r="E146" s="729"/>
      <c r="F146" s="729"/>
      <c r="G146" s="729"/>
      <c r="H146" s="729"/>
      <c r="I146" s="735"/>
      <c r="J146" s="736"/>
      <c r="K146" s="736"/>
      <c r="L146" s="736"/>
      <c r="M146" s="736"/>
      <c r="N146" s="736"/>
      <c r="O146" s="678"/>
      <c r="P146" s="678"/>
      <c r="Q146" s="678"/>
      <c r="R146" s="644"/>
      <c r="S146" s="644"/>
      <c r="T146" s="644"/>
      <c r="U146" s="644"/>
      <c r="V146" s="644"/>
      <c r="W146" s="644"/>
      <c r="X146" s="644"/>
      <c r="Y146" s="644"/>
      <c r="Z146" s="644"/>
    </row>
    <row r="147" customHeight="1" spans="1:26">
      <c r="A147" s="717"/>
      <c r="B147" s="730"/>
      <c r="C147" s="730"/>
      <c r="D147" s="730"/>
      <c r="E147" s="730"/>
      <c r="F147" s="730"/>
      <c r="G147" s="730"/>
      <c r="H147" s="730"/>
      <c r="I147" s="722"/>
      <c r="J147" s="678"/>
      <c r="K147" s="678"/>
      <c r="L147" s="678"/>
      <c r="M147" s="678"/>
      <c r="N147" s="678"/>
      <c r="O147" s="678"/>
      <c r="P147" s="678"/>
      <c r="Q147" s="678"/>
      <c r="R147" s="644"/>
      <c r="S147" s="644"/>
      <c r="T147" s="644"/>
      <c r="U147" s="644"/>
      <c r="V147" s="644"/>
      <c r="W147" s="644"/>
      <c r="X147" s="644"/>
      <c r="Y147" s="644"/>
      <c r="Z147" s="644"/>
    </row>
    <row r="148" customHeight="1" spans="1:26">
      <c r="A148" s="717"/>
      <c r="B148" s="730"/>
      <c r="C148" s="730"/>
      <c r="D148" s="730"/>
      <c r="E148" s="730"/>
      <c r="F148" s="730"/>
      <c r="G148" s="730"/>
      <c r="H148" s="730"/>
      <c r="I148" s="722"/>
      <c r="J148" s="678"/>
      <c r="K148" s="678"/>
      <c r="L148" s="678"/>
      <c r="M148" s="678"/>
      <c r="N148" s="678"/>
      <c r="O148" s="678"/>
      <c r="P148" s="678"/>
      <c r="Q148" s="678"/>
      <c r="R148" s="644"/>
      <c r="S148" s="644"/>
      <c r="T148" s="644"/>
      <c r="U148" s="644"/>
      <c r="V148" s="644"/>
      <c r="W148" s="644"/>
      <c r="X148" s="644"/>
      <c r="Y148" s="644"/>
      <c r="Z148" s="644"/>
    </row>
    <row r="149" customHeight="1" spans="1:26">
      <c r="A149" s="717"/>
      <c r="B149" s="730"/>
      <c r="C149" s="730"/>
      <c r="D149" s="730"/>
      <c r="E149" s="730"/>
      <c r="F149" s="730"/>
      <c r="G149" s="730"/>
      <c r="H149" s="730"/>
      <c r="I149" s="722"/>
      <c r="J149" s="678"/>
      <c r="K149" s="678"/>
      <c r="L149" s="678"/>
      <c r="M149" s="678"/>
      <c r="N149" s="678"/>
      <c r="O149" s="678"/>
      <c r="P149" s="678"/>
      <c r="Q149" s="678"/>
      <c r="R149" s="644"/>
      <c r="S149" s="644"/>
      <c r="T149" s="644"/>
      <c r="U149" s="644"/>
      <c r="V149" s="644"/>
      <c r="W149" s="644"/>
      <c r="X149" s="644"/>
      <c r="Y149" s="644"/>
      <c r="Z149" s="644"/>
    </row>
    <row r="150" customHeight="1" spans="1:26">
      <c r="A150" s="717"/>
      <c r="B150" s="730"/>
      <c r="C150" s="730"/>
      <c r="D150" s="730"/>
      <c r="E150" s="730"/>
      <c r="F150" s="730"/>
      <c r="G150" s="730"/>
      <c r="H150" s="730"/>
      <c r="I150" s="722"/>
      <c r="J150" s="678"/>
      <c r="K150" s="678"/>
      <c r="L150" s="678"/>
      <c r="M150" s="678"/>
      <c r="N150" s="678"/>
      <c r="O150" s="678"/>
      <c r="P150" s="678"/>
      <c r="Q150" s="678"/>
      <c r="R150" s="644"/>
      <c r="S150" s="644"/>
      <c r="T150" s="644"/>
      <c r="U150" s="644"/>
      <c r="V150" s="644"/>
      <c r="W150" s="644"/>
      <c r="X150" s="644"/>
      <c r="Y150" s="644"/>
      <c r="Z150" s="644"/>
    </row>
    <row r="151" customHeight="1" spans="1:26">
      <c r="A151" s="717"/>
      <c r="B151" s="730"/>
      <c r="C151" s="730"/>
      <c r="D151" s="730"/>
      <c r="E151" s="730"/>
      <c r="F151" s="730"/>
      <c r="G151" s="730"/>
      <c r="H151" s="730"/>
      <c r="I151" s="722"/>
      <c r="J151" s="678"/>
      <c r="K151" s="678"/>
      <c r="L151" s="678"/>
      <c r="M151" s="678"/>
      <c r="N151" s="678"/>
      <c r="O151" s="678"/>
      <c r="P151" s="678"/>
      <c r="Q151" s="678"/>
      <c r="R151" s="644"/>
      <c r="S151" s="644"/>
      <c r="T151" s="644"/>
      <c r="U151" s="644"/>
      <c r="V151" s="644"/>
      <c r="W151" s="644"/>
      <c r="X151" s="644"/>
      <c r="Y151" s="644"/>
      <c r="Z151" s="644"/>
    </row>
    <row r="152" customHeight="1" spans="1:26">
      <c r="A152" s="717"/>
      <c r="B152" s="730"/>
      <c r="C152" s="730"/>
      <c r="D152" s="730"/>
      <c r="E152" s="730"/>
      <c r="F152" s="730"/>
      <c r="G152" s="730"/>
      <c r="H152" s="730"/>
      <c r="I152" s="722"/>
      <c r="J152" s="678"/>
      <c r="K152" s="678"/>
      <c r="L152" s="678"/>
      <c r="M152" s="678"/>
      <c r="N152" s="678"/>
      <c r="O152" s="678"/>
      <c r="P152" s="678"/>
      <c r="Q152" s="678"/>
      <c r="R152" s="644"/>
      <c r="S152" s="644"/>
      <c r="T152" s="644"/>
      <c r="U152" s="644"/>
      <c r="V152" s="644"/>
      <c r="W152" s="644"/>
      <c r="X152" s="644"/>
      <c r="Y152" s="644"/>
      <c r="Z152" s="644"/>
    </row>
    <row r="153" customHeight="1" spans="1:26">
      <c r="A153" s="717"/>
      <c r="B153" s="730"/>
      <c r="C153" s="730"/>
      <c r="D153" s="730"/>
      <c r="E153" s="730"/>
      <c r="F153" s="730"/>
      <c r="G153" s="730"/>
      <c r="H153" s="730"/>
      <c r="I153" s="722"/>
      <c r="J153" s="678"/>
      <c r="K153" s="678"/>
      <c r="L153" s="678"/>
      <c r="M153" s="678"/>
      <c r="N153" s="678"/>
      <c r="O153" s="678"/>
      <c r="P153" s="678"/>
      <c r="Q153" s="678"/>
      <c r="R153" s="644"/>
      <c r="S153" s="644"/>
      <c r="T153" s="644"/>
      <c r="U153" s="644"/>
      <c r="V153" s="644"/>
      <c r="W153" s="644"/>
      <c r="X153" s="644"/>
      <c r="Y153" s="644"/>
      <c r="Z153" s="644"/>
    </row>
    <row r="154" customHeight="1" spans="1:26">
      <c r="A154" s="717"/>
      <c r="B154" s="730"/>
      <c r="C154" s="730"/>
      <c r="D154" s="730"/>
      <c r="E154" s="730"/>
      <c r="F154" s="730"/>
      <c r="G154" s="730"/>
      <c r="H154" s="730"/>
      <c r="I154" s="722"/>
      <c r="J154" s="678"/>
      <c r="K154" s="678"/>
      <c r="L154" s="678"/>
      <c r="M154" s="678"/>
      <c r="N154" s="678"/>
      <c r="O154" s="678"/>
      <c r="P154" s="678"/>
      <c r="Q154" s="678"/>
      <c r="R154" s="644"/>
      <c r="S154" s="644"/>
      <c r="T154" s="644"/>
      <c r="U154" s="644"/>
      <c r="V154" s="644"/>
      <c r="W154" s="644"/>
      <c r="X154" s="644"/>
      <c r="Y154" s="644"/>
      <c r="Z154" s="644"/>
    </row>
    <row r="155" customHeight="1" spans="1:26">
      <c r="A155" s="717"/>
      <c r="B155" s="730"/>
      <c r="C155" s="730"/>
      <c r="D155" s="730"/>
      <c r="E155" s="730"/>
      <c r="F155" s="730"/>
      <c r="G155" s="730"/>
      <c r="H155" s="730"/>
      <c r="I155" s="722"/>
      <c r="J155" s="678"/>
      <c r="K155" s="678"/>
      <c r="L155" s="678"/>
      <c r="M155" s="678"/>
      <c r="N155" s="678"/>
      <c r="O155" s="678"/>
      <c r="P155" s="678"/>
      <c r="Q155" s="678"/>
      <c r="R155" s="644"/>
      <c r="S155" s="644"/>
      <c r="T155" s="644"/>
      <c r="U155" s="644"/>
      <c r="V155" s="644"/>
      <c r="W155" s="644"/>
      <c r="X155" s="644"/>
      <c r="Y155" s="644"/>
      <c r="Z155" s="644"/>
    </row>
    <row r="156" customHeight="1" spans="1:26">
      <c r="A156" s="717"/>
      <c r="B156" s="730"/>
      <c r="C156" s="730"/>
      <c r="D156" s="730"/>
      <c r="E156" s="730"/>
      <c r="F156" s="730"/>
      <c r="G156" s="730"/>
      <c r="H156" s="730"/>
      <c r="I156" s="722"/>
      <c r="J156" s="678"/>
      <c r="K156" s="678"/>
      <c r="L156" s="678"/>
      <c r="M156" s="678"/>
      <c r="N156" s="678"/>
      <c r="O156" s="678"/>
      <c r="P156" s="678"/>
      <c r="Q156" s="678"/>
      <c r="R156" s="644"/>
      <c r="S156" s="644"/>
      <c r="T156" s="644"/>
      <c r="U156" s="644"/>
      <c r="V156" s="644"/>
      <c r="W156" s="644"/>
      <c r="X156" s="644"/>
      <c r="Y156" s="644"/>
      <c r="Z156" s="644"/>
    </row>
    <row r="157" customHeight="1" spans="1:26">
      <c r="A157" s="717"/>
      <c r="B157" s="730"/>
      <c r="C157" s="730"/>
      <c r="D157" s="730"/>
      <c r="E157" s="730"/>
      <c r="F157" s="730"/>
      <c r="G157" s="730"/>
      <c r="H157" s="730"/>
      <c r="I157" s="722"/>
      <c r="J157" s="678"/>
      <c r="K157" s="678"/>
      <c r="L157" s="678"/>
      <c r="M157" s="678"/>
      <c r="N157" s="678"/>
      <c r="O157" s="678"/>
      <c r="P157" s="678"/>
      <c r="Q157" s="678"/>
      <c r="R157" s="644"/>
      <c r="S157" s="644"/>
      <c r="T157" s="644"/>
      <c r="U157" s="644"/>
      <c r="V157" s="644"/>
      <c r="W157" s="644"/>
      <c r="X157" s="644"/>
      <c r="Y157" s="644"/>
      <c r="Z157" s="644"/>
    </row>
    <row r="158" customHeight="1" spans="1:26">
      <c r="A158" s="717"/>
      <c r="B158" s="730"/>
      <c r="C158" s="730"/>
      <c r="D158" s="730"/>
      <c r="E158" s="730"/>
      <c r="F158" s="730"/>
      <c r="G158" s="730"/>
      <c r="H158" s="730"/>
      <c r="I158" s="722"/>
      <c r="J158" s="678"/>
      <c r="K158" s="678"/>
      <c r="L158" s="678"/>
      <c r="M158" s="678"/>
      <c r="N158" s="678"/>
      <c r="O158" s="678"/>
      <c r="P158" s="678"/>
      <c r="Q158" s="678"/>
      <c r="R158" s="644"/>
      <c r="S158" s="644"/>
      <c r="T158" s="644"/>
      <c r="U158" s="644"/>
      <c r="V158" s="644"/>
      <c r="W158" s="644"/>
      <c r="X158" s="644"/>
      <c r="Y158" s="644"/>
      <c r="Z158" s="644"/>
    </row>
    <row r="159" customHeight="1" spans="1:26">
      <c r="A159" s="717"/>
      <c r="B159" s="730"/>
      <c r="C159" s="730"/>
      <c r="D159" s="730"/>
      <c r="E159" s="730"/>
      <c r="F159" s="730"/>
      <c r="G159" s="730"/>
      <c r="H159" s="730"/>
      <c r="I159" s="722"/>
      <c r="J159" s="678"/>
      <c r="K159" s="678"/>
      <c r="L159" s="678"/>
      <c r="M159" s="678"/>
      <c r="N159" s="678"/>
      <c r="O159" s="678"/>
      <c r="P159" s="678"/>
      <c r="Q159" s="678"/>
      <c r="R159" s="644"/>
      <c r="S159" s="644"/>
      <c r="T159" s="644"/>
      <c r="U159" s="644"/>
      <c r="V159" s="644"/>
      <c r="W159" s="644"/>
      <c r="X159" s="644"/>
      <c r="Y159" s="644"/>
      <c r="Z159" s="644"/>
    </row>
    <row r="160" customHeight="1" spans="1:26">
      <c r="A160" s="717"/>
      <c r="B160" s="730"/>
      <c r="C160" s="730"/>
      <c r="D160" s="730"/>
      <c r="E160" s="730"/>
      <c r="F160" s="730"/>
      <c r="G160" s="730"/>
      <c r="H160" s="730"/>
      <c r="I160" s="722"/>
      <c r="J160" s="678"/>
      <c r="K160" s="678"/>
      <c r="L160" s="678"/>
      <c r="M160" s="678"/>
      <c r="N160" s="678"/>
      <c r="O160" s="678"/>
      <c r="P160" s="678"/>
      <c r="Q160" s="678"/>
      <c r="R160" s="644"/>
      <c r="S160" s="644"/>
      <c r="T160" s="644"/>
      <c r="U160" s="644"/>
      <c r="V160" s="644"/>
      <c r="W160" s="644"/>
      <c r="X160" s="644"/>
      <c r="Y160" s="644"/>
      <c r="Z160" s="644"/>
    </row>
    <row r="161" customHeight="1" spans="1:26">
      <c r="A161" s="717"/>
      <c r="B161" s="730"/>
      <c r="C161" s="730"/>
      <c r="D161" s="730"/>
      <c r="E161" s="730"/>
      <c r="F161" s="730"/>
      <c r="G161" s="730"/>
      <c r="H161" s="730"/>
      <c r="I161" s="722"/>
      <c r="J161" s="678"/>
      <c r="K161" s="678"/>
      <c r="L161" s="678"/>
      <c r="M161" s="678"/>
      <c r="N161" s="678"/>
      <c r="O161" s="678"/>
      <c r="P161" s="678"/>
      <c r="Q161" s="678"/>
      <c r="R161" s="644"/>
      <c r="S161" s="644"/>
      <c r="T161" s="644"/>
      <c r="U161" s="644"/>
      <c r="V161" s="644"/>
      <c r="W161" s="644"/>
      <c r="X161" s="644"/>
      <c r="Y161" s="644"/>
      <c r="Z161" s="644"/>
    </row>
    <row r="162" customHeight="1" spans="1:26">
      <c r="A162" s="717"/>
      <c r="B162" s="730"/>
      <c r="C162" s="730"/>
      <c r="D162" s="730"/>
      <c r="E162" s="730"/>
      <c r="F162" s="730"/>
      <c r="G162" s="730"/>
      <c r="H162" s="730"/>
      <c r="I162" s="722"/>
      <c r="J162" s="678"/>
      <c r="K162" s="678"/>
      <c r="L162" s="678"/>
      <c r="M162" s="678"/>
      <c r="N162" s="678"/>
      <c r="O162" s="678"/>
      <c r="P162" s="678"/>
      <c r="Q162" s="678"/>
      <c r="R162" s="644"/>
      <c r="S162" s="644"/>
      <c r="T162" s="644"/>
      <c r="U162" s="644"/>
      <c r="V162" s="644"/>
      <c r="W162" s="644"/>
      <c r="X162" s="644"/>
      <c r="Y162" s="644"/>
      <c r="Z162" s="644"/>
    </row>
    <row r="163" customHeight="1" spans="1:26">
      <c r="A163" s="717"/>
      <c r="B163" s="730"/>
      <c r="C163" s="730"/>
      <c r="D163" s="730"/>
      <c r="E163" s="730"/>
      <c r="F163" s="730"/>
      <c r="G163" s="730"/>
      <c r="H163" s="730"/>
      <c r="I163" s="722"/>
      <c r="J163" s="678"/>
      <c r="K163" s="678"/>
      <c r="L163" s="678"/>
      <c r="M163" s="678"/>
      <c r="N163" s="678"/>
      <c r="O163" s="678"/>
      <c r="P163" s="678"/>
      <c r="Q163" s="678"/>
      <c r="R163" s="644"/>
      <c r="S163" s="644"/>
      <c r="T163" s="644"/>
      <c r="U163" s="644"/>
      <c r="V163" s="644"/>
      <c r="W163" s="644"/>
      <c r="X163" s="644"/>
      <c r="Y163" s="644"/>
      <c r="Z163" s="644"/>
    </row>
    <row r="164" customHeight="1" spans="1:26">
      <c r="A164" s="717"/>
      <c r="B164" s="730"/>
      <c r="C164" s="730"/>
      <c r="D164" s="730"/>
      <c r="E164" s="730"/>
      <c r="F164" s="730"/>
      <c r="G164" s="730"/>
      <c r="H164" s="730"/>
      <c r="I164" s="722"/>
      <c r="J164" s="678"/>
      <c r="K164" s="678"/>
      <c r="L164" s="678"/>
      <c r="M164" s="678"/>
      <c r="N164" s="678"/>
      <c r="O164" s="678"/>
      <c r="P164" s="678"/>
      <c r="Q164" s="678"/>
      <c r="R164" s="644"/>
      <c r="S164" s="644"/>
      <c r="T164" s="644"/>
      <c r="U164" s="644"/>
      <c r="V164" s="644"/>
      <c r="W164" s="644"/>
      <c r="X164" s="644"/>
      <c r="Y164" s="644"/>
      <c r="Z164" s="644"/>
    </row>
    <row r="165" customHeight="1" spans="1:26">
      <c r="A165" s="719"/>
      <c r="B165" s="730"/>
      <c r="C165" s="730"/>
      <c r="D165" s="730"/>
      <c r="E165" s="730"/>
      <c r="F165" s="730"/>
      <c r="G165" s="730"/>
      <c r="H165" s="730"/>
      <c r="I165" s="722"/>
      <c r="J165" s="678"/>
      <c r="K165" s="678"/>
      <c r="L165" s="678"/>
      <c r="M165" s="678"/>
      <c r="N165" s="678"/>
      <c r="O165" s="678"/>
      <c r="P165" s="678"/>
      <c r="Q165" s="678"/>
      <c r="R165" s="644"/>
      <c r="S165" s="644"/>
      <c r="T165" s="644"/>
      <c r="U165" s="644"/>
      <c r="V165" s="644"/>
      <c r="W165" s="644"/>
      <c r="X165" s="644"/>
      <c r="Y165" s="644"/>
      <c r="Z165" s="644"/>
    </row>
    <row r="167" customHeight="1" spans="1:17">
      <c r="A167" s="731"/>
      <c r="B167" s="731"/>
      <c r="C167" s="731"/>
      <c r="D167" s="731"/>
      <c r="E167" s="731"/>
      <c r="L167" s="737"/>
      <c r="M167" s="737"/>
      <c r="N167" s="737"/>
      <c r="O167" s="737"/>
      <c r="P167" s="737"/>
      <c r="Q167" s="737"/>
    </row>
    <row r="168" customHeight="1" spans="1:17">
      <c r="A168" s="732"/>
      <c r="B168" s="732"/>
      <c r="C168" s="732"/>
      <c r="D168" s="732"/>
      <c r="E168" s="733"/>
      <c r="L168" s="737"/>
      <c r="M168" s="737"/>
      <c r="N168" s="737"/>
      <c r="O168" s="737"/>
      <c r="P168" s="737"/>
      <c r="Q168" s="737"/>
    </row>
    <row r="169" customHeight="1" spans="1:17">
      <c r="A169" s="732"/>
      <c r="B169" s="734"/>
      <c r="C169" s="734"/>
      <c r="D169" s="734"/>
      <c r="E169" s="733"/>
      <c r="L169" s="737"/>
      <c r="M169" s="737"/>
      <c r="N169" s="737"/>
      <c r="O169" s="737"/>
      <c r="P169" s="737"/>
      <c r="Q169" s="737"/>
    </row>
    <row r="170" customHeight="1" spans="1:17">
      <c r="A170" s="732"/>
      <c r="B170" s="734"/>
      <c r="C170" s="734"/>
      <c r="D170" s="734"/>
      <c r="E170" s="733"/>
      <c r="L170" s="737"/>
      <c r="M170" s="737"/>
      <c r="N170" s="737"/>
      <c r="O170" s="737"/>
      <c r="P170" s="737"/>
      <c r="Q170" s="737"/>
    </row>
    <row r="171" customHeight="1" spans="1:17">
      <c r="A171" s="732"/>
      <c r="B171" s="733"/>
      <c r="C171" s="734"/>
      <c r="D171" s="734"/>
      <c r="E171" s="733"/>
      <c r="L171" s="737"/>
      <c r="M171" s="737"/>
      <c r="N171" s="737"/>
      <c r="O171" s="737"/>
      <c r="P171" s="737"/>
      <c r="Q171" s="737"/>
    </row>
    <row r="172" customHeight="1" spans="1:17">
      <c r="A172" s="732"/>
      <c r="B172" s="733"/>
      <c r="C172" s="734"/>
      <c r="D172" s="733"/>
      <c r="E172" s="733"/>
      <c r="L172" s="737"/>
      <c r="M172" s="737"/>
      <c r="N172" s="737"/>
      <c r="O172" s="737"/>
      <c r="P172" s="737"/>
      <c r="Q172" s="737"/>
    </row>
    <row r="173" customHeight="1" spans="1:17">
      <c r="A173" s="732"/>
      <c r="B173" s="733"/>
      <c r="C173" s="734"/>
      <c r="D173" s="733"/>
      <c r="E173" s="733"/>
      <c r="L173" s="737"/>
      <c r="M173" s="737"/>
      <c r="N173" s="737"/>
      <c r="O173" s="737"/>
      <c r="P173" s="737"/>
      <c r="Q173" s="737"/>
    </row>
    <row r="174" customHeight="1" spans="1:17">
      <c r="A174" s="732"/>
      <c r="B174" s="733"/>
      <c r="C174" s="734"/>
      <c r="D174" s="733"/>
      <c r="E174" s="733"/>
      <c r="L174" s="737"/>
      <c r="M174" s="737"/>
      <c r="N174" s="737"/>
      <c r="O174" s="737"/>
      <c r="P174" s="737"/>
      <c r="Q174" s="737"/>
    </row>
    <row r="175" customHeight="1" spans="1:17">
      <c r="A175" s="732"/>
      <c r="B175" s="733"/>
      <c r="C175" s="734"/>
      <c r="D175" s="733"/>
      <c r="E175" s="733"/>
      <c r="L175" s="737"/>
      <c r="M175" s="737"/>
      <c r="N175" s="737"/>
      <c r="O175" s="737"/>
      <c r="P175" s="737"/>
      <c r="Q175" s="737"/>
    </row>
    <row r="176" customHeight="1" spans="1:17">
      <c r="A176" s="732"/>
      <c r="B176" s="733"/>
      <c r="C176" s="734"/>
      <c r="D176" s="733"/>
      <c r="E176" s="733"/>
      <c r="L176" s="737"/>
      <c r="M176" s="737"/>
      <c r="N176" s="737"/>
      <c r="O176" s="737"/>
      <c r="P176" s="737"/>
      <c r="Q176" s="737"/>
    </row>
    <row r="177" customHeight="1" spans="1:17">
      <c r="A177" s="732"/>
      <c r="B177" s="734"/>
      <c r="C177" s="734"/>
      <c r="D177" s="734"/>
      <c r="E177" s="733"/>
      <c r="L177" s="737"/>
      <c r="M177" s="737"/>
      <c r="N177" s="737"/>
      <c r="O177" s="737"/>
      <c r="P177" s="737"/>
      <c r="Q177" s="737"/>
    </row>
    <row r="178" customHeight="1" spans="1:5">
      <c r="A178" s="732"/>
      <c r="B178" s="734"/>
      <c r="C178" s="734"/>
      <c r="D178" s="734"/>
      <c r="E178" s="733"/>
    </row>
    <row r="179" customHeight="1" spans="1:5">
      <c r="A179" s="732"/>
      <c r="B179" s="734"/>
      <c r="C179" s="734"/>
      <c r="D179" s="733"/>
      <c r="E179" s="734"/>
    </row>
    <row r="180" customHeight="1" spans="1:5">
      <c r="A180" s="732"/>
      <c r="B180" s="733"/>
      <c r="C180" s="734"/>
      <c r="D180" s="734"/>
      <c r="E180" s="733"/>
    </row>
    <row r="181" customHeight="1" spans="1:5">
      <c r="A181" s="732"/>
      <c r="B181" s="734"/>
      <c r="C181" s="734"/>
      <c r="D181" s="734"/>
      <c r="E181" s="733"/>
    </row>
    <row r="182" customHeight="1" spans="1:5">
      <c r="A182" s="732"/>
      <c r="B182" s="733"/>
      <c r="C182" s="734"/>
      <c r="D182" s="733"/>
      <c r="E182" s="733"/>
    </row>
    <row r="183" customHeight="1" spans="1:5">
      <c r="A183" s="732"/>
      <c r="B183" s="733"/>
      <c r="C183" s="734"/>
      <c r="D183" s="733"/>
      <c r="E183" s="733"/>
    </row>
    <row r="184" customHeight="1" spans="1:5">
      <c r="A184" s="732"/>
      <c r="B184" s="733"/>
      <c r="C184" s="734"/>
      <c r="D184" s="733"/>
      <c r="E184" s="733"/>
    </row>
    <row r="185" customHeight="1" spans="1:5">
      <c r="A185" s="732"/>
      <c r="B185" s="733"/>
      <c r="C185" s="734"/>
      <c r="D185" s="733"/>
      <c r="E185" s="734"/>
    </row>
    <row r="186" customHeight="1" spans="1:5">
      <c r="A186" s="732"/>
      <c r="B186" s="733"/>
      <c r="C186" s="734"/>
      <c r="D186" s="733"/>
      <c r="E186" s="733"/>
    </row>
    <row r="187" customHeight="1" spans="1:5">
      <c r="A187" s="732"/>
      <c r="B187" s="733"/>
      <c r="C187" s="734"/>
      <c r="D187" s="733"/>
      <c r="E187" s="733"/>
    </row>
    <row r="188" customHeight="1" spans="1:5">
      <c r="A188" s="732"/>
      <c r="B188" s="733"/>
      <c r="C188" s="734"/>
      <c r="D188" s="733"/>
      <c r="E188" s="733"/>
    </row>
    <row r="189" customHeight="1" spans="1:5">
      <c r="A189" s="732"/>
      <c r="B189" s="733"/>
      <c r="C189" s="733"/>
      <c r="D189" s="734"/>
      <c r="E189" s="733"/>
    </row>
    <row r="190" customHeight="1" spans="1:5">
      <c r="A190" s="732"/>
      <c r="B190" s="733"/>
      <c r="C190" s="734"/>
      <c r="D190" s="733"/>
      <c r="E190" s="733"/>
    </row>
    <row r="191" customHeight="1" spans="1:5">
      <c r="A191" s="732"/>
      <c r="B191" s="733"/>
      <c r="C191" s="734"/>
      <c r="D191" s="733"/>
      <c r="E191" s="734"/>
    </row>
    <row r="192" customHeight="1" spans="1:5">
      <c r="A192" s="732"/>
      <c r="B192" s="734"/>
      <c r="C192" s="734"/>
      <c r="D192" s="733"/>
      <c r="E192" s="734"/>
    </row>
    <row r="193" customHeight="1" spans="1:5">
      <c r="A193" s="732"/>
      <c r="B193" s="733"/>
      <c r="C193" s="734"/>
      <c r="D193" s="733"/>
      <c r="E193" s="733"/>
    </row>
    <row r="194" customHeight="1" spans="1:5">
      <c r="A194" s="732"/>
      <c r="B194" s="733"/>
      <c r="C194" s="734"/>
      <c r="D194" s="733"/>
      <c r="E194" s="733"/>
    </row>
    <row r="195" customHeight="1" spans="1:5">
      <c r="A195" s="732"/>
      <c r="B195" s="734"/>
      <c r="C195" s="734"/>
      <c r="D195" s="734"/>
      <c r="E195" s="733"/>
    </row>
    <row r="196" customHeight="1" spans="1:5">
      <c r="A196" s="732"/>
      <c r="B196" s="734"/>
      <c r="C196" s="733"/>
      <c r="D196" s="734"/>
      <c r="E196" s="733"/>
    </row>
    <row r="197" customHeight="1" spans="1:5">
      <c r="A197" s="732"/>
      <c r="B197" s="734"/>
      <c r="C197" s="734"/>
      <c r="D197" s="734"/>
      <c r="E197" s="733"/>
    </row>
    <row r="198" customHeight="1" spans="1:5">
      <c r="A198" s="732"/>
      <c r="B198" s="734"/>
      <c r="C198" s="734"/>
      <c r="D198" s="733"/>
      <c r="E198" s="733"/>
    </row>
    <row r="199" customHeight="1" spans="1:5">
      <c r="A199" s="732"/>
      <c r="B199" s="734"/>
      <c r="C199" s="734"/>
      <c r="D199" s="734"/>
      <c r="E199" s="733"/>
    </row>
    <row r="200" customHeight="1" spans="1:5">
      <c r="A200" s="732"/>
      <c r="B200" s="734"/>
      <c r="C200" s="734"/>
      <c r="D200" s="733"/>
      <c r="E200" s="733"/>
    </row>
    <row r="201" customHeight="1" spans="1:5">
      <c r="A201" s="732"/>
      <c r="B201" s="733"/>
      <c r="C201" s="734"/>
      <c r="D201" s="734"/>
      <c r="E201" s="733"/>
    </row>
    <row r="202" customHeight="1" spans="1:5">
      <c r="A202" s="732"/>
      <c r="B202" s="734"/>
      <c r="C202" s="734"/>
      <c r="D202" s="734"/>
      <c r="E202" s="733"/>
    </row>
    <row r="203" customHeight="1" spans="1:5">
      <c r="A203" s="732"/>
      <c r="B203" s="734"/>
      <c r="C203" s="734"/>
      <c r="D203" s="734"/>
      <c r="E203" s="733"/>
    </row>
    <row r="204" customHeight="1" spans="1:5">
      <c r="A204" s="732"/>
      <c r="B204" s="734"/>
      <c r="C204" s="734"/>
      <c r="D204" s="734"/>
      <c r="E204" s="733"/>
    </row>
    <row r="205" customHeight="1" spans="1:4">
      <c r="A205" s="731"/>
      <c r="B205" s="731"/>
      <c r="C205" s="731"/>
      <c r="D205" s="731"/>
    </row>
    <row r="206" customHeight="1" spans="1:4">
      <c r="A206" s="732"/>
      <c r="B206" s="738"/>
      <c r="C206" s="733"/>
      <c r="D206" s="733"/>
    </row>
    <row r="207" customHeight="1" spans="1:4">
      <c r="A207" s="732"/>
      <c r="B207" s="738"/>
      <c r="C207" s="734"/>
      <c r="D207" s="733"/>
    </row>
    <row r="208" customHeight="1" spans="1:4">
      <c r="A208" s="732"/>
      <c r="B208" s="738"/>
      <c r="C208" s="733"/>
      <c r="D208" s="733"/>
    </row>
    <row r="209" customHeight="1" spans="1:4">
      <c r="A209" s="732"/>
      <c r="B209" s="738"/>
      <c r="C209" s="733"/>
      <c r="D209" s="733"/>
    </row>
    <row r="210" customHeight="1" spans="1:4">
      <c r="A210" s="732"/>
      <c r="B210" s="738"/>
      <c r="C210" s="733"/>
      <c r="D210" s="733"/>
    </row>
    <row r="211" customHeight="1" spans="1:4">
      <c r="A211" s="732"/>
      <c r="B211" s="738"/>
      <c r="C211" s="734"/>
      <c r="D211" s="733"/>
    </row>
    <row r="212" customHeight="1" spans="1:4">
      <c r="A212" s="732"/>
      <c r="B212" s="738"/>
      <c r="C212" s="734"/>
      <c r="D212" s="733"/>
    </row>
    <row r="213" customHeight="1" spans="1:4">
      <c r="A213" s="732"/>
      <c r="B213" s="738"/>
      <c r="C213" s="734"/>
      <c r="D213" s="733"/>
    </row>
    <row r="214" customHeight="1" spans="1:4">
      <c r="A214" s="732"/>
      <c r="B214" s="738"/>
      <c r="C214" s="733"/>
      <c r="D214" s="733"/>
    </row>
    <row r="215" customHeight="1" spans="1:4">
      <c r="A215" s="732"/>
      <c r="B215" s="738"/>
      <c r="C215" s="733"/>
      <c r="D215" s="733"/>
    </row>
    <row r="216" customHeight="1" spans="1:4">
      <c r="A216" s="732"/>
      <c r="B216" s="738"/>
      <c r="C216" s="733"/>
      <c r="D216" s="733"/>
    </row>
    <row r="217" customHeight="1" spans="1:4">
      <c r="A217" s="732"/>
      <c r="B217" s="738"/>
      <c r="C217" s="734"/>
      <c r="D217" s="733"/>
    </row>
    <row r="218" customHeight="1" spans="1:4">
      <c r="A218" s="738"/>
      <c r="B218" s="733"/>
      <c r="C218" s="733"/>
      <c r="D218" s="733"/>
    </row>
    <row r="219" customHeight="1" spans="1:9">
      <c r="A219" s="731"/>
      <c r="B219" s="731"/>
      <c r="C219" s="731"/>
      <c r="D219" s="731"/>
      <c r="E219" s="731"/>
      <c r="F219" s="731"/>
      <c r="G219" s="731"/>
      <c r="H219" s="731"/>
      <c r="I219" s="731"/>
    </row>
    <row r="220" customHeight="1" spans="1:9">
      <c r="A220" s="738"/>
      <c r="B220" s="738"/>
      <c r="C220" s="734"/>
      <c r="D220" s="734"/>
      <c r="E220" s="734"/>
      <c r="F220" s="739"/>
      <c r="G220" s="734"/>
      <c r="H220" s="734"/>
      <c r="I220" s="734"/>
    </row>
    <row r="221" customHeight="1" spans="1:9">
      <c r="A221" s="738"/>
      <c r="B221" s="738"/>
      <c r="C221" s="734"/>
      <c r="D221" s="734"/>
      <c r="E221" s="734"/>
      <c r="F221" s="739"/>
      <c r="G221" s="734"/>
      <c r="H221" s="734"/>
      <c r="I221" s="734"/>
    </row>
    <row r="222" customHeight="1" spans="1:9">
      <c r="A222" s="738"/>
      <c r="B222" s="738"/>
      <c r="C222" s="734"/>
      <c r="D222" s="734"/>
      <c r="E222" s="734"/>
      <c r="F222" s="739"/>
      <c r="G222" s="734"/>
      <c r="H222" s="734"/>
      <c r="I222" s="734"/>
    </row>
    <row r="223" customHeight="1" spans="1:9">
      <c r="A223" s="738"/>
      <c r="B223" s="738"/>
      <c r="C223" s="734"/>
      <c r="D223" s="734"/>
      <c r="E223" s="734"/>
      <c r="F223" s="739"/>
      <c r="G223" s="734"/>
      <c r="H223" s="734"/>
      <c r="I223" s="734"/>
    </row>
    <row r="224" customHeight="1" spans="1:9">
      <c r="A224" s="738"/>
      <c r="B224" s="738"/>
      <c r="C224" s="734"/>
      <c r="D224" s="734"/>
      <c r="E224" s="734"/>
      <c r="F224" s="739"/>
      <c r="G224" s="734"/>
      <c r="H224" s="734"/>
      <c r="I224" s="734"/>
    </row>
    <row r="225" customHeight="1" spans="1:9">
      <c r="A225" s="738"/>
      <c r="B225" s="738"/>
      <c r="C225" s="734"/>
      <c r="D225" s="734"/>
      <c r="E225" s="734"/>
      <c r="F225" s="739"/>
      <c r="G225" s="734"/>
      <c r="H225" s="734"/>
      <c r="I225" s="734"/>
    </row>
    <row r="226" customHeight="1" spans="1:9">
      <c r="A226" s="738"/>
      <c r="B226" s="738"/>
      <c r="C226" s="734"/>
      <c r="D226" s="734"/>
      <c r="E226" s="734"/>
      <c r="F226" s="739"/>
      <c r="G226" s="734"/>
      <c r="H226" s="734"/>
      <c r="I226" s="734"/>
    </row>
    <row r="227" customHeight="1" spans="1:9">
      <c r="A227" s="738"/>
      <c r="B227" s="738"/>
      <c r="C227" s="734"/>
      <c r="D227" s="734"/>
      <c r="E227" s="734"/>
      <c r="F227" s="739"/>
      <c r="G227" s="734"/>
      <c r="H227" s="734"/>
      <c r="I227" s="734"/>
    </row>
    <row r="228" customHeight="1" spans="1:9">
      <c r="A228" s="738"/>
      <c r="B228" s="738"/>
      <c r="C228" s="734"/>
      <c r="D228" s="734"/>
      <c r="E228" s="734"/>
      <c r="F228" s="739"/>
      <c r="G228" s="734"/>
      <c r="H228" s="734"/>
      <c r="I228" s="734"/>
    </row>
    <row r="229" customHeight="1" spans="1:9">
      <c r="A229" s="738"/>
      <c r="B229" s="738"/>
      <c r="C229" s="734"/>
      <c r="D229" s="734"/>
      <c r="E229" s="734"/>
      <c r="F229" s="739"/>
      <c r="G229" s="734"/>
      <c r="H229" s="734"/>
      <c r="I229" s="734"/>
    </row>
    <row r="230" customHeight="1" spans="1:9">
      <c r="A230" s="738"/>
      <c r="B230" s="738"/>
      <c r="C230" s="734"/>
      <c r="D230" s="734"/>
      <c r="E230" s="734"/>
      <c r="F230" s="739"/>
      <c r="G230" s="734"/>
      <c r="H230" s="734"/>
      <c r="I230" s="734"/>
    </row>
    <row r="231" customHeight="1" spans="1:9">
      <c r="A231" s="738"/>
      <c r="B231" s="738"/>
      <c r="C231" s="734"/>
      <c r="D231" s="734"/>
      <c r="E231" s="734"/>
      <c r="F231" s="739"/>
      <c r="G231" s="734"/>
      <c r="H231" s="734"/>
      <c r="I231" s="734"/>
    </row>
    <row r="232" customHeight="1" spans="1:9">
      <c r="A232" s="738"/>
      <c r="B232" s="738"/>
      <c r="C232" s="734"/>
      <c r="D232" s="734"/>
      <c r="E232" s="734"/>
      <c r="F232" s="739"/>
      <c r="G232" s="734"/>
      <c r="H232" s="734"/>
      <c r="I232" s="734"/>
    </row>
    <row r="233" customHeight="1" spans="1:9">
      <c r="A233" s="738"/>
      <c r="B233" s="738"/>
      <c r="C233" s="734"/>
      <c r="D233" s="734"/>
      <c r="E233" s="734"/>
      <c r="F233" s="739"/>
      <c r="G233" s="734"/>
      <c r="H233" s="734"/>
      <c r="I233" s="734"/>
    </row>
    <row r="234" customHeight="1" spans="1:9">
      <c r="A234" s="738"/>
      <c r="B234" s="738"/>
      <c r="C234" s="734"/>
      <c r="D234" s="734"/>
      <c r="E234" s="734"/>
      <c r="F234" s="739"/>
      <c r="G234" s="734"/>
      <c r="H234" s="734"/>
      <c r="I234" s="734"/>
    </row>
    <row r="235" customHeight="1" spans="1:9">
      <c r="A235" s="738"/>
      <c r="B235" s="738"/>
      <c r="C235" s="734"/>
      <c r="D235" s="734"/>
      <c r="E235" s="734"/>
      <c r="F235" s="739"/>
      <c r="G235" s="734"/>
      <c r="H235" s="734"/>
      <c r="I235" s="734"/>
    </row>
    <row r="236" customHeight="1" spans="1:6">
      <c r="A236" s="731"/>
      <c r="B236" s="731"/>
      <c r="C236" s="731"/>
      <c r="D236" s="731"/>
      <c r="E236" s="731"/>
      <c r="F236" s="731"/>
    </row>
    <row r="237" customHeight="1" spans="1:6">
      <c r="A237" s="738"/>
      <c r="B237" s="734"/>
      <c r="C237" s="734"/>
      <c r="D237" s="733"/>
      <c r="E237" s="734"/>
      <c r="F237" s="734"/>
    </row>
    <row r="238" customHeight="1" spans="1:6">
      <c r="A238" s="738"/>
      <c r="B238" s="734"/>
      <c r="C238" s="734"/>
      <c r="D238" s="733"/>
      <c r="E238" s="734"/>
      <c r="F238" s="734"/>
    </row>
    <row r="239" customHeight="1" spans="1:6">
      <c r="A239" s="738"/>
      <c r="B239" s="734"/>
      <c r="C239" s="734"/>
      <c r="D239" s="734"/>
      <c r="E239" s="734"/>
      <c r="F239" s="734"/>
    </row>
    <row r="240" customHeight="1" spans="1:6">
      <c r="A240" s="738"/>
      <c r="B240" s="734"/>
      <c r="C240" s="734"/>
      <c r="D240" s="734"/>
      <c r="E240" s="734"/>
      <c r="F240" s="734"/>
    </row>
    <row r="241" customHeight="1" spans="1:3">
      <c r="A241" s="731"/>
      <c r="B241" s="731"/>
      <c r="C241" s="731"/>
    </row>
    <row r="242" customHeight="1" spans="1:3">
      <c r="A242" s="740"/>
      <c r="B242" s="734"/>
      <c r="C242" s="734"/>
    </row>
    <row r="243" customHeight="1" spans="1:3">
      <c r="A243" s="740"/>
      <c r="B243" s="734"/>
      <c r="C243" s="734"/>
    </row>
    <row r="244" customHeight="1" spans="1:3">
      <c r="A244" s="740"/>
      <c r="B244" s="733"/>
      <c r="C244" s="734"/>
    </row>
    <row r="245" customHeight="1" spans="1:3">
      <c r="A245" s="740"/>
      <c r="B245" s="733"/>
      <c r="C245" s="734"/>
    </row>
    <row r="246" customHeight="1" spans="1:3">
      <c r="A246" s="740"/>
      <c r="B246" s="733"/>
      <c r="C246" s="734"/>
    </row>
    <row r="247" customHeight="1" spans="1:3">
      <c r="A247" s="740"/>
      <c r="B247" s="733"/>
      <c r="C247" s="734"/>
    </row>
    <row r="248" customHeight="1" spans="1:3">
      <c r="A248" s="740"/>
      <c r="B248" s="734"/>
      <c r="C248" s="734"/>
    </row>
    <row r="249" customHeight="1" spans="1:3">
      <c r="A249" s="740"/>
      <c r="B249" s="733"/>
      <c r="C249" s="734"/>
    </row>
    <row r="250" customHeight="1" spans="1:3">
      <c r="A250" s="740"/>
      <c r="B250" s="733"/>
      <c r="C250" s="734"/>
    </row>
    <row r="251" customHeight="1" spans="1:3">
      <c r="A251" s="740"/>
      <c r="B251" s="733"/>
      <c r="C251" s="734"/>
    </row>
    <row r="252" customHeight="1" spans="1:3">
      <c r="A252" s="740"/>
      <c r="B252" s="733"/>
      <c r="C252" s="734"/>
    </row>
    <row r="253" customHeight="1" spans="1:3">
      <c r="A253" s="740"/>
      <c r="B253" s="733"/>
      <c r="C253" s="734"/>
    </row>
    <row r="254" customHeight="1" spans="1:3">
      <c r="A254" s="740"/>
      <c r="B254" s="734"/>
      <c r="C254" s="734"/>
    </row>
    <row r="255" customHeight="1" spans="1:3">
      <c r="A255" s="740"/>
      <c r="B255" s="734"/>
      <c r="C255" s="734"/>
    </row>
    <row r="256" customHeight="1" spans="1:3">
      <c r="A256" s="740"/>
      <c r="B256" s="733"/>
      <c r="C256" s="734"/>
    </row>
    <row r="257" customHeight="1" spans="1:3">
      <c r="A257" s="740"/>
      <c r="B257" s="733"/>
      <c r="C257" s="734"/>
    </row>
    <row r="258" customHeight="1" spans="1:3">
      <c r="A258" s="740"/>
      <c r="B258" s="734"/>
      <c r="C258" s="734"/>
    </row>
    <row r="259" customHeight="1" spans="1:3">
      <c r="A259" s="740"/>
      <c r="B259" s="734"/>
      <c r="C259" s="734"/>
    </row>
    <row r="261" customHeight="1" spans="1:10">
      <c r="A261" s="731"/>
      <c r="B261" s="731"/>
      <c r="C261" s="731"/>
      <c r="D261" s="731"/>
      <c r="E261" s="731"/>
      <c r="F261" s="731"/>
      <c r="G261" s="731"/>
      <c r="H261" s="731"/>
      <c r="I261" s="731"/>
      <c r="J261" s="731"/>
    </row>
    <row r="262" customHeight="1" spans="1:10">
      <c r="A262" s="738"/>
      <c r="B262" s="733"/>
      <c r="C262" s="733"/>
      <c r="D262" s="733"/>
      <c r="E262" s="734"/>
      <c r="F262" s="734"/>
      <c r="G262" s="734"/>
      <c r="H262" s="734"/>
      <c r="I262" s="734"/>
      <c r="J262" s="734"/>
    </row>
    <row r="263" customHeight="1" spans="1:10">
      <c r="A263" s="738"/>
      <c r="B263" s="733"/>
      <c r="C263" s="733"/>
      <c r="D263" s="733"/>
      <c r="E263" s="734"/>
      <c r="F263" s="734"/>
      <c r="G263" s="734"/>
      <c r="H263" s="734"/>
      <c r="I263" s="734"/>
      <c r="J263" s="734"/>
    </row>
    <row r="264" customHeight="1" spans="1:10">
      <c r="A264" s="738"/>
      <c r="B264" s="733"/>
      <c r="C264" s="733"/>
      <c r="D264" s="733"/>
      <c r="E264" s="734"/>
      <c r="F264" s="734"/>
      <c r="G264" s="734"/>
      <c r="H264" s="734"/>
      <c r="I264" s="734"/>
      <c r="J264" s="734"/>
    </row>
    <row r="265" customHeight="1" spans="1:10">
      <c r="A265" s="738"/>
      <c r="B265" s="733"/>
      <c r="C265" s="733"/>
      <c r="D265" s="733"/>
      <c r="E265" s="734"/>
      <c r="F265" s="734"/>
      <c r="G265" s="734"/>
      <c r="H265" s="734"/>
      <c r="I265" s="734"/>
      <c r="J265" s="734"/>
    </row>
    <row r="266" customHeight="1" spans="1:10">
      <c r="A266" s="738"/>
      <c r="B266" s="733"/>
      <c r="C266" s="733"/>
      <c r="D266" s="733"/>
      <c r="E266" s="734"/>
      <c r="F266" s="734"/>
      <c r="G266" s="734"/>
      <c r="H266" s="734"/>
      <c r="I266" s="734"/>
      <c r="J266" s="734"/>
    </row>
    <row r="267" customHeight="1" spans="1:10">
      <c r="A267" s="738"/>
      <c r="B267" s="733"/>
      <c r="C267" s="733"/>
      <c r="D267" s="733"/>
      <c r="E267" s="734"/>
      <c r="F267" s="734"/>
      <c r="G267" s="734"/>
      <c r="H267" s="734"/>
      <c r="I267" s="734"/>
      <c r="J267" s="734"/>
    </row>
    <row r="268" customHeight="1" spans="1:10">
      <c r="A268" s="738"/>
      <c r="B268" s="733"/>
      <c r="C268" s="733"/>
      <c r="D268" s="733"/>
      <c r="E268" s="734"/>
      <c r="F268" s="734"/>
      <c r="G268" s="734"/>
      <c r="H268" s="734"/>
      <c r="I268" s="734"/>
      <c r="J268" s="734"/>
    </row>
    <row r="269" customHeight="1" spans="1:10">
      <c r="A269" s="738"/>
      <c r="B269" s="733"/>
      <c r="C269" s="733"/>
      <c r="D269" s="733"/>
      <c r="E269" s="734"/>
      <c r="F269" s="734"/>
      <c r="G269" s="734"/>
      <c r="H269" s="734"/>
      <c r="I269" s="734"/>
      <c r="J269" s="734"/>
    </row>
    <row r="271" customHeight="1" spans="1:10">
      <c r="A271" s="731"/>
      <c r="B271" s="731"/>
      <c r="C271" s="731"/>
      <c r="D271" s="731"/>
      <c r="E271" s="731"/>
      <c r="F271" s="731"/>
      <c r="G271" s="731"/>
      <c r="H271" s="731"/>
      <c r="I271" s="731"/>
      <c r="J271" s="731"/>
    </row>
    <row r="272" customHeight="1" spans="1:10">
      <c r="A272" s="738"/>
      <c r="B272" s="733"/>
      <c r="C272" s="733"/>
      <c r="D272" s="733"/>
      <c r="E272" s="734"/>
      <c r="F272" s="734"/>
      <c r="G272" s="734"/>
      <c r="H272" s="734"/>
      <c r="I272" s="734"/>
      <c r="J272" s="734"/>
    </row>
    <row r="273" customHeight="1" spans="1:10">
      <c r="A273" s="738"/>
      <c r="B273" s="733"/>
      <c r="C273" s="733"/>
      <c r="D273" s="733"/>
      <c r="E273" s="734"/>
      <c r="F273" s="734"/>
      <c r="G273" s="734"/>
      <c r="H273" s="734"/>
      <c r="I273" s="734"/>
      <c r="J273" s="734"/>
    </row>
    <row r="274" customHeight="1" spans="1:10">
      <c r="A274" s="738"/>
      <c r="B274" s="733"/>
      <c r="C274" s="733"/>
      <c r="D274" s="733"/>
      <c r="E274" s="734"/>
      <c r="F274" s="734"/>
      <c r="G274" s="734"/>
      <c r="H274" s="734"/>
      <c r="I274" s="734"/>
      <c r="J274" s="734"/>
    </row>
    <row r="275" customHeight="1" spans="1:10">
      <c r="A275" s="738"/>
      <c r="B275" s="733"/>
      <c r="C275" s="733"/>
      <c r="D275" s="733"/>
      <c r="E275" s="734"/>
      <c r="F275" s="734"/>
      <c r="G275" s="734"/>
      <c r="H275" s="734"/>
      <c r="I275" s="734"/>
      <c r="J275" s="734"/>
    </row>
    <row r="276" customHeight="1" spans="1:10">
      <c r="A276" s="738"/>
      <c r="B276" s="733"/>
      <c r="C276" s="733"/>
      <c r="D276" s="733"/>
      <c r="E276" s="734"/>
      <c r="F276" s="734"/>
      <c r="G276" s="734"/>
      <c r="H276" s="734"/>
      <c r="I276" s="734"/>
      <c r="J276" s="734"/>
    </row>
    <row r="277" customHeight="1" spans="1:10">
      <c r="A277" s="738"/>
      <c r="B277" s="733"/>
      <c r="C277" s="733"/>
      <c r="D277" s="733"/>
      <c r="E277" s="734"/>
      <c r="F277" s="734"/>
      <c r="G277" s="734"/>
      <c r="H277" s="734"/>
      <c r="I277" s="734"/>
      <c r="J277" s="734"/>
    </row>
    <row r="278" customHeight="1" spans="1:10">
      <c r="A278" s="738"/>
      <c r="B278" s="733"/>
      <c r="C278" s="733"/>
      <c r="D278" s="733"/>
      <c r="E278" s="734"/>
      <c r="F278" s="734"/>
      <c r="G278" s="734"/>
      <c r="H278" s="734"/>
      <c r="I278" s="734"/>
      <c r="J278" s="734"/>
    </row>
    <row r="279" customHeight="1" spans="1:10">
      <c r="A279" s="738"/>
      <c r="B279" s="733"/>
      <c r="C279" s="733"/>
      <c r="D279" s="733"/>
      <c r="E279" s="734"/>
      <c r="F279" s="734"/>
      <c r="G279" s="734"/>
      <c r="H279" s="734"/>
      <c r="I279" s="734"/>
      <c r="J279" s="734"/>
    </row>
    <row r="281" customHeight="1" spans="1:10">
      <c r="A281" s="731"/>
      <c r="B281" s="731"/>
      <c r="C281" s="731"/>
      <c r="D281" s="731"/>
      <c r="E281" s="731"/>
      <c r="F281" s="731"/>
      <c r="G281" s="731"/>
      <c r="H281" s="731"/>
      <c r="I281" s="731"/>
      <c r="J281" s="731"/>
    </row>
    <row r="282" customHeight="1" spans="1:10">
      <c r="A282" s="738"/>
      <c r="B282" s="733"/>
      <c r="C282" s="733"/>
      <c r="D282" s="733"/>
      <c r="E282" s="734"/>
      <c r="F282" s="734"/>
      <c r="G282" s="734"/>
      <c r="H282" s="734"/>
      <c r="I282" s="734"/>
      <c r="J282" s="734"/>
    </row>
    <row r="283" customHeight="1" spans="1:10">
      <c r="A283" s="738"/>
      <c r="B283" s="733"/>
      <c r="C283" s="733"/>
      <c r="D283" s="733"/>
      <c r="E283" s="734"/>
      <c r="F283" s="734"/>
      <c r="G283" s="734"/>
      <c r="H283" s="734"/>
      <c r="I283" s="734"/>
      <c r="J283" s="734"/>
    </row>
    <row r="284" customHeight="1" spans="1:10">
      <c r="A284" s="738"/>
      <c r="B284" s="733"/>
      <c r="C284" s="733"/>
      <c r="D284" s="733"/>
      <c r="E284" s="734"/>
      <c r="F284" s="734"/>
      <c r="G284" s="734"/>
      <c r="H284" s="734"/>
      <c r="I284" s="734"/>
      <c r="J284" s="734"/>
    </row>
    <row r="285" customHeight="1" spans="1:10">
      <c r="A285" s="738"/>
      <c r="B285" s="733"/>
      <c r="C285" s="733"/>
      <c r="D285" s="733"/>
      <c r="E285" s="734"/>
      <c r="F285" s="734"/>
      <c r="G285" s="734"/>
      <c r="H285" s="734"/>
      <c r="I285" s="734"/>
      <c r="J285" s="734"/>
    </row>
    <row r="286" customHeight="1" spans="1:10">
      <c r="A286" s="738"/>
      <c r="B286" s="733"/>
      <c r="C286" s="733"/>
      <c r="D286" s="733"/>
      <c r="E286" s="734"/>
      <c r="F286" s="734"/>
      <c r="G286" s="734"/>
      <c r="H286" s="734"/>
      <c r="I286" s="734"/>
      <c r="J286" s="734"/>
    </row>
    <row r="287" customHeight="1" spans="1:10">
      <c r="A287" s="738"/>
      <c r="B287" s="733"/>
      <c r="C287" s="733"/>
      <c r="D287" s="733"/>
      <c r="E287" s="734"/>
      <c r="F287" s="734"/>
      <c r="G287" s="734"/>
      <c r="H287" s="734"/>
      <c r="I287" s="734"/>
      <c r="J287" s="734"/>
    </row>
    <row r="288" customHeight="1" spans="1:10">
      <c r="A288" s="738"/>
      <c r="B288" s="733"/>
      <c r="C288" s="733"/>
      <c r="D288" s="733"/>
      <c r="E288" s="734"/>
      <c r="F288" s="734"/>
      <c r="G288" s="734"/>
      <c r="H288" s="734"/>
      <c r="I288" s="734"/>
      <c r="J288" s="734"/>
    </row>
    <row r="289" customHeight="1" spans="1:10">
      <c r="A289" s="738"/>
      <c r="B289" s="733"/>
      <c r="C289" s="733"/>
      <c r="D289" s="733"/>
      <c r="E289" s="734"/>
      <c r="F289" s="734"/>
      <c r="G289" s="734"/>
      <c r="H289" s="734"/>
      <c r="I289" s="734"/>
      <c r="J289" s="734"/>
    </row>
    <row r="291" customHeight="1" spans="1:10">
      <c r="A291" s="731"/>
      <c r="B291" s="731"/>
      <c r="C291" s="731"/>
      <c r="D291" s="731"/>
      <c r="E291" s="731"/>
      <c r="F291" s="731"/>
      <c r="G291" s="731"/>
      <c r="H291" s="731"/>
      <c r="I291" s="731"/>
      <c r="J291" s="731"/>
    </row>
    <row r="292" customHeight="1" spans="1:10">
      <c r="A292" s="738"/>
      <c r="B292" s="733"/>
      <c r="C292" s="733"/>
      <c r="D292" s="733"/>
      <c r="E292" s="734"/>
      <c r="F292" s="734"/>
      <c r="G292" s="734"/>
      <c r="H292" s="734"/>
      <c r="I292" s="734"/>
      <c r="J292" s="734"/>
    </row>
    <row r="293" customHeight="1" spans="1:10">
      <c r="A293" s="738"/>
      <c r="B293" s="733"/>
      <c r="C293" s="733"/>
      <c r="D293" s="733"/>
      <c r="E293" s="734"/>
      <c r="F293" s="734"/>
      <c r="G293" s="734"/>
      <c r="H293" s="734"/>
      <c r="I293" s="734"/>
      <c r="J293" s="734"/>
    </row>
    <row r="294" customHeight="1" spans="1:10">
      <c r="A294" s="738"/>
      <c r="B294" s="733"/>
      <c r="C294" s="733"/>
      <c r="D294" s="733"/>
      <c r="E294" s="734"/>
      <c r="F294" s="734"/>
      <c r="G294" s="734"/>
      <c r="H294" s="734"/>
      <c r="I294" s="734"/>
      <c r="J294" s="734"/>
    </row>
    <row r="295" customHeight="1" spans="1:10">
      <c r="A295" s="738"/>
      <c r="B295" s="733"/>
      <c r="C295" s="733"/>
      <c r="D295" s="733"/>
      <c r="E295" s="734"/>
      <c r="F295" s="734"/>
      <c r="G295" s="734"/>
      <c r="H295" s="734"/>
      <c r="I295" s="734"/>
      <c r="J295" s="734"/>
    </row>
    <row r="296" customHeight="1" spans="1:10">
      <c r="A296" s="738"/>
      <c r="B296" s="733"/>
      <c r="C296" s="733"/>
      <c r="D296" s="733"/>
      <c r="E296" s="734"/>
      <c r="F296" s="734"/>
      <c r="G296" s="734"/>
      <c r="H296" s="734"/>
      <c r="I296" s="734"/>
      <c r="J296" s="734"/>
    </row>
    <row r="297" customHeight="1" spans="1:10">
      <c r="A297" s="738"/>
      <c r="B297" s="733"/>
      <c r="C297" s="733"/>
      <c r="D297" s="733"/>
      <c r="E297" s="734"/>
      <c r="F297" s="734"/>
      <c r="G297" s="734"/>
      <c r="H297" s="734"/>
      <c r="I297" s="734"/>
      <c r="J297" s="734"/>
    </row>
    <row r="298" customHeight="1" spans="1:10">
      <c r="A298" s="738"/>
      <c r="B298" s="733"/>
      <c r="C298" s="733"/>
      <c r="D298" s="733"/>
      <c r="E298" s="734"/>
      <c r="F298" s="734"/>
      <c r="G298" s="734"/>
      <c r="H298" s="734"/>
      <c r="I298" s="734"/>
      <c r="J298" s="734"/>
    </row>
    <row r="299" customHeight="1" spans="1:10">
      <c r="A299" s="738"/>
      <c r="B299" s="733"/>
      <c r="C299" s="733"/>
      <c r="D299" s="733"/>
      <c r="E299" s="734"/>
      <c r="F299" s="734"/>
      <c r="G299" s="734"/>
      <c r="H299" s="734"/>
      <c r="I299" s="734"/>
      <c r="J299" s="734"/>
    </row>
    <row r="301" customHeight="1" spans="1:10">
      <c r="A301" s="731"/>
      <c r="B301" s="731"/>
      <c r="C301" s="731"/>
      <c r="D301" s="731"/>
      <c r="E301" s="731"/>
      <c r="F301" s="731"/>
      <c r="G301" s="731"/>
      <c r="H301" s="731"/>
      <c r="I301" s="731"/>
      <c r="J301" s="731"/>
    </row>
    <row r="302" customHeight="1" spans="1:10">
      <c r="A302" s="738"/>
      <c r="B302" s="733"/>
      <c r="C302" s="733"/>
      <c r="D302" s="733"/>
      <c r="E302" s="734"/>
      <c r="F302" s="734"/>
      <c r="G302" s="734"/>
      <c r="H302" s="734"/>
      <c r="I302" s="734"/>
      <c r="J302" s="734"/>
    </row>
    <row r="303" customHeight="1" spans="1:10">
      <c r="A303" s="738"/>
      <c r="B303" s="733"/>
      <c r="C303" s="733"/>
      <c r="D303" s="733"/>
      <c r="E303" s="734"/>
      <c r="F303" s="734"/>
      <c r="G303" s="734"/>
      <c r="H303" s="734"/>
      <c r="I303" s="734"/>
      <c r="J303" s="734"/>
    </row>
    <row r="304" customHeight="1" spans="1:10">
      <c r="A304" s="738"/>
      <c r="B304" s="733"/>
      <c r="C304" s="733"/>
      <c r="D304" s="733"/>
      <c r="E304" s="734"/>
      <c r="F304" s="734"/>
      <c r="G304" s="734"/>
      <c r="H304" s="734"/>
      <c r="I304" s="734"/>
      <c r="J304" s="734"/>
    </row>
    <row r="305" customHeight="1" spans="1:10">
      <c r="A305" s="738"/>
      <c r="B305" s="733"/>
      <c r="C305" s="733"/>
      <c r="D305" s="733"/>
      <c r="E305" s="734"/>
      <c r="F305" s="734"/>
      <c r="G305" s="734"/>
      <c r="H305" s="734"/>
      <c r="I305" s="734"/>
      <c r="J305" s="734"/>
    </row>
    <row r="306" customHeight="1" spans="1:10">
      <c r="A306" s="738"/>
      <c r="B306" s="733"/>
      <c r="C306" s="733"/>
      <c r="D306" s="733"/>
      <c r="E306" s="734"/>
      <c r="F306" s="734"/>
      <c r="G306" s="734"/>
      <c r="H306" s="734"/>
      <c r="I306" s="734"/>
      <c r="J306" s="734"/>
    </row>
    <row r="307" customHeight="1" spans="1:10">
      <c r="A307" s="738"/>
      <c r="B307" s="733"/>
      <c r="C307" s="733"/>
      <c r="D307" s="733"/>
      <c r="E307" s="734"/>
      <c r="F307" s="734"/>
      <c r="G307" s="734"/>
      <c r="H307" s="734"/>
      <c r="I307" s="734"/>
      <c r="J307" s="734"/>
    </row>
    <row r="308" customHeight="1" spans="1:10">
      <c r="A308" s="738"/>
      <c r="B308" s="733"/>
      <c r="C308" s="733"/>
      <c r="D308" s="733"/>
      <c r="E308" s="734"/>
      <c r="F308" s="734"/>
      <c r="G308" s="734"/>
      <c r="H308" s="734"/>
      <c r="I308" s="734"/>
      <c r="J308" s="734"/>
    </row>
    <row r="309" customHeight="1" spans="1:10">
      <c r="A309" s="738"/>
      <c r="B309" s="733"/>
      <c r="C309" s="733"/>
      <c r="D309" s="733"/>
      <c r="E309" s="734"/>
      <c r="F309" s="734"/>
      <c r="G309" s="734"/>
      <c r="H309" s="734"/>
      <c r="I309" s="734"/>
      <c r="J309" s="734"/>
    </row>
    <row r="311" customHeight="1" spans="1:10">
      <c r="A311" s="731"/>
      <c r="B311" s="731"/>
      <c r="C311" s="731"/>
      <c r="D311" s="731"/>
      <c r="E311" s="731"/>
      <c r="F311" s="731"/>
      <c r="G311" s="731"/>
      <c r="H311" s="731"/>
      <c r="I311" s="731"/>
      <c r="J311" s="731"/>
    </row>
    <row r="312" customHeight="1" spans="1:10">
      <c r="A312" s="738"/>
      <c r="B312" s="733"/>
      <c r="C312" s="733"/>
      <c r="D312" s="733"/>
      <c r="E312" s="734"/>
      <c r="F312" s="734"/>
      <c r="G312" s="734"/>
      <c r="H312" s="734"/>
      <c r="I312" s="734"/>
      <c r="J312" s="734"/>
    </row>
    <row r="313" customHeight="1" spans="1:10">
      <c r="A313" s="738"/>
      <c r="B313" s="733"/>
      <c r="C313" s="733"/>
      <c r="D313" s="733"/>
      <c r="E313" s="734"/>
      <c r="F313" s="734"/>
      <c r="G313" s="734"/>
      <c r="H313" s="734"/>
      <c r="I313" s="734"/>
      <c r="J313" s="734"/>
    </row>
    <row r="314" customHeight="1" spans="1:10">
      <c r="A314" s="738"/>
      <c r="B314" s="733"/>
      <c r="C314" s="733"/>
      <c r="D314" s="733"/>
      <c r="E314" s="734"/>
      <c r="F314" s="734"/>
      <c r="G314" s="734"/>
      <c r="H314" s="734"/>
      <c r="I314" s="734"/>
      <c r="J314" s="734"/>
    </row>
    <row r="315" customHeight="1" spans="1:10">
      <c r="A315" s="738"/>
      <c r="B315" s="733"/>
      <c r="C315" s="733"/>
      <c r="D315" s="733"/>
      <c r="E315" s="734"/>
      <c r="F315" s="734"/>
      <c r="G315" s="734"/>
      <c r="H315" s="734"/>
      <c r="I315" s="734"/>
      <c r="J315" s="734"/>
    </row>
    <row r="316" customHeight="1" spans="1:10">
      <c r="A316" s="738"/>
      <c r="B316" s="733"/>
      <c r="C316" s="733"/>
      <c r="D316" s="733"/>
      <c r="E316" s="734"/>
      <c r="F316" s="734"/>
      <c r="G316" s="734"/>
      <c r="H316" s="734"/>
      <c r="I316" s="734"/>
      <c r="J316" s="734"/>
    </row>
    <row r="317" customHeight="1" spans="1:10">
      <c r="A317" s="738"/>
      <c r="B317" s="733"/>
      <c r="C317" s="733"/>
      <c r="D317" s="733"/>
      <c r="E317" s="734"/>
      <c r="F317" s="734"/>
      <c r="G317" s="734"/>
      <c r="H317" s="734"/>
      <c r="I317" s="734"/>
      <c r="J317" s="734"/>
    </row>
    <row r="318" customHeight="1" spans="1:10">
      <c r="A318" s="738"/>
      <c r="B318" s="733"/>
      <c r="C318" s="733"/>
      <c r="D318" s="733"/>
      <c r="E318" s="734"/>
      <c r="F318" s="734"/>
      <c r="G318" s="734"/>
      <c r="H318" s="734"/>
      <c r="I318" s="734"/>
      <c r="J318" s="734"/>
    </row>
    <row r="319" customHeight="1" spans="1:10">
      <c r="A319" s="738"/>
      <c r="B319" s="733"/>
      <c r="C319" s="733"/>
      <c r="D319" s="733"/>
      <c r="E319" s="734"/>
      <c r="F319" s="734"/>
      <c r="G319" s="734"/>
      <c r="H319" s="734"/>
      <c r="I319" s="734"/>
      <c r="J319" s="734"/>
    </row>
    <row r="321" customHeight="1" spans="1:10">
      <c r="A321" s="731"/>
      <c r="B321" s="731"/>
      <c r="C321" s="731"/>
      <c r="D321" s="731"/>
      <c r="E321" s="731"/>
      <c r="F321" s="731"/>
      <c r="G321" s="731"/>
      <c r="H321" s="731"/>
      <c r="I321" s="731"/>
      <c r="J321" s="731"/>
    </row>
    <row r="322" customHeight="1" spans="1:10">
      <c r="A322" s="738"/>
      <c r="B322" s="733"/>
      <c r="C322" s="733"/>
      <c r="D322" s="733"/>
      <c r="E322" s="734"/>
      <c r="F322" s="734"/>
      <c r="G322" s="734"/>
      <c r="H322" s="734"/>
      <c r="I322" s="734"/>
      <c r="J322" s="734"/>
    </row>
    <row r="323" customHeight="1" spans="1:10">
      <c r="A323" s="738"/>
      <c r="B323" s="733"/>
      <c r="C323" s="733"/>
      <c r="D323" s="733"/>
      <c r="E323" s="734"/>
      <c r="F323" s="734"/>
      <c r="G323" s="734"/>
      <c r="H323" s="734"/>
      <c r="I323" s="734"/>
      <c r="J323" s="734"/>
    </row>
    <row r="324" customHeight="1" spans="1:10">
      <c r="A324" s="738"/>
      <c r="B324" s="733"/>
      <c r="C324" s="733"/>
      <c r="D324" s="733"/>
      <c r="E324" s="734"/>
      <c r="F324" s="734"/>
      <c r="G324" s="734"/>
      <c r="H324" s="734"/>
      <c r="I324" s="734"/>
      <c r="J324" s="734"/>
    </row>
    <row r="325" customHeight="1" spans="1:10">
      <c r="A325" s="738"/>
      <c r="B325" s="733"/>
      <c r="C325" s="733"/>
      <c r="D325" s="733"/>
      <c r="E325" s="734"/>
      <c r="F325" s="734"/>
      <c r="G325" s="734"/>
      <c r="H325" s="734"/>
      <c r="I325" s="734"/>
      <c r="J325" s="734"/>
    </row>
    <row r="326" customHeight="1" spans="1:10">
      <c r="A326" s="738"/>
      <c r="B326" s="733"/>
      <c r="C326" s="733"/>
      <c r="D326" s="733"/>
      <c r="E326" s="734"/>
      <c r="F326" s="734"/>
      <c r="G326" s="734"/>
      <c r="H326" s="734"/>
      <c r="I326" s="734"/>
      <c r="J326" s="734"/>
    </row>
    <row r="327" customHeight="1" spans="1:10">
      <c r="A327" s="738"/>
      <c r="B327" s="733"/>
      <c r="C327" s="733"/>
      <c r="D327" s="733"/>
      <c r="E327" s="734"/>
      <c r="F327" s="734"/>
      <c r="G327" s="734"/>
      <c r="H327" s="734"/>
      <c r="I327" s="734"/>
      <c r="J327" s="734"/>
    </row>
    <row r="328" customHeight="1" spans="1:10">
      <c r="A328" s="738"/>
      <c r="B328" s="733"/>
      <c r="C328" s="733"/>
      <c r="D328" s="733"/>
      <c r="E328" s="734"/>
      <c r="F328" s="734"/>
      <c r="G328" s="734"/>
      <c r="H328" s="734"/>
      <c r="I328" s="734"/>
      <c r="J328" s="734"/>
    </row>
    <row r="329" customHeight="1" spans="1:10">
      <c r="A329" s="738"/>
      <c r="B329" s="733"/>
      <c r="C329" s="733"/>
      <c r="D329" s="733"/>
      <c r="E329" s="734"/>
      <c r="F329" s="734"/>
      <c r="G329" s="734"/>
      <c r="H329" s="734"/>
      <c r="I329" s="734"/>
      <c r="J329" s="734"/>
    </row>
    <row r="331" customHeight="1" spans="1:10">
      <c r="A331" s="731"/>
      <c r="B331" s="731"/>
      <c r="C331" s="731"/>
      <c r="D331" s="731"/>
      <c r="E331" s="731"/>
      <c r="F331" s="731"/>
      <c r="G331" s="731"/>
      <c r="H331" s="731"/>
      <c r="I331" s="731"/>
      <c r="J331" s="731"/>
    </row>
    <row r="332" customHeight="1" spans="1:10">
      <c r="A332" s="738"/>
      <c r="B332" s="733"/>
      <c r="C332" s="733"/>
      <c r="D332" s="733"/>
      <c r="E332" s="734"/>
      <c r="F332" s="734"/>
      <c r="G332" s="734"/>
      <c r="H332" s="734"/>
      <c r="I332" s="734"/>
      <c r="J332" s="734"/>
    </row>
    <row r="333" customHeight="1" spans="1:10">
      <c r="A333" s="738"/>
      <c r="B333" s="733"/>
      <c r="C333" s="733"/>
      <c r="D333" s="733"/>
      <c r="E333" s="734"/>
      <c r="F333" s="734"/>
      <c r="G333" s="734"/>
      <c r="H333" s="734"/>
      <c r="I333" s="734"/>
      <c r="J333" s="734"/>
    </row>
    <row r="334" customHeight="1" spans="1:10">
      <c r="A334" s="738"/>
      <c r="B334" s="733"/>
      <c r="C334" s="733"/>
      <c r="D334" s="733"/>
      <c r="E334" s="734"/>
      <c r="F334" s="734"/>
      <c r="G334" s="734"/>
      <c r="H334" s="734"/>
      <c r="I334" s="734"/>
      <c r="J334" s="734"/>
    </row>
    <row r="335" customHeight="1" spans="1:10">
      <c r="A335" s="738"/>
      <c r="B335" s="733"/>
      <c r="C335" s="733"/>
      <c r="D335" s="733"/>
      <c r="E335" s="734"/>
      <c r="F335" s="734"/>
      <c r="G335" s="734"/>
      <c r="H335" s="734"/>
      <c r="I335" s="734"/>
      <c r="J335" s="734"/>
    </row>
    <row r="336" customHeight="1" spans="1:10">
      <c r="A336" s="738"/>
      <c r="B336" s="733"/>
      <c r="C336" s="733"/>
      <c r="D336" s="733"/>
      <c r="E336" s="734"/>
      <c r="F336" s="734"/>
      <c r="G336" s="734"/>
      <c r="H336" s="734"/>
      <c r="I336" s="734"/>
      <c r="J336" s="734"/>
    </row>
    <row r="337" customHeight="1" spans="1:10">
      <c r="A337" s="738"/>
      <c r="B337" s="733"/>
      <c r="C337" s="733"/>
      <c r="D337" s="733"/>
      <c r="E337" s="734"/>
      <c r="F337" s="734"/>
      <c r="G337" s="734"/>
      <c r="H337" s="734"/>
      <c r="I337" s="734"/>
      <c r="J337" s="734"/>
    </row>
    <row r="338" customHeight="1" spans="1:10">
      <c r="A338" s="738"/>
      <c r="B338" s="733"/>
      <c r="C338" s="733"/>
      <c r="D338" s="733"/>
      <c r="E338" s="734"/>
      <c r="F338" s="734"/>
      <c r="G338" s="734"/>
      <c r="H338" s="734"/>
      <c r="I338" s="734"/>
      <c r="J338" s="734"/>
    </row>
    <row r="339" customHeight="1" spans="1:10">
      <c r="A339" s="738"/>
      <c r="B339" s="733"/>
      <c r="C339" s="733"/>
      <c r="D339" s="733"/>
      <c r="E339" s="734"/>
      <c r="F339" s="734"/>
      <c r="G339" s="734"/>
      <c r="H339" s="734"/>
      <c r="I339" s="734"/>
      <c r="J339" s="734"/>
    </row>
    <row r="341" customHeight="1" spans="1:10">
      <c r="A341" s="731"/>
      <c r="B341" s="731"/>
      <c r="C341" s="731"/>
      <c r="D341" s="731"/>
      <c r="E341" s="731"/>
      <c r="F341" s="731"/>
      <c r="G341" s="731"/>
      <c r="H341" s="731"/>
      <c r="I341" s="731"/>
      <c r="J341" s="731"/>
    </row>
    <row r="342" customHeight="1" spans="1:10">
      <c r="A342" s="738"/>
      <c r="B342" s="733"/>
      <c r="C342" s="733"/>
      <c r="D342" s="734"/>
      <c r="E342" s="734"/>
      <c r="F342" s="734"/>
      <c r="G342" s="734"/>
      <c r="H342" s="734"/>
      <c r="I342" s="734"/>
      <c r="J342" s="734"/>
    </row>
    <row r="343" customHeight="1" spans="1:10">
      <c r="A343" s="738"/>
      <c r="B343" s="733"/>
      <c r="C343" s="733"/>
      <c r="D343" s="734"/>
      <c r="E343" s="734"/>
      <c r="F343" s="734"/>
      <c r="G343" s="734"/>
      <c r="H343" s="734"/>
      <c r="I343" s="734"/>
      <c r="J343" s="734"/>
    </row>
    <row r="344" customHeight="1" spans="1:10">
      <c r="A344" s="738"/>
      <c r="B344" s="733"/>
      <c r="C344" s="733"/>
      <c r="D344" s="734"/>
      <c r="E344" s="734"/>
      <c r="F344" s="734"/>
      <c r="G344" s="734"/>
      <c r="H344" s="734"/>
      <c r="I344" s="734"/>
      <c r="J344" s="734"/>
    </row>
    <row r="345" customHeight="1" spans="1:10">
      <c r="A345" s="738"/>
      <c r="B345" s="733"/>
      <c r="C345" s="733"/>
      <c r="D345" s="733"/>
      <c r="E345" s="734"/>
      <c r="F345" s="734"/>
      <c r="G345" s="734"/>
      <c r="H345" s="734"/>
      <c r="I345" s="734"/>
      <c r="J345" s="734"/>
    </row>
    <row r="346" customHeight="1" spans="1:10">
      <c r="A346" s="738"/>
      <c r="B346" s="733"/>
      <c r="C346" s="733"/>
      <c r="D346" s="733"/>
      <c r="E346" s="734"/>
      <c r="F346" s="734"/>
      <c r="G346" s="734"/>
      <c r="H346" s="734"/>
      <c r="I346" s="734"/>
      <c r="J346" s="734"/>
    </row>
    <row r="347" customHeight="1" spans="1:10">
      <c r="A347" s="738"/>
      <c r="B347" s="733"/>
      <c r="C347" s="733"/>
      <c r="D347" s="733"/>
      <c r="E347" s="734"/>
      <c r="F347" s="734"/>
      <c r="G347" s="734"/>
      <c r="H347" s="734"/>
      <c r="I347" s="734"/>
      <c r="J347" s="734"/>
    </row>
    <row r="348" customHeight="1" spans="1:10">
      <c r="A348" s="738"/>
      <c r="B348" s="733"/>
      <c r="C348" s="733"/>
      <c r="D348" s="733"/>
      <c r="E348" s="734"/>
      <c r="F348" s="734"/>
      <c r="G348" s="734"/>
      <c r="H348" s="734"/>
      <c r="I348" s="734"/>
      <c r="J348" s="734"/>
    </row>
    <row r="349" customHeight="1" spans="1:10">
      <c r="A349" s="738"/>
      <c r="B349" s="733"/>
      <c r="C349" s="733"/>
      <c r="D349" s="734"/>
      <c r="E349" s="734"/>
      <c r="F349" s="734"/>
      <c r="G349" s="734"/>
      <c r="H349" s="734"/>
      <c r="I349" s="734"/>
      <c r="J349" s="734"/>
    </row>
    <row r="351" customHeight="1" spans="1:10">
      <c r="A351" s="731"/>
      <c r="B351" s="731"/>
      <c r="C351" s="731"/>
      <c r="D351" s="731"/>
      <c r="E351" s="731"/>
      <c r="F351" s="731"/>
      <c r="G351" s="731"/>
      <c r="H351" s="731"/>
      <c r="I351" s="731"/>
      <c r="J351" s="731"/>
    </row>
    <row r="352" customHeight="1" spans="1:10">
      <c r="A352" s="738"/>
      <c r="B352" s="733"/>
      <c r="C352" s="733"/>
      <c r="D352" s="734"/>
      <c r="E352" s="734"/>
      <c r="F352" s="734"/>
      <c r="G352" s="734"/>
      <c r="H352" s="734"/>
      <c r="I352" s="734"/>
      <c r="J352" s="734"/>
    </row>
    <row r="353" customHeight="1" spans="1:10">
      <c r="A353" s="738"/>
      <c r="B353" s="733"/>
      <c r="C353" s="733"/>
      <c r="D353" s="734"/>
      <c r="E353" s="734"/>
      <c r="F353" s="734"/>
      <c r="G353" s="734"/>
      <c r="H353" s="734"/>
      <c r="I353" s="734"/>
      <c r="J353" s="734"/>
    </row>
    <row r="354" customHeight="1" spans="1:10">
      <c r="A354" s="738"/>
      <c r="B354" s="733"/>
      <c r="C354" s="733"/>
      <c r="D354" s="734"/>
      <c r="E354" s="734"/>
      <c r="F354" s="734"/>
      <c r="G354" s="734"/>
      <c r="H354" s="734"/>
      <c r="I354" s="734"/>
      <c r="J354" s="734"/>
    </row>
    <row r="355" customHeight="1" spans="1:10">
      <c r="A355" s="738"/>
      <c r="B355" s="733"/>
      <c r="C355" s="733"/>
      <c r="D355" s="733"/>
      <c r="E355" s="734"/>
      <c r="F355" s="734"/>
      <c r="G355" s="734"/>
      <c r="H355" s="734"/>
      <c r="I355" s="734"/>
      <c r="J355" s="734"/>
    </row>
    <row r="356" customHeight="1" spans="1:10">
      <c r="A356" s="738"/>
      <c r="B356" s="733"/>
      <c r="C356" s="733"/>
      <c r="D356" s="733"/>
      <c r="E356" s="734"/>
      <c r="F356" s="734"/>
      <c r="G356" s="734"/>
      <c r="H356" s="734"/>
      <c r="I356" s="734"/>
      <c r="J356" s="734"/>
    </row>
    <row r="357" customHeight="1" spans="1:10">
      <c r="A357" s="738"/>
      <c r="B357" s="733"/>
      <c r="C357" s="733"/>
      <c r="D357" s="733"/>
      <c r="E357" s="734"/>
      <c r="F357" s="734"/>
      <c r="G357" s="734"/>
      <c r="H357" s="734"/>
      <c r="I357" s="734"/>
      <c r="J357" s="734"/>
    </row>
    <row r="358" customHeight="1" spans="1:10">
      <c r="A358" s="738"/>
      <c r="B358" s="733"/>
      <c r="C358" s="733"/>
      <c r="D358" s="733"/>
      <c r="E358" s="734"/>
      <c r="F358" s="734"/>
      <c r="G358" s="734"/>
      <c r="H358" s="734"/>
      <c r="I358" s="734"/>
      <c r="J358" s="734"/>
    </row>
    <row r="359" customHeight="1" spans="1:10">
      <c r="A359" s="738"/>
      <c r="B359" s="733"/>
      <c r="C359" s="733"/>
      <c r="D359" s="734"/>
      <c r="E359" s="734"/>
      <c r="F359" s="734"/>
      <c r="G359" s="734"/>
      <c r="H359" s="734"/>
      <c r="I359" s="734"/>
      <c r="J359" s="734"/>
    </row>
    <row r="361" customHeight="1" spans="1:10">
      <c r="A361" s="731"/>
      <c r="B361" s="731"/>
      <c r="C361" s="731"/>
      <c r="D361" s="731"/>
      <c r="E361" s="731"/>
      <c r="F361" s="731"/>
      <c r="G361" s="731"/>
      <c r="H361" s="731"/>
      <c r="I361" s="731"/>
      <c r="J361" s="731"/>
    </row>
    <row r="362" customHeight="1" spans="1:10">
      <c r="A362" s="738"/>
      <c r="B362" s="733"/>
      <c r="C362" s="733"/>
      <c r="D362" s="734"/>
      <c r="E362" s="734"/>
      <c r="F362" s="734"/>
      <c r="G362" s="734"/>
      <c r="H362" s="734"/>
      <c r="I362" s="734"/>
      <c r="J362" s="734"/>
    </row>
    <row r="363" customHeight="1" spans="1:10">
      <c r="A363" s="738"/>
      <c r="B363" s="733"/>
      <c r="C363" s="733"/>
      <c r="D363" s="734"/>
      <c r="E363" s="734"/>
      <c r="F363" s="734"/>
      <c r="G363" s="734"/>
      <c r="H363" s="734"/>
      <c r="I363" s="734"/>
      <c r="J363" s="734"/>
    </row>
    <row r="364" customHeight="1" spans="1:10">
      <c r="A364" s="738"/>
      <c r="B364" s="733"/>
      <c r="C364" s="733"/>
      <c r="D364" s="734"/>
      <c r="E364" s="734"/>
      <c r="F364" s="734"/>
      <c r="G364" s="734"/>
      <c r="H364" s="734"/>
      <c r="I364" s="734"/>
      <c r="J364" s="734"/>
    </row>
    <row r="365" customHeight="1" spans="1:10">
      <c r="A365" s="738"/>
      <c r="B365" s="733"/>
      <c r="C365" s="733"/>
      <c r="D365" s="733"/>
      <c r="E365" s="734"/>
      <c r="F365" s="734"/>
      <c r="G365" s="734"/>
      <c r="H365" s="734"/>
      <c r="I365" s="734"/>
      <c r="J365" s="734"/>
    </row>
    <row r="366" customHeight="1" spans="1:10">
      <c r="A366" s="738"/>
      <c r="B366" s="733"/>
      <c r="C366" s="733"/>
      <c r="D366" s="733"/>
      <c r="E366" s="734"/>
      <c r="F366" s="734"/>
      <c r="G366" s="734"/>
      <c r="H366" s="734"/>
      <c r="I366" s="734"/>
      <c r="J366" s="734"/>
    </row>
    <row r="367" customHeight="1" spans="1:10">
      <c r="A367" s="738"/>
      <c r="B367" s="733"/>
      <c r="C367" s="733"/>
      <c r="D367" s="733"/>
      <c r="E367" s="734"/>
      <c r="F367" s="734"/>
      <c r="G367" s="734"/>
      <c r="H367" s="734"/>
      <c r="I367" s="734"/>
      <c r="J367" s="734"/>
    </row>
    <row r="368" customHeight="1" spans="1:10">
      <c r="A368" s="738"/>
      <c r="B368" s="733"/>
      <c r="C368" s="733"/>
      <c r="D368" s="733"/>
      <c r="E368" s="734"/>
      <c r="F368" s="734"/>
      <c r="G368" s="734"/>
      <c r="H368" s="734"/>
      <c r="I368" s="734"/>
      <c r="J368" s="734"/>
    </row>
    <row r="369" customHeight="1" spans="1:10">
      <c r="A369" s="738"/>
      <c r="B369" s="733"/>
      <c r="C369" s="733"/>
      <c r="D369" s="734"/>
      <c r="E369" s="734"/>
      <c r="F369" s="734"/>
      <c r="G369" s="734"/>
      <c r="H369" s="734"/>
      <c r="I369" s="734"/>
      <c r="J369" s="734"/>
    </row>
    <row r="371" customHeight="1" spans="1:10">
      <c r="A371" s="731"/>
      <c r="B371" s="731"/>
      <c r="C371" s="731"/>
      <c r="D371" s="731"/>
      <c r="E371" s="731"/>
      <c r="F371" s="731"/>
      <c r="G371" s="731"/>
      <c r="H371" s="731"/>
      <c r="I371" s="731"/>
      <c r="J371" s="731"/>
    </row>
    <row r="372" customHeight="1" spans="1:10">
      <c r="A372" s="738"/>
      <c r="B372" s="733"/>
      <c r="C372" s="733"/>
      <c r="D372" s="734"/>
      <c r="E372" s="734"/>
      <c r="F372" s="734"/>
      <c r="G372" s="734"/>
      <c r="H372" s="734"/>
      <c r="I372" s="734"/>
      <c r="J372" s="734"/>
    </row>
    <row r="373" customHeight="1" spans="1:10">
      <c r="A373" s="738"/>
      <c r="B373" s="733"/>
      <c r="C373" s="733"/>
      <c r="D373" s="734"/>
      <c r="E373" s="734"/>
      <c r="F373" s="734"/>
      <c r="G373" s="734"/>
      <c r="H373" s="734"/>
      <c r="I373" s="734"/>
      <c r="J373" s="734"/>
    </row>
    <row r="374" customHeight="1" spans="1:10">
      <c r="A374" s="738"/>
      <c r="B374" s="733"/>
      <c r="C374" s="733"/>
      <c r="D374" s="734"/>
      <c r="E374" s="734"/>
      <c r="F374" s="734"/>
      <c r="G374" s="734"/>
      <c r="H374" s="734"/>
      <c r="I374" s="734"/>
      <c r="J374" s="734"/>
    </row>
    <row r="375" customHeight="1" spans="1:10">
      <c r="A375" s="738"/>
      <c r="B375" s="733"/>
      <c r="C375" s="733"/>
      <c r="D375" s="733"/>
      <c r="E375" s="734"/>
      <c r="F375" s="734"/>
      <c r="G375" s="734"/>
      <c r="H375" s="734"/>
      <c r="I375" s="734"/>
      <c r="J375" s="734"/>
    </row>
    <row r="376" customHeight="1" spans="1:10">
      <c r="A376" s="738"/>
      <c r="B376" s="733"/>
      <c r="C376" s="733"/>
      <c r="D376" s="733"/>
      <c r="E376" s="734"/>
      <c r="F376" s="734"/>
      <c r="G376" s="734"/>
      <c r="H376" s="734"/>
      <c r="I376" s="734"/>
      <c r="J376" s="734"/>
    </row>
    <row r="377" customHeight="1" spans="1:10">
      <c r="A377" s="738"/>
      <c r="B377" s="733"/>
      <c r="C377" s="733"/>
      <c r="D377" s="733"/>
      <c r="E377" s="734"/>
      <c r="F377" s="734"/>
      <c r="G377" s="734"/>
      <c r="H377" s="734"/>
      <c r="I377" s="734"/>
      <c r="J377" s="734"/>
    </row>
    <row r="378" customHeight="1" spans="1:11">
      <c r="A378" s="738"/>
      <c r="B378" s="733"/>
      <c r="C378" s="733"/>
      <c r="D378" s="733"/>
      <c r="E378" s="734"/>
      <c r="F378" s="734"/>
      <c r="G378" s="734"/>
      <c r="H378" s="734"/>
      <c r="I378" s="734"/>
      <c r="J378" s="734"/>
      <c r="K378" s="731"/>
    </row>
    <row r="379" customHeight="1" spans="1:11">
      <c r="A379" s="738"/>
      <c r="B379" s="733"/>
      <c r="C379" s="733"/>
      <c r="D379" s="733"/>
      <c r="E379" s="734"/>
      <c r="F379" s="734"/>
      <c r="G379" s="734"/>
      <c r="H379" s="734"/>
      <c r="I379" s="734"/>
      <c r="J379" s="734"/>
      <c r="K379" s="734"/>
    </row>
    <row r="380" customHeight="1" spans="2:11">
      <c r="B380" s="727"/>
      <c r="C380" s="727"/>
      <c r="D380" s="727"/>
      <c r="K380" s="734"/>
    </row>
    <row r="381" customHeight="1" spans="1:11">
      <c r="A381" s="731"/>
      <c r="B381" s="741"/>
      <c r="C381" s="741"/>
      <c r="D381" s="741"/>
      <c r="E381" s="731"/>
      <c r="F381" s="731"/>
      <c r="G381" s="731"/>
      <c r="H381" s="731"/>
      <c r="I381" s="731"/>
      <c r="J381" s="731"/>
      <c r="K381" s="734"/>
    </row>
    <row r="382" customHeight="1" spans="1:11">
      <c r="A382" s="738"/>
      <c r="B382" s="733"/>
      <c r="C382" s="733"/>
      <c r="D382" s="733"/>
      <c r="E382" s="734"/>
      <c r="F382" s="734"/>
      <c r="G382" s="734"/>
      <c r="H382" s="734"/>
      <c r="I382" s="734"/>
      <c r="J382" s="734"/>
      <c r="K382" s="734"/>
    </row>
    <row r="383" customHeight="1" spans="1:11">
      <c r="A383" s="738"/>
      <c r="B383" s="733"/>
      <c r="C383" s="733"/>
      <c r="D383" s="733"/>
      <c r="E383" s="734"/>
      <c r="F383" s="734"/>
      <c r="G383" s="734"/>
      <c r="H383" s="734"/>
      <c r="I383" s="734"/>
      <c r="J383" s="734"/>
      <c r="K383" s="734"/>
    </row>
    <row r="384" customHeight="1" spans="1:11">
      <c r="A384" s="738"/>
      <c r="B384" s="733"/>
      <c r="C384" s="733"/>
      <c r="D384" s="733"/>
      <c r="E384" s="734"/>
      <c r="F384" s="734"/>
      <c r="G384" s="734"/>
      <c r="H384" s="734"/>
      <c r="I384" s="734"/>
      <c r="J384" s="734"/>
      <c r="K384" s="734"/>
    </row>
    <row r="385" customHeight="1" spans="1:11">
      <c r="A385" s="738"/>
      <c r="B385" s="733"/>
      <c r="C385" s="733"/>
      <c r="D385" s="733"/>
      <c r="E385" s="734"/>
      <c r="F385" s="734"/>
      <c r="G385" s="734"/>
      <c r="H385" s="734"/>
      <c r="I385" s="734"/>
      <c r="J385" s="734"/>
      <c r="K385" s="734"/>
    </row>
    <row r="386" customHeight="1" spans="1:11">
      <c r="A386" s="738"/>
      <c r="B386" s="733"/>
      <c r="C386" s="733"/>
      <c r="D386" s="733"/>
      <c r="E386" s="734"/>
      <c r="F386" s="734"/>
      <c r="G386" s="734"/>
      <c r="H386" s="734"/>
      <c r="I386" s="734"/>
      <c r="J386" s="734"/>
      <c r="K386" s="734"/>
    </row>
    <row r="387" customHeight="1" spans="1:10">
      <c r="A387" s="738"/>
      <c r="B387" s="733"/>
      <c r="C387" s="733"/>
      <c r="D387" s="733"/>
      <c r="E387" s="734"/>
      <c r="F387" s="734"/>
      <c r="G387" s="734"/>
      <c r="H387" s="734"/>
      <c r="I387" s="734"/>
      <c r="J387" s="734"/>
    </row>
    <row r="388" customHeight="1" spans="1:11">
      <c r="A388" s="738"/>
      <c r="B388" s="733"/>
      <c r="C388" s="733"/>
      <c r="D388" s="733"/>
      <c r="E388" s="734"/>
      <c r="F388" s="734"/>
      <c r="G388" s="734"/>
      <c r="H388" s="734"/>
      <c r="I388" s="734"/>
      <c r="J388" s="734"/>
      <c r="K388" s="731"/>
    </row>
    <row r="389" customHeight="1" spans="1:11">
      <c r="A389" s="738"/>
      <c r="B389" s="733"/>
      <c r="C389" s="733"/>
      <c r="D389" s="733"/>
      <c r="E389" s="734"/>
      <c r="F389" s="734"/>
      <c r="G389" s="734"/>
      <c r="H389" s="734"/>
      <c r="I389" s="734"/>
      <c r="J389" s="734"/>
      <c r="K389" s="734"/>
    </row>
    <row r="390" customHeight="1" spans="2:11">
      <c r="B390" s="727"/>
      <c r="C390" s="727"/>
      <c r="D390" s="727"/>
      <c r="K390" s="734"/>
    </row>
    <row r="391" customHeight="1" spans="1:11">
      <c r="A391" s="731"/>
      <c r="B391" s="741"/>
      <c r="C391" s="741"/>
      <c r="D391" s="741"/>
      <c r="E391" s="731"/>
      <c r="F391" s="731"/>
      <c r="G391" s="731"/>
      <c r="H391" s="731"/>
      <c r="I391" s="731"/>
      <c r="J391" s="731"/>
      <c r="K391" s="734"/>
    </row>
    <row r="392" customHeight="1" spans="1:11">
      <c r="A392" s="738"/>
      <c r="B392" s="733"/>
      <c r="C392" s="733"/>
      <c r="D392" s="733"/>
      <c r="E392" s="734"/>
      <c r="F392" s="734"/>
      <c r="G392" s="734"/>
      <c r="H392" s="734"/>
      <c r="I392" s="734"/>
      <c r="J392" s="734"/>
      <c r="K392" s="734"/>
    </row>
    <row r="393" customHeight="1" spans="1:11">
      <c r="A393" s="738"/>
      <c r="B393" s="733"/>
      <c r="C393" s="733"/>
      <c r="D393" s="733"/>
      <c r="E393" s="734"/>
      <c r="F393" s="734"/>
      <c r="G393" s="734"/>
      <c r="H393" s="734"/>
      <c r="I393" s="734"/>
      <c r="J393" s="734"/>
      <c r="K393" s="734"/>
    </row>
    <row r="394" customHeight="1" spans="1:11">
      <c r="A394" s="738"/>
      <c r="B394" s="733"/>
      <c r="C394" s="733"/>
      <c r="D394" s="733"/>
      <c r="E394" s="734"/>
      <c r="F394" s="734"/>
      <c r="G394" s="734"/>
      <c r="H394" s="734"/>
      <c r="I394" s="734"/>
      <c r="J394" s="734"/>
      <c r="K394" s="734"/>
    </row>
    <row r="395" customHeight="1" spans="1:11">
      <c r="A395" s="738"/>
      <c r="B395" s="733"/>
      <c r="C395" s="733"/>
      <c r="D395" s="733"/>
      <c r="E395" s="734"/>
      <c r="F395" s="734"/>
      <c r="G395" s="734"/>
      <c r="H395" s="734"/>
      <c r="I395" s="734"/>
      <c r="J395" s="734"/>
      <c r="K395" s="734"/>
    </row>
    <row r="396" customHeight="1" spans="1:11">
      <c r="A396" s="738"/>
      <c r="B396" s="733"/>
      <c r="C396" s="733"/>
      <c r="D396" s="733"/>
      <c r="E396" s="734"/>
      <c r="F396" s="734"/>
      <c r="G396" s="734"/>
      <c r="H396" s="734"/>
      <c r="I396" s="734"/>
      <c r="J396" s="734"/>
      <c r="K396" s="734"/>
    </row>
    <row r="397" customHeight="1" spans="1:10">
      <c r="A397" s="738"/>
      <c r="B397" s="733"/>
      <c r="C397" s="733"/>
      <c r="D397" s="733"/>
      <c r="E397" s="734"/>
      <c r="F397" s="734"/>
      <c r="G397" s="734"/>
      <c r="H397" s="734"/>
      <c r="I397" s="734"/>
      <c r="J397" s="734"/>
    </row>
    <row r="398" customHeight="1" spans="1:11">
      <c r="A398" s="738"/>
      <c r="B398" s="733"/>
      <c r="C398" s="733"/>
      <c r="D398" s="733"/>
      <c r="E398" s="734"/>
      <c r="F398" s="734"/>
      <c r="G398" s="734"/>
      <c r="H398" s="734"/>
      <c r="I398" s="734"/>
      <c r="J398" s="734"/>
      <c r="K398" s="731"/>
    </row>
    <row r="399" customHeight="1" spans="1:11">
      <c r="A399" s="738"/>
      <c r="B399" s="733"/>
      <c r="C399" s="733"/>
      <c r="D399" s="733"/>
      <c r="E399" s="734"/>
      <c r="F399" s="734"/>
      <c r="G399" s="734"/>
      <c r="H399" s="734"/>
      <c r="I399" s="734"/>
      <c r="J399" s="734"/>
      <c r="K399" s="734"/>
    </row>
    <row r="400" customHeight="1" spans="2:11">
      <c r="B400" s="727"/>
      <c r="C400" s="727"/>
      <c r="D400" s="727"/>
      <c r="K400" s="734"/>
    </row>
    <row r="401" customHeight="1" spans="1:11">
      <c r="A401" s="731"/>
      <c r="B401" s="741"/>
      <c r="C401" s="741"/>
      <c r="D401" s="741"/>
      <c r="E401" s="731"/>
      <c r="F401" s="731"/>
      <c r="G401" s="731"/>
      <c r="H401" s="731"/>
      <c r="I401" s="731"/>
      <c r="J401" s="731"/>
      <c r="K401" s="734"/>
    </row>
    <row r="402" customHeight="1" spans="1:11">
      <c r="A402" s="738"/>
      <c r="B402" s="733"/>
      <c r="C402" s="733"/>
      <c r="D402" s="733"/>
      <c r="E402" s="734"/>
      <c r="F402" s="734"/>
      <c r="G402" s="734"/>
      <c r="H402" s="734"/>
      <c r="I402" s="734"/>
      <c r="J402" s="734"/>
      <c r="K402" s="734"/>
    </row>
    <row r="403" customHeight="1" spans="1:11">
      <c r="A403" s="738"/>
      <c r="B403" s="733"/>
      <c r="C403" s="733"/>
      <c r="D403" s="733"/>
      <c r="E403" s="734"/>
      <c r="F403" s="734"/>
      <c r="G403" s="734"/>
      <c r="H403" s="734"/>
      <c r="I403" s="734"/>
      <c r="J403" s="734"/>
      <c r="K403" s="734"/>
    </row>
    <row r="404" customHeight="1" spans="1:11">
      <c r="A404" s="738"/>
      <c r="B404" s="733"/>
      <c r="C404" s="733"/>
      <c r="D404" s="733"/>
      <c r="E404" s="734"/>
      <c r="F404" s="734"/>
      <c r="G404" s="734"/>
      <c r="H404" s="734"/>
      <c r="I404" s="734"/>
      <c r="J404" s="734"/>
      <c r="K404" s="734"/>
    </row>
    <row r="405" customHeight="1" spans="1:11">
      <c r="A405" s="738"/>
      <c r="B405" s="733"/>
      <c r="C405" s="733"/>
      <c r="D405" s="733"/>
      <c r="E405" s="734"/>
      <c r="F405" s="734"/>
      <c r="G405" s="734"/>
      <c r="H405" s="734"/>
      <c r="I405" s="734"/>
      <c r="J405" s="734"/>
      <c r="K405" s="734"/>
    </row>
    <row r="406" customHeight="1" spans="1:11">
      <c r="A406" s="738"/>
      <c r="B406" s="733"/>
      <c r="C406" s="733"/>
      <c r="D406" s="733"/>
      <c r="E406" s="734"/>
      <c r="F406" s="734"/>
      <c r="G406" s="734"/>
      <c r="H406" s="734"/>
      <c r="I406" s="734"/>
      <c r="J406" s="734"/>
      <c r="K406" s="734"/>
    </row>
    <row r="407" customHeight="1" spans="1:10">
      <c r="A407" s="738"/>
      <c r="B407" s="733"/>
      <c r="C407" s="733"/>
      <c r="D407" s="733"/>
      <c r="E407" s="734"/>
      <c r="F407" s="734"/>
      <c r="G407" s="734"/>
      <c r="H407" s="734"/>
      <c r="I407" s="734"/>
      <c r="J407" s="734"/>
    </row>
    <row r="408" customHeight="1" spans="1:11">
      <c r="A408" s="738"/>
      <c r="B408" s="733"/>
      <c r="C408" s="733"/>
      <c r="D408" s="733"/>
      <c r="E408" s="734"/>
      <c r="F408" s="734"/>
      <c r="G408" s="734"/>
      <c r="H408" s="734"/>
      <c r="I408" s="734"/>
      <c r="J408" s="734"/>
      <c r="K408" s="731"/>
    </row>
    <row r="409" customHeight="1" spans="1:11">
      <c r="A409" s="738"/>
      <c r="B409" s="733"/>
      <c r="C409" s="733"/>
      <c r="D409" s="733"/>
      <c r="E409" s="734"/>
      <c r="F409" s="734"/>
      <c r="G409" s="734"/>
      <c r="H409" s="734"/>
      <c r="I409" s="734"/>
      <c r="J409" s="734"/>
      <c r="K409" s="734"/>
    </row>
    <row r="410" customHeight="1" spans="2:11">
      <c r="B410" s="727"/>
      <c r="C410" s="727"/>
      <c r="D410" s="727"/>
      <c r="K410" s="734"/>
    </row>
    <row r="411" customHeight="1" spans="1:11">
      <c r="A411" s="731"/>
      <c r="B411" s="741"/>
      <c r="C411" s="741"/>
      <c r="D411" s="741"/>
      <c r="E411" s="731"/>
      <c r="F411" s="731"/>
      <c r="G411" s="731"/>
      <c r="H411" s="731"/>
      <c r="I411" s="731"/>
      <c r="J411" s="731"/>
      <c r="K411" s="734"/>
    </row>
    <row r="412" customHeight="1" spans="1:11">
      <c r="A412" s="738"/>
      <c r="B412" s="733"/>
      <c r="C412" s="733"/>
      <c r="D412" s="733"/>
      <c r="E412" s="734"/>
      <c r="F412" s="734"/>
      <c r="G412" s="734"/>
      <c r="H412" s="734"/>
      <c r="I412" s="734"/>
      <c r="J412" s="734"/>
      <c r="K412" s="734"/>
    </row>
    <row r="413" customHeight="1" spans="1:11">
      <c r="A413" s="738"/>
      <c r="B413" s="733"/>
      <c r="C413" s="733"/>
      <c r="D413" s="733"/>
      <c r="E413" s="734"/>
      <c r="F413" s="734"/>
      <c r="G413" s="734"/>
      <c r="H413" s="734"/>
      <c r="I413" s="734"/>
      <c r="J413" s="734"/>
      <c r="K413" s="734"/>
    </row>
    <row r="414" customHeight="1" spans="1:11">
      <c r="A414" s="738"/>
      <c r="B414" s="733"/>
      <c r="C414" s="733"/>
      <c r="D414" s="733"/>
      <c r="E414" s="734"/>
      <c r="F414" s="734"/>
      <c r="G414" s="734"/>
      <c r="H414" s="734"/>
      <c r="I414" s="734"/>
      <c r="J414" s="734"/>
      <c r="K414" s="734"/>
    </row>
    <row r="415" customHeight="1" spans="1:11">
      <c r="A415" s="738"/>
      <c r="B415" s="733"/>
      <c r="C415" s="733"/>
      <c r="D415" s="733"/>
      <c r="E415" s="734"/>
      <c r="F415" s="734"/>
      <c r="G415" s="734"/>
      <c r="H415" s="734"/>
      <c r="I415" s="734"/>
      <c r="J415" s="734"/>
      <c r="K415" s="734"/>
    </row>
    <row r="416" customHeight="1" spans="1:11">
      <c r="A416" s="738"/>
      <c r="B416" s="733"/>
      <c r="C416" s="733"/>
      <c r="D416" s="733"/>
      <c r="E416" s="734"/>
      <c r="F416" s="734"/>
      <c r="G416" s="734"/>
      <c r="H416" s="734"/>
      <c r="I416" s="734"/>
      <c r="J416" s="734"/>
      <c r="K416" s="734"/>
    </row>
    <row r="417" customHeight="1" spans="1:10">
      <c r="A417" s="738"/>
      <c r="B417" s="733"/>
      <c r="C417" s="733"/>
      <c r="D417" s="733"/>
      <c r="E417" s="734"/>
      <c r="F417" s="734"/>
      <c r="G417" s="734"/>
      <c r="H417" s="734"/>
      <c r="I417" s="734"/>
      <c r="J417" s="734"/>
    </row>
    <row r="418" customHeight="1" spans="1:11">
      <c r="A418" s="738"/>
      <c r="B418" s="733"/>
      <c r="C418" s="733"/>
      <c r="D418" s="733"/>
      <c r="E418" s="734"/>
      <c r="F418" s="734"/>
      <c r="G418" s="734"/>
      <c r="H418" s="734"/>
      <c r="I418" s="734"/>
      <c r="J418" s="734"/>
      <c r="K418" s="731"/>
    </row>
    <row r="419" customHeight="1" spans="1:11">
      <c r="A419" s="738"/>
      <c r="B419" s="733"/>
      <c r="C419" s="733"/>
      <c r="D419" s="733"/>
      <c r="E419" s="734"/>
      <c r="F419" s="734"/>
      <c r="G419" s="734"/>
      <c r="H419" s="734"/>
      <c r="I419" s="734"/>
      <c r="J419" s="734"/>
      <c r="K419" s="734"/>
    </row>
    <row r="420" customHeight="1" spans="2:11">
      <c r="B420" s="727"/>
      <c r="C420" s="727"/>
      <c r="D420" s="727"/>
      <c r="K420" s="734"/>
    </row>
    <row r="421" customHeight="1" spans="2:11">
      <c r="B421" s="727"/>
      <c r="C421" s="727"/>
      <c r="D421" s="727"/>
      <c r="K421" s="734"/>
    </row>
    <row r="422" customHeight="1" spans="2:11">
      <c r="B422" s="727"/>
      <c r="C422" s="727"/>
      <c r="D422" s="727"/>
      <c r="K422" s="734"/>
    </row>
    <row r="423" customHeight="1" spans="1:11">
      <c r="A423" s="731"/>
      <c r="B423" s="741"/>
      <c r="C423" s="741"/>
      <c r="D423" s="741"/>
      <c r="E423" s="731"/>
      <c r="F423" s="731"/>
      <c r="G423" s="731"/>
      <c r="H423" s="731"/>
      <c r="I423" s="731"/>
      <c r="J423" s="731"/>
      <c r="K423" s="734"/>
    </row>
    <row r="424" customHeight="1" spans="1:11">
      <c r="A424" s="738"/>
      <c r="B424" s="733"/>
      <c r="C424" s="733"/>
      <c r="D424" s="733"/>
      <c r="E424" s="733"/>
      <c r="F424" s="733"/>
      <c r="G424" s="733"/>
      <c r="H424" s="733"/>
      <c r="I424" s="733"/>
      <c r="J424" s="734"/>
      <c r="K424" s="734"/>
    </row>
    <row r="425" customHeight="1" spans="1:11">
      <c r="A425" s="738"/>
      <c r="B425" s="733"/>
      <c r="C425" s="733"/>
      <c r="D425" s="733"/>
      <c r="E425" s="733"/>
      <c r="F425" s="733"/>
      <c r="G425" s="733"/>
      <c r="H425" s="733"/>
      <c r="I425" s="733"/>
      <c r="J425" s="734"/>
      <c r="K425" s="734"/>
    </row>
    <row r="426" customHeight="1" spans="1:11">
      <c r="A426" s="738"/>
      <c r="B426" s="733"/>
      <c r="C426" s="733"/>
      <c r="D426" s="733"/>
      <c r="E426" s="733"/>
      <c r="F426" s="733"/>
      <c r="G426" s="733"/>
      <c r="H426" s="733"/>
      <c r="I426" s="733"/>
      <c r="J426" s="734"/>
      <c r="K426" s="734"/>
    </row>
    <row r="427" customHeight="1" spans="1:10">
      <c r="A427" s="738"/>
      <c r="B427" s="734"/>
      <c r="C427" s="734"/>
      <c r="D427" s="733"/>
      <c r="E427" s="733"/>
      <c r="F427" s="733"/>
      <c r="G427" s="733"/>
      <c r="H427" s="733"/>
      <c r="I427" s="733"/>
      <c r="J427" s="734"/>
    </row>
    <row r="428" customHeight="1" spans="1:11">
      <c r="A428" s="738"/>
      <c r="B428" s="734"/>
      <c r="C428" s="734"/>
      <c r="D428" s="733"/>
      <c r="E428" s="733"/>
      <c r="F428" s="733"/>
      <c r="G428" s="733"/>
      <c r="H428" s="733"/>
      <c r="I428" s="733"/>
      <c r="J428" s="734"/>
      <c r="K428" s="731"/>
    </row>
    <row r="429" customHeight="1" spans="1:11">
      <c r="A429" s="738"/>
      <c r="B429" s="733"/>
      <c r="C429" s="733"/>
      <c r="D429" s="733"/>
      <c r="E429" s="733"/>
      <c r="F429" s="733"/>
      <c r="G429" s="733"/>
      <c r="H429" s="733"/>
      <c r="I429" s="733"/>
      <c r="J429" s="734"/>
      <c r="K429" s="734"/>
    </row>
    <row r="430" customHeight="1" spans="1:11">
      <c r="A430" s="738"/>
      <c r="B430" s="733"/>
      <c r="C430" s="733"/>
      <c r="D430" s="733"/>
      <c r="E430" s="733"/>
      <c r="F430" s="733"/>
      <c r="G430" s="733"/>
      <c r="H430" s="733"/>
      <c r="I430" s="733"/>
      <c r="J430" s="734"/>
      <c r="K430" s="734"/>
    </row>
    <row r="431" customHeight="1" spans="1:11">
      <c r="A431" s="738"/>
      <c r="B431" s="733"/>
      <c r="C431" s="733"/>
      <c r="D431" s="733"/>
      <c r="E431" s="733"/>
      <c r="F431" s="733"/>
      <c r="G431" s="733"/>
      <c r="H431" s="733"/>
      <c r="I431" s="733"/>
      <c r="J431" s="734"/>
      <c r="K431" s="734"/>
    </row>
    <row r="432" customHeight="1" spans="2:11">
      <c r="B432" s="727"/>
      <c r="C432" s="727"/>
      <c r="D432" s="727"/>
      <c r="K432" s="734"/>
    </row>
    <row r="433" customHeight="1" spans="2:11">
      <c r="B433" s="727"/>
      <c r="C433" s="727"/>
      <c r="D433" s="727"/>
      <c r="K433" s="734"/>
    </row>
    <row r="434" customHeight="1" spans="1:11">
      <c r="A434" s="742"/>
      <c r="B434" s="733"/>
      <c r="C434" s="733"/>
      <c r="D434" s="733"/>
      <c r="E434" s="734"/>
      <c r="F434" s="734"/>
      <c r="G434" s="734"/>
      <c r="H434" s="734"/>
      <c r="I434" s="734"/>
      <c r="J434" s="734"/>
      <c r="K434" s="734"/>
    </row>
    <row r="435" customHeight="1" spans="1:11">
      <c r="A435" s="738"/>
      <c r="B435" s="733"/>
      <c r="C435" s="733"/>
      <c r="D435" s="733"/>
      <c r="E435" s="734"/>
      <c r="F435" s="734"/>
      <c r="G435" s="734"/>
      <c r="H435" s="734"/>
      <c r="I435" s="734"/>
      <c r="J435" s="734"/>
      <c r="K435" s="734"/>
    </row>
    <row r="436" customHeight="1" spans="1:11">
      <c r="A436" s="738"/>
      <c r="B436" s="733"/>
      <c r="C436" s="733"/>
      <c r="D436" s="733"/>
      <c r="E436" s="734"/>
      <c r="F436" s="734"/>
      <c r="G436" s="734"/>
      <c r="H436" s="734"/>
      <c r="I436" s="734"/>
      <c r="J436" s="734"/>
      <c r="K436" s="734"/>
    </row>
    <row r="438" customHeight="1" spans="1:11">
      <c r="A438" s="731"/>
      <c r="B438" s="731"/>
      <c r="C438" s="731"/>
      <c r="D438" s="731"/>
      <c r="E438" s="731"/>
      <c r="F438" s="731"/>
      <c r="G438" s="731"/>
      <c r="H438" s="731"/>
      <c r="I438" s="731"/>
      <c r="J438" s="731"/>
      <c r="K438" s="731"/>
    </row>
    <row r="439" customHeight="1" spans="1:11">
      <c r="A439" s="738"/>
      <c r="B439" s="733"/>
      <c r="C439" s="733"/>
      <c r="D439" s="733"/>
      <c r="E439" s="734"/>
      <c r="F439" s="734"/>
      <c r="G439" s="734"/>
      <c r="H439" s="734"/>
      <c r="I439" s="734"/>
      <c r="J439" s="734"/>
      <c r="K439" s="734"/>
    </row>
    <row r="440" customHeight="1" spans="1:11">
      <c r="A440" s="738"/>
      <c r="B440" s="733"/>
      <c r="C440" s="733"/>
      <c r="D440" s="733"/>
      <c r="E440" s="734"/>
      <c r="F440" s="734"/>
      <c r="G440" s="734"/>
      <c r="H440" s="734"/>
      <c r="I440" s="734"/>
      <c r="J440" s="734"/>
      <c r="K440" s="734"/>
    </row>
    <row r="441" customHeight="1" spans="1:11">
      <c r="A441" s="738"/>
      <c r="B441" s="733"/>
      <c r="C441" s="733"/>
      <c r="D441" s="733"/>
      <c r="E441" s="734"/>
      <c r="F441" s="734"/>
      <c r="G441" s="734"/>
      <c r="H441" s="734"/>
      <c r="I441" s="734"/>
      <c r="J441" s="734"/>
      <c r="K441" s="734"/>
    </row>
    <row r="442" customHeight="1" spans="1:11">
      <c r="A442" s="738"/>
      <c r="B442" s="733"/>
      <c r="C442" s="733"/>
      <c r="D442" s="733"/>
      <c r="E442" s="734"/>
      <c r="F442" s="734"/>
      <c r="G442" s="734"/>
      <c r="H442" s="734"/>
      <c r="I442" s="734"/>
      <c r="J442" s="734"/>
      <c r="K442" s="734"/>
    </row>
    <row r="443" customHeight="1" spans="1:11">
      <c r="A443" s="738"/>
      <c r="B443" s="733"/>
      <c r="C443" s="733"/>
      <c r="D443" s="733"/>
      <c r="E443" s="734"/>
      <c r="F443" s="734"/>
      <c r="G443" s="734"/>
      <c r="H443" s="734"/>
      <c r="I443" s="734"/>
      <c r="J443" s="734"/>
      <c r="K443" s="734"/>
    </row>
    <row r="444" customHeight="1" spans="1:11">
      <c r="A444" s="738"/>
      <c r="B444" s="733"/>
      <c r="C444" s="733"/>
      <c r="D444" s="733"/>
      <c r="E444" s="734"/>
      <c r="F444" s="734"/>
      <c r="G444" s="734"/>
      <c r="H444" s="734"/>
      <c r="I444" s="734"/>
      <c r="J444" s="734"/>
      <c r="K444" s="734"/>
    </row>
    <row r="445" customHeight="1" spans="1:11">
      <c r="A445" s="738"/>
      <c r="B445" s="733"/>
      <c r="C445" s="733"/>
      <c r="D445" s="733"/>
      <c r="E445" s="734"/>
      <c r="F445" s="734"/>
      <c r="G445" s="734"/>
      <c r="H445" s="734"/>
      <c r="I445" s="734"/>
      <c r="J445" s="734"/>
      <c r="K445" s="734"/>
    </row>
    <row r="446" customHeight="1" spans="1:11">
      <c r="A446" s="738"/>
      <c r="B446" s="733"/>
      <c r="C446" s="733"/>
      <c r="D446" s="733"/>
      <c r="E446" s="734"/>
      <c r="F446" s="734"/>
      <c r="G446" s="734"/>
      <c r="H446" s="734"/>
      <c r="I446" s="734"/>
      <c r="J446" s="734"/>
      <c r="K446" s="734"/>
    </row>
    <row r="448" customHeight="1" spans="1:11">
      <c r="A448" s="731"/>
      <c r="B448" s="731"/>
      <c r="C448" s="731"/>
      <c r="D448" s="731"/>
      <c r="E448" s="731"/>
      <c r="F448" s="731"/>
      <c r="G448" s="731"/>
      <c r="H448" s="731"/>
      <c r="I448" s="731"/>
      <c r="J448" s="731"/>
      <c r="K448" s="731"/>
    </row>
    <row r="449" customHeight="1" spans="1:11">
      <c r="A449" s="738"/>
      <c r="B449" s="733"/>
      <c r="C449" s="733"/>
      <c r="D449" s="733"/>
      <c r="E449" s="734"/>
      <c r="F449" s="734"/>
      <c r="G449" s="734"/>
      <c r="H449" s="734"/>
      <c r="I449" s="734"/>
      <c r="J449" s="734"/>
      <c r="K449" s="734"/>
    </row>
    <row r="450" customHeight="1" spans="1:11">
      <c r="A450" s="738"/>
      <c r="B450" s="733"/>
      <c r="C450" s="733"/>
      <c r="D450" s="733"/>
      <c r="E450" s="734"/>
      <c r="F450" s="734"/>
      <c r="G450" s="734"/>
      <c r="H450" s="734"/>
      <c r="I450" s="734"/>
      <c r="J450" s="734"/>
      <c r="K450" s="734"/>
    </row>
    <row r="451" customHeight="1" spans="1:11">
      <c r="A451" s="738"/>
      <c r="B451" s="733"/>
      <c r="C451" s="733"/>
      <c r="D451" s="733"/>
      <c r="E451" s="734"/>
      <c r="F451" s="734"/>
      <c r="G451" s="734"/>
      <c r="H451" s="734"/>
      <c r="I451" s="734"/>
      <c r="J451" s="734"/>
      <c r="K451" s="734"/>
    </row>
    <row r="452" customHeight="1" spans="1:11">
      <c r="A452" s="738"/>
      <c r="B452" s="733"/>
      <c r="C452" s="733"/>
      <c r="D452" s="733"/>
      <c r="E452" s="734"/>
      <c r="F452" s="734"/>
      <c r="G452" s="734"/>
      <c r="H452" s="734"/>
      <c r="I452" s="734"/>
      <c r="J452" s="734"/>
      <c r="K452" s="734"/>
    </row>
    <row r="453" customHeight="1" spans="1:11">
      <c r="A453" s="738"/>
      <c r="B453" s="733"/>
      <c r="C453" s="733"/>
      <c r="D453" s="733"/>
      <c r="E453" s="734"/>
      <c r="F453" s="734"/>
      <c r="G453" s="734"/>
      <c r="H453" s="734"/>
      <c r="I453" s="734"/>
      <c r="J453" s="734"/>
      <c r="K453" s="734"/>
    </row>
    <row r="454" customHeight="1" spans="1:11">
      <c r="A454" s="738"/>
      <c r="B454" s="733"/>
      <c r="C454" s="733"/>
      <c r="D454" s="733"/>
      <c r="E454" s="734"/>
      <c r="F454" s="734"/>
      <c r="G454" s="734"/>
      <c r="H454" s="734"/>
      <c r="I454" s="734"/>
      <c r="J454" s="734"/>
      <c r="K454" s="734"/>
    </row>
    <row r="455" customHeight="1" spans="1:11">
      <c r="A455" s="738"/>
      <c r="B455" s="733"/>
      <c r="C455" s="733"/>
      <c r="D455" s="733"/>
      <c r="E455" s="734"/>
      <c r="F455" s="734"/>
      <c r="G455" s="734"/>
      <c r="H455" s="734"/>
      <c r="I455" s="734"/>
      <c r="J455" s="734"/>
      <c r="K455" s="734"/>
    </row>
    <row r="456" customHeight="1" spans="1:11">
      <c r="A456" s="738"/>
      <c r="B456" s="733"/>
      <c r="C456" s="733"/>
      <c r="D456" s="733"/>
      <c r="E456" s="734"/>
      <c r="F456" s="734"/>
      <c r="G456" s="734"/>
      <c r="H456" s="734"/>
      <c r="I456" s="734"/>
      <c r="J456" s="734"/>
      <c r="K456" s="734"/>
    </row>
    <row r="458" customHeight="1" spans="1:11">
      <c r="A458" s="731"/>
      <c r="B458" s="731"/>
      <c r="C458" s="731"/>
      <c r="D458" s="731"/>
      <c r="E458" s="731"/>
      <c r="F458" s="731"/>
      <c r="G458" s="731"/>
      <c r="H458" s="731"/>
      <c r="I458" s="731"/>
      <c r="J458" s="731"/>
      <c r="K458" s="731"/>
    </row>
    <row r="459" customHeight="1" spans="1:11">
      <c r="A459" s="738"/>
      <c r="B459" s="733"/>
      <c r="C459" s="733"/>
      <c r="D459" s="734"/>
      <c r="E459" s="734"/>
      <c r="F459" s="734"/>
      <c r="G459" s="734"/>
      <c r="H459" s="734"/>
      <c r="I459" s="734"/>
      <c r="J459" s="734"/>
      <c r="K459" s="734"/>
    </row>
    <row r="460" customHeight="1" spans="1:11">
      <c r="A460" s="738"/>
      <c r="B460" s="733"/>
      <c r="C460" s="733"/>
      <c r="D460" s="734"/>
      <c r="E460" s="734"/>
      <c r="F460" s="734"/>
      <c r="G460" s="734"/>
      <c r="H460" s="734"/>
      <c r="I460" s="734"/>
      <c r="J460" s="734"/>
      <c r="K460" s="734"/>
    </row>
    <row r="461" customHeight="1" spans="1:11">
      <c r="A461" s="738"/>
      <c r="B461" s="733"/>
      <c r="C461" s="733"/>
      <c r="D461" s="734"/>
      <c r="E461" s="734"/>
      <c r="F461" s="734"/>
      <c r="G461" s="734"/>
      <c r="H461" s="734"/>
      <c r="I461" s="734"/>
      <c r="J461" s="734"/>
      <c r="K461" s="734"/>
    </row>
    <row r="462" customHeight="1" spans="1:11">
      <c r="A462" s="738"/>
      <c r="B462" s="733"/>
      <c r="C462" s="733"/>
      <c r="D462" s="733"/>
      <c r="E462" s="734"/>
      <c r="F462" s="734"/>
      <c r="G462" s="734"/>
      <c r="H462" s="734"/>
      <c r="I462" s="734"/>
      <c r="J462" s="734"/>
      <c r="K462" s="734"/>
    </row>
    <row r="463" customHeight="1" spans="1:11">
      <c r="A463" s="738"/>
      <c r="B463" s="733"/>
      <c r="C463" s="733"/>
      <c r="D463" s="733"/>
      <c r="E463" s="734"/>
      <c r="F463" s="734"/>
      <c r="G463" s="734"/>
      <c r="H463" s="734"/>
      <c r="I463" s="734"/>
      <c r="J463" s="734"/>
      <c r="K463" s="734"/>
    </row>
    <row r="464" customHeight="1" spans="1:11">
      <c r="A464" s="738"/>
      <c r="B464" s="733"/>
      <c r="C464" s="733"/>
      <c r="D464" s="733"/>
      <c r="E464" s="734"/>
      <c r="F464" s="734"/>
      <c r="G464" s="734"/>
      <c r="H464" s="734"/>
      <c r="I464" s="734"/>
      <c r="J464" s="734"/>
      <c r="K464" s="734"/>
    </row>
    <row r="465" customHeight="1" spans="1:11">
      <c r="A465" s="738"/>
      <c r="B465" s="733"/>
      <c r="C465" s="733"/>
      <c r="D465" s="733"/>
      <c r="E465" s="734"/>
      <c r="F465" s="734"/>
      <c r="G465" s="734"/>
      <c r="H465" s="734"/>
      <c r="I465" s="734"/>
      <c r="J465" s="734"/>
      <c r="K465" s="734"/>
    </row>
    <row r="466" customHeight="1" spans="1:11">
      <c r="A466" s="738"/>
      <c r="B466" s="733"/>
      <c r="C466" s="733"/>
      <c r="D466" s="734"/>
      <c r="E466" s="734"/>
      <c r="F466" s="734"/>
      <c r="G466" s="734"/>
      <c r="H466" s="734"/>
      <c r="I466" s="734"/>
      <c r="J466" s="734"/>
      <c r="K466" s="734"/>
    </row>
    <row r="468" customHeight="1" spans="1:11">
      <c r="A468" s="731"/>
      <c r="B468" s="731"/>
      <c r="C468" s="731"/>
      <c r="D468" s="731"/>
      <c r="E468" s="731"/>
      <c r="F468" s="731"/>
      <c r="G468" s="731"/>
      <c r="H468" s="731"/>
      <c r="I468" s="731"/>
      <c r="J468" s="731"/>
      <c r="K468" s="731"/>
    </row>
    <row r="469" customHeight="1" spans="1:11">
      <c r="A469" s="738"/>
      <c r="B469" s="733"/>
      <c r="C469" s="733"/>
      <c r="D469" s="734"/>
      <c r="E469" s="734"/>
      <c r="F469" s="734"/>
      <c r="G469" s="734"/>
      <c r="H469" s="734"/>
      <c r="I469" s="734"/>
      <c r="J469" s="734"/>
      <c r="K469" s="734"/>
    </row>
    <row r="470" customHeight="1" spans="1:11">
      <c r="A470" s="738"/>
      <c r="B470" s="733"/>
      <c r="C470" s="733"/>
      <c r="D470" s="734"/>
      <c r="E470" s="734"/>
      <c r="F470" s="734"/>
      <c r="G470" s="734"/>
      <c r="H470" s="734"/>
      <c r="I470" s="734"/>
      <c r="J470" s="734"/>
      <c r="K470" s="734"/>
    </row>
    <row r="471" customHeight="1" spans="1:11">
      <c r="A471" s="738"/>
      <c r="B471" s="733"/>
      <c r="C471" s="733"/>
      <c r="D471" s="734"/>
      <c r="E471" s="734"/>
      <c r="F471" s="734"/>
      <c r="G471" s="734"/>
      <c r="H471" s="734"/>
      <c r="I471" s="734"/>
      <c r="J471" s="734"/>
      <c r="K471" s="734"/>
    </row>
    <row r="472" customHeight="1" spans="1:11">
      <c r="A472" s="738"/>
      <c r="B472" s="733"/>
      <c r="C472" s="733"/>
      <c r="D472" s="733"/>
      <c r="E472" s="734"/>
      <c r="F472" s="734"/>
      <c r="G472" s="734"/>
      <c r="H472" s="734"/>
      <c r="I472" s="734"/>
      <c r="J472" s="734"/>
      <c r="K472" s="734"/>
    </row>
    <row r="473" customHeight="1" spans="1:11">
      <c r="A473" s="738"/>
      <c r="B473" s="733"/>
      <c r="C473" s="733"/>
      <c r="D473" s="733"/>
      <c r="E473" s="734"/>
      <c r="F473" s="734"/>
      <c r="G473" s="734"/>
      <c r="H473" s="734"/>
      <c r="I473" s="734"/>
      <c r="J473" s="734"/>
      <c r="K473" s="734"/>
    </row>
    <row r="474" customHeight="1" spans="1:11">
      <c r="A474" s="738"/>
      <c r="B474" s="733"/>
      <c r="C474" s="733"/>
      <c r="D474" s="733"/>
      <c r="E474" s="734"/>
      <c r="F474" s="734"/>
      <c r="G474" s="734"/>
      <c r="H474" s="734"/>
      <c r="I474" s="734"/>
      <c r="J474" s="734"/>
      <c r="K474" s="734"/>
    </row>
    <row r="475" customHeight="1" spans="1:11">
      <c r="A475" s="738"/>
      <c r="B475" s="733"/>
      <c r="C475" s="733"/>
      <c r="D475" s="733"/>
      <c r="E475" s="734"/>
      <c r="F475" s="734"/>
      <c r="G475" s="734"/>
      <c r="H475" s="734"/>
      <c r="I475" s="734"/>
      <c r="J475" s="734"/>
      <c r="K475" s="734"/>
    </row>
    <row r="476" customHeight="1" spans="1:11">
      <c r="A476" s="738"/>
      <c r="B476" s="733"/>
      <c r="C476" s="733"/>
      <c r="D476" s="734"/>
      <c r="E476" s="734"/>
      <c r="F476" s="734"/>
      <c r="G476" s="734"/>
      <c r="H476" s="734"/>
      <c r="I476" s="734"/>
      <c r="J476" s="734"/>
      <c r="K476" s="734"/>
    </row>
    <row r="478" customHeight="1" spans="1:11">
      <c r="A478" s="731"/>
      <c r="B478" s="731"/>
      <c r="C478" s="731"/>
      <c r="D478" s="731"/>
      <c r="E478" s="731"/>
      <c r="F478" s="731"/>
      <c r="G478" s="731"/>
      <c r="H478" s="731"/>
      <c r="I478" s="731"/>
      <c r="J478" s="731"/>
      <c r="K478" s="731"/>
    </row>
    <row r="479" customHeight="1" spans="1:11">
      <c r="A479" s="738"/>
      <c r="B479" s="733"/>
      <c r="C479" s="733"/>
      <c r="D479" s="734"/>
      <c r="E479" s="734"/>
      <c r="F479" s="734"/>
      <c r="G479" s="734"/>
      <c r="H479" s="734"/>
      <c r="I479" s="734"/>
      <c r="J479" s="734"/>
      <c r="K479" s="734"/>
    </row>
    <row r="480" customHeight="1" spans="1:11">
      <c r="A480" s="738"/>
      <c r="B480" s="733"/>
      <c r="C480" s="733"/>
      <c r="D480" s="734"/>
      <c r="E480" s="734"/>
      <c r="F480" s="734"/>
      <c r="G480" s="734"/>
      <c r="H480" s="734"/>
      <c r="I480" s="734"/>
      <c r="J480" s="734"/>
      <c r="K480" s="734"/>
    </row>
    <row r="481" customHeight="1" spans="1:11">
      <c r="A481" s="738"/>
      <c r="B481" s="733"/>
      <c r="C481" s="733"/>
      <c r="D481" s="734"/>
      <c r="E481" s="734"/>
      <c r="F481" s="734"/>
      <c r="G481" s="734"/>
      <c r="H481" s="734"/>
      <c r="I481" s="734"/>
      <c r="J481" s="734"/>
      <c r="K481" s="734"/>
    </row>
    <row r="482" customHeight="1" spans="1:11">
      <c r="A482" s="738"/>
      <c r="B482" s="733"/>
      <c r="C482" s="733"/>
      <c r="D482" s="733"/>
      <c r="E482" s="734"/>
      <c r="F482" s="734"/>
      <c r="G482" s="734"/>
      <c r="H482" s="734"/>
      <c r="I482" s="734"/>
      <c r="J482" s="734"/>
      <c r="K482" s="734"/>
    </row>
    <row r="483" customHeight="1" spans="1:11">
      <c r="A483" s="738"/>
      <c r="B483" s="733"/>
      <c r="C483" s="733"/>
      <c r="D483" s="733"/>
      <c r="E483" s="734"/>
      <c r="F483" s="734"/>
      <c r="G483" s="734"/>
      <c r="H483" s="734"/>
      <c r="I483" s="734"/>
      <c r="J483" s="734"/>
      <c r="K483" s="734"/>
    </row>
    <row r="484" customHeight="1" spans="1:11">
      <c r="A484" s="738"/>
      <c r="B484" s="733"/>
      <c r="C484" s="733"/>
      <c r="D484" s="733"/>
      <c r="E484" s="734"/>
      <c r="F484" s="734"/>
      <c r="G484" s="734"/>
      <c r="H484" s="734"/>
      <c r="I484" s="734"/>
      <c r="J484" s="734"/>
      <c r="K484" s="734"/>
    </row>
    <row r="485" customHeight="1" spans="1:11">
      <c r="A485" s="738"/>
      <c r="B485" s="733"/>
      <c r="C485" s="733"/>
      <c r="D485" s="733"/>
      <c r="E485" s="734"/>
      <c r="F485" s="734"/>
      <c r="G485" s="734"/>
      <c r="H485" s="734"/>
      <c r="I485" s="734"/>
      <c r="J485" s="734"/>
      <c r="K485" s="734"/>
    </row>
    <row r="486" customHeight="1" spans="1:11">
      <c r="A486" s="738"/>
      <c r="B486" s="733"/>
      <c r="C486" s="733"/>
      <c r="D486" s="734"/>
      <c r="E486" s="734"/>
      <c r="F486" s="734"/>
      <c r="G486" s="734"/>
      <c r="H486" s="734"/>
      <c r="I486" s="734"/>
      <c r="J486" s="734"/>
      <c r="K486" s="734"/>
    </row>
    <row r="488" customHeight="1" spans="1:11">
      <c r="A488" s="731"/>
      <c r="B488" s="731"/>
      <c r="C488" s="731"/>
      <c r="D488" s="731"/>
      <c r="E488" s="731"/>
      <c r="F488" s="731"/>
      <c r="G488" s="731"/>
      <c r="H488" s="731"/>
      <c r="I488" s="731"/>
      <c r="J488" s="731"/>
      <c r="K488" s="731"/>
    </row>
    <row r="489" customHeight="1" spans="1:11">
      <c r="A489" s="738"/>
      <c r="B489" s="733"/>
      <c r="C489" s="733"/>
      <c r="D489" s="734"/>
      <c r="E489" s="734"/>
      <c r="F489" s="734"/>
      <c r="G489" s="734"/>
      <c r="H489" s="734"/>
      <c r="I489" s="734"/>
      <c r="J489" s="734"/>
      <c r="K489" s="734"/>
    </row>
    <row r="490" customHeight="1" spans="1:11">
      <c r="A490" s="738"/>
      <c r="B490" s="733"/>
      <c r="C490" s="733"/>
      <c r="D490" s="734"/>
      <c r="E490" s="734"/>
      <c r="F490" s="734"/>
      <c r="G490" s="734"/>
      <c r="H490" s="734"/>
      <c r="I490" s="734"/>
      <c r="J490" s="734"/>
      <c r="K490" s="734"/>
    </row>
    <row r="491" customHeight="1" spans="1:11">
      <c r="A491" s="738"/>
      <c r="B491" s="733"/>
      <c r="C491" s="733"/>
      <c r="D491" s="734"/>
      <c r="E491" s="734"/>
      <c r="F491" s="734"/>
      <c r="G491" s="734"/>
      <c r="H491" s="734"/>
      <c r="I491" s="734"/>
      <c r="J491" s="734"/>
      <c r="K491" s="734"/>
    </row>
    <row r="492" customHeight="1" spans="1:11">
      <c r="A492" s="738"/>
      <c r="B492" s="733"/>
      <c r="C492" s="733"/>
      <c r="D492" s="733"/>
      <c r="E492" s="734"/>
      <c r="F492" s="734"/>
      <c r="G492" s="734"/>
      <c r="H492" s="734"/>
      <c r="I492" s="734"/>
      <c r="J492" s="734"/>
      <c r="K492" s="734"/>
    </row>
    <row r="493" customHeight="1" spans="1:11">
      <c r="A493" s="738"/>
      <c r="B493" s="733"/>
      <c r="C493" s="733"/>
      <c r="D493" s="733"/>
      <c r="E493" s="734"/>
      <c r="F493" s="734"/>
      <c r="G493" s="734"/>
      <c r="H493" s="734"/>
      <c r="I493" s="734"/>
      <c r="J493" s="734"/>
      <c r="K493" s="734"/>
    </row>
    <row r="494" customHeight="1" spans="1:11">
      <c r="A494" s="738"/>
      <c r="B494" s="733"/>
      <c r="C494" s="733"/>
      <c r="D494" s="733"/>
      <c r="E494" s="734"/>
      <c r="F494" s="734"/>
      <c r="G494" s="734"/>
      <c r="H494" s="734"/>
      <c r="I494" s="734"/>
      <c r="J494" s="734"/>
      <c r="K494" s="734"/>
    </row>
    <row r="495" customHeight="1" spans="1:11">
      <c r="A495" s="738"/>
      <c r="B495" s="733"/>
      <c r="C495" s="733"/>
      <c r="D495" s="733"/>
      <c r="E495" s="734"/>
      <c r="F495" s="734"/>
      <c r="G495" s="734"/>
      <c r="H495" s="734"/>
      <c r="I495" s="734"/>
      <c r="J495" s="734"/>
      <c r="K495" s="734"/>
    </row>
    <row r="496" customHeight="1" spans="1:11">
      <c r="A496" s="738"/>
      <c r="B496" s="733"/>
      <c r="C496" s="733"/>
      <c r="D496" s="734"/>
      <c r="E496" s="734"/>
      <c r="F496" s="734"/>
      <c r="G496" s="734"/>
      <c r="H496" s="734"/>
      <c r="I496" s="734"/>
      <c r="J496" s="734"/>
      <c r="K496" s="734"/>
    </row>
    <row r="498" customHeight="1" spans="1:11">
      <c r="A498" s="731"/>
      <c r="B498" s="731"/>
      <c r="C498" s="731"/>
      <c r="D498" s="731"/>
      <c r="E498" s="731"/>
      <c r="F498" s="731"/>
      <c r="G498" s="731"/>
      <c r="H498" s="731"/>
      <c r="I498" s="731"/>
      <c r="J498" s="731"/>
      <c r="K498" s="731"/>
    </row>
    <row r="499" customHeight="1" spans="1:11">
      <c r="A499" s="738"/>
      <c r="B499" s="733"/>
      <c r="C499" s="733"/>
      <c r="D499" s="734"/>
      <c r="E499" s="734"/>
      <c r="F499" s="734"/>
      <c r="G499" s="734"/>
      <c r="H499" s="734"/>
      <c r="I499" s="734"/>
      <c r="J499" s="734"/>
      <c r="K499" s="734"/>
    </row>
    <row r="500" customHeight="1" spans="1:11">
      <c r="A500" s="738"/>
      <c r="B500" s="733"/>
      <c r="C500" s="733"/>
      <c r="D500" s="734"/>
      <c r="E500" s="734"/>
      <c r="F500" s="734"/>
      <c r="G500" s="734"/>
      <c r="H500" s="734"/>
      <c r="I500" s="734"/>
      <c r="J500" s="734"/>
      <c r="K500" s="734"/>
    </row>
    <row r="501" customHeight="1" spans="1:11">
      <c r="A501" s="738"/>
      <c r="B501" s="733"/>
      <c r="C501" s="733"/>
      <c r="D501" s="734"/>
      <c r="E501" s="734"/>
      <c r="F501" s="734"/>
      <c r="G501" s="734"/>
      <c r="H501" s="734"/>
      <c r="I501" s="734"/>
      <c r="J501" s="734"/>
      <c r="K501" s="734"/>
    </row>
    <row r="502" customHeight="1" spans="1:11">
      <c r="A502" s="738"/>
      <c r="B502" s="733"/>
      <c r="C502" s="733"/>
      <c r="D502" s="733"/>
      <c r="E502" s="734"/>
      <c r="F502" s="734"/>
      <c r="G502" s="734"/>
      <c r="H502" s="734"/>
      <c r="I502" s="734"/>
      <c r="J502" s="734"/>
      <c r="K502" s="734"/>
    </row>
    <row r="503" customHeight="1" spans="1:11">
      <c r="A503" s="738"/>
      <c r="B503" s="733"/>
      <c r="C503" s="733"/>
      <c r="D503" s="733"/>
      <c r="E503" s="734"/>
      <c r="F503" s="734"/>
      <c r="G503" s="734"/>
      <c r="H503" s="734"/>
      <c r="I503" s="734"/>
      <c r="J503" s="734"/>
      <c r="K503" s="734"/>
    </row>
    <row r="504" customHeight="1" spans="1:11">
      <c r="A504" s="738"/>
      <c r="B504" s="733"/>
      <c r="C504" s="733"/>
      <c r="D504" s="733"/>
      <c r="E504" s="734"/>
      <c r="F504" s="734"/>
      <c r="G504" s="734"/>
      <c r="H504" s="734"/>
      <c r="I504" s="734"/>
      <c r="J504" s="734"/>
      <c r="K504" s="734"/>
    </row>
    <row r="505" customHeight="1" spans="1:11">
      <c r="A505" s="738"/>
      <c r="B505" s="733"/>
      <c r="C505" s="733"/>
      <c r="D505" s="733"/>
      <c r="E505" s="734"/>
      <c r="F505" s="734"/>
      <c r="G505" s="734"/>
      <c r="H505" s="734"/>
      <c r="I505" s="734"/>
      <c r="J505" s="734"/>
      <c r="K505" s="734"/>
    </row>
    <row r="506" customHeight="1" spans="1:11">
      <c r="A506" s="738"/>
      <c r="B506" s="733"/>
      <c r="C506" s="733"/>
      <c r="D506" s="734"/>
      <c r="E506" s="734"/>
      <c r="F506" s="734"/>
      <c r="G506" s="734"/>
      <c r="H506" s="734"/>
      <c r="I506" s="734"/>
      <c r="J506" s="734"/>
      <c r="K506" s="734"/>
    </row>
    <row r="508" customHeight="1" spans="1:11">
      <c r="A508" s="731"/>
      <c r="B508" s="731"/>
      <c r="C508" s="731"/>
      <c r="D508" s="731"/>
      <c r="E508" s="731"/>
      <c r="F508" s="731"/>
      <c r="G508" s="731"/>
      <c r="H508" s="731"/>
      <c r="I508" s="731"/>
      <c r="J508" s="731"/>
      <c r="K508" s="731"/>
    </row>
    <row r="509" customHeight="1" spans="1:11">
      <c r="A509" s="738"/>
      <c r="B509" s="733"/>
      <c r="C509" s="733"/>
      <c r="D509" s="734"/>
      <c r="E509" s="734"/>
      <c r="F509" s="734"/>
      <c r="G509" s="734"/>
      <c r="H509" s="734"/>
      <c r="I509" s="734"/>
      <c r="J509" s="734"/>
      <c r="K509" s="734"/>
    </row>
    <row r="510" customHeight="1" spans="1:11">
      <c r="A510" s="738"/>
      <c r="B510" s="733"/>
      <c r="C510" s="733"/>
      <c r="D510" s="734"/>
      <c r="E510" s="734"/>
      <c r="F510" s="734"/>
      <c r="G510" s="734"/>
      <c r="H510" s="734"/>
      <c r="I510" s="734"/>
      <c r="J510" s="734"/>
      <c r="K510" s="734"/>
    </row>
    <row r="511" customHeight="1" spans="1:11">
      <c r="A511" s="738"/>
      <c r="B511" s="733"/>
      <c r="C511" s="733"/>
      <c r="D511" s="734"/>
      <c r="E511" s="734"/>
      <c r="F511" s="734"/>
      <c r="G511" s="734"/>
      <c r="H511" s="734"/>
      <c r="I511" s="734"/>
      <c r="J511" s="734"/>
      <c r="K511" s="734"/>
    </row>
    <row r="512" customHeight="1" spans="1:11">
      <c r="A512" s="738"/>
      <c r="B512" s="733"/>
      <c r="C512" s="733"/>
      <c r="D512" s="733"/>
      <c r="E512" s="734"/>
      <c r="F512" s="734"/>
      <c r="G512" s="734"/>
      <c r="H512" s="734"/>
      <c r="I512" s="734"/>
      <c r="J512" s="734"/>
      <c r="K512" s="734"/>
    </row>
    <row r="513" customHeight="1" spans="1:11">
      <c r="A513" s="738"/>
      <c r="B513" s="733"/>
      <c r="C513" s="733"/>
      <c r="D513" s="733"/>
      <c r="E513" s="734"/>
      <c r="F513" s="734"/>
      <c r="G513" s="734"/>
      <c r="H513" s="734"/>
      <c r="I513" s="734"/>
      <c r="J513" s="734"/>
      <c r="K513" s="734"/>
    </row>
    <row r="514" customHeight="1" spans="1:11">
      <c r="A514" s="738"/>
      <c r="B514" s="733"/>
      <c r="C514" s="733"/>
      <c r="D514" s="733"/>
      <c r="E514" s="734"/>
      <c r="F514" s="734"/>
      <c r="G514" s="734"/>
      <c r="H514" s="734"/>
      <c r="I514" s="734"/>
      <c r="J514" s="734"/>
      <c r="K514" s="734"/>
    </row>
    <row r="515" customHeight="1" spans="1:11">
      <c r="A515" s="738"/>
      <c r="B515" s="733"/>
      <c r="C515" s="733"/>
      <c r="D515" s="733"/>
      <c r="E515" s="734"/>
      <c r="F515" s="734"/>
      <c r="G515" s="734"/>
      <c r="H515" s="734"/>
      <c r="I515" s="734"/>
      <c r="J515" s="734"/>
      <c r="K515" s="734"/>
    </row>
    <row r="516" customHeight="1" spans="1:11">
      <c r="A516" s="738"/>
      <c r="B516" s="733"/>
      <c r="C516" s="733"/>
      <c r="D516" s="734"/>
      <c r="E516" s="734"/>
      <c r="F516" s="734"/>
      <c r="G516" s="734"/>
      <c r="H516" s="734"/>
      <c r="I516" s="734"/>
      <c r="J516" s="734"/>
      <c r="K516" s="734"/>
    </row>
    <row r="518" customHeight="1" spans="1:11">
      <c r="A518" s="731"/>
      <c r="B518" s="731"/>
      <c r="C518" s="731"/>
      <c r="D518" s="731"/>
      <c r="E518" s="731"/>
      <c r="F518" s="731"/>
      <c r="G518" s="731"/>
      <c r="H518" s="731"/>
      <c r="I518" s="731"/>
      <c r="J518" s="731"/>
      <c r="K518" s="731"/>
    </row>
    <row r="519" customHeight="1" spans="1:11">
      <c r="A519" s="738"/>
      <c r="B519" s="733"/>
      <c r="C519" s="733"/>
      <c r="D519" s="734"/>
      <c r="E519" s="734"/>
      <c r="F519" s="734"/>
      <c r="G519" s="734"/>
      <c r="H519" s="734"/>
      <c r="I519" s="734"/>
      <c r="J519" s="734"/>
      <c r="K519" s="734"/>
    </row>
    <row r="520" customHeight="1" spans="1:11">
      <c r="A520" s="738"/>
      <c r="B520" s="733"/>
      <c r="C520" s="733"/>
      <c r="D520" s="734"/>
      <c r="E520" s="734"/>
      <c r="F520" s="734"/>
      <c r="G520" s="734"/>
      <c r="H520" s="734"/>
      <c r="I520" s="734"/>
      <c r="J520" s="734"/>
      <c r="K520" s="734"/>
    </row>
    <row r="521" customHeight="1" spans="1:11">
      <c r="A521" s="738"/>
      <c r="B521" s="733"/>
      <c r="C521" s="733"/>
      <c r="D521" s="734"/>
      <c r="E521" s="734"/>
      <c r="F521" s="734"/>
      <c r="G521" s="734"/>
      <c r="H521" s="734"/>
      <c r="I521" s="734"/>
      <c r="J521" s="734"/>
      <c r="K521" s="734"/>
    </row>
    <row r="522" customHeight="1" spans="1:11">
      <c r="A522" s="738"/>
      <c r="B522" s="733"/>
      <c r="C522" s="733"/>
      <c r="D522" s="733"/>
      <c r="E522" s="734"/>
      <c r="F522" s="734"/>
      <c r="G522" s="734"/>
      <c r="H522" s="734"/>
      <c r="I522" s="734"/>
      <c r="J522" s="734"/>
      <c r="K522" s="734"/>
    </row>
    <row r="523" customHeight="1" spans="1:11">
      <c r="A523" s="738"/>
      <c r="B523" s="733"/>
      <c r="C523" s="733"/>
      <c r="D523" s="733"/>
      <c r="E523" s="734"/>
      <c r="F523" s="734"/>
      <c r="G523" s="734"/>
      <c r="H523" s="734"/>
      <c r="I523" s="734"/>
      <c r="J523" s="734"/>
      <c r="K523" s="734"/>
    </row>
    <row r="524" customHeight="1" spans="1:11">
      <c r="A524" s="738"/>
      <c r="B524" s="733"/>
      <c r="C524" s="733"/>
      <c r="D524" s="733"/>
      <c r="E524" s="734"/>
      <c r="F524" s="734"/>
      <c r="G524" s="734"/>
      <c r="H524" s="734"/>
      <c r="I524" s="734"/>
      <c r="J524" s="734"/>
      <c r="K524" s="734"/>
    </row>
    <row r="525" customHeight="1" spans="1:11">
      <c r="A525" s="738"/>
      <c r="B525" s="733"/>
      <c r="C525" s="733"/>
      <c r="D525" s="733"/>
      <c r="E525" s="734"/>
      <c r="F525" s="734"/>
      <c r="G525" s="734"/>
      <c r="H525" s="734"/>
      <c r="I525" s="734"/>
      <c r="J525" s="734"/>
      <c r="K525" s="734"/>
    </row>
    <row r="526" customHeight="1" spans="1:11">
      <c r="A526" s="738"/>
      <c r="B526" s="733"/>
      <c r="C526" s="733"/>
      <c r="D526" s="734"/>
      <c r="E526" s="734"/>
      <c r="F526" s="734"/>
      <c r="G526" s="734"/>
      <c r="H526" s="734"/>
      <c r="I526" s="734"/>
      <c r="J526" s="734"/>
      <c r="K526" s="734"/>
    </row>
    <row r="528" customHeight="1" spans="1:11">
      <c r="A528" s="731"/>
      <c r="B528" s="731"/>
      <c r="C528" s="731"/>
      <c r="D528" s="731"/>
      <c r="E528" s="731"/>
      <c r="F528" s="731"/>
      <c r="G528" s="731"/>
      <c r="H528" s="731"/>
      <c r="I528" s="731"/>
      <c r="J528" s="731"/>
      <c r="K528" s="731"/>
    </row>
    <row r="529" customHeight="1" spans="1:11">
      <c r="A529" s="738"/>
      <c r="B529" s="733"/>
      <c r="C529" s="733"/>
      <c r="D529" s="734"/>
      <c r="E529" s="734"/>
      <c r="F529" s="734"/>
      <c r="G529" s="734"/>
      <c r="H529" s="734"/>
      <c r="I529" s="734"/>
      <c r="J529" s="734"/>
      <c r="K529" s="734"/>
    </row>
    <row r="530" customHeight="1" spans="1:11">
      <c r="A530" s="738"/>
      <c r="B530" s="733"/>
      <c r="C530" s="733"/>
      <c r="D530" s="734"/>
      <c r="E530" s="734"/>
      <c r="F530" s="734"/>
      <c r="G530" s="734"/>
      <c r="H530" s="734"/>
      <c r="I530" s="734"/>
      <c r="J530" s="734"/>
      <c r="K530" s="734"/>
    </row>
    <row r="531" customHeight="1" spans="1:11">
      <c r="A531" s="738"/>
      <c r="B531" s="733"/>
      <c r="C531" s="733"/>
      <c r="D531" s="734"/>
      <c r="E531" s="734"/>
      <c r="F531" s="734"/>
      <c r="G531" s="734"/>
      <c r="H531" s="734"/>
      <c r="I531" s="734"/>
      <c r="J531" s="734"/>
      <c r="K531" s="734"/>
    </row>
    <row r="532" customHeight="1" spans="1:11">
      <c r="A532" s="738"/>
      <c r="B532" s="733"/>
      <c r="C532" s="733"/>
      <c r="D532" s="733"/>
      <c r="E532" s="734"/>
      <c r="F532" s="734"/>
      <c r="G532" s="734"/>
      <c r="H532" s="734"/>
      <c r="I532" s="734"/>
      <c r="J532" s="734"/>
      <c r="K532" s="734"/>
    </row>
    <row r="533" customHeight="1" spans="1:11">
      <c r="A533" s="738"/>
      <c r="B533" s="733"/>
      <c r="C533" s="733"/>
      <c r="D533" s="733"/>
      <c r="E533" s="734"/>
      <c r="F533" s="734"/>
      <c r="G533" s="734"/>
      <c r="H533" s="734"/>
      <c r="I533" s="734"/>
      <c r="J533" s="734"/>
      <c r="K533" s="734"/>
    </row>
    <row r="534" customHeight="1" spans="1:11">
      <c r="A534" s="738"/>
      <c r="B534" s="733"/>
      <c r="C534" s="733"/>
      <c r="D534" s="733"/>
      <c r="E534" s="734"/>
      <c r="F534" s="734"/>
      <c r="G534" s="734"/>
      <c r="H534" s="734"/>
      <c r="I534" s="734"/>
      <c r="J534" s="734"/>
      <c r="K534" s="734"/>
    </row>
    <row r="535" customHeight="1" spans="1:11">
      <c r="A535" s="738"/>
      <c r="B535" s="733"/>
      <c r="C535" s="733"/>
      <c r="D535" s="733"/>
      <c r="E535" s="734"/>
      <c r="F535" s="734"/>
      <c r="G535" s="734"/>
      <c r="H535" s="734"/>
      <c r="I535" s="734"/>
      <c r="J535" s="734"/>
      <c r="K535" s="734"/>
    </row>
    <row r="536" customHeight="1" spans="1:11">
      <c r="A536" s="738"/>
      <c r="B536" s="733"/>
      <c r="C536" s="733"/>
      <c r="D536" s="734"/>
      <c r="E536" s="734"/>
      <c r="F536" s="734"/>
      <c r="G536" s="734"/>
      <c r="H536" s="734"/>
      <c r="I536" s="734"/>
      <c r="J536" s="734"/>
      <c r="K536" s="734"/>
    </row>
    <row r="540" customHeight="1" spans="1:10">
      <c r="A540" s="731"/>
      <c r="B540" s="731"/>
      <c r="C540" s="731"/>
      <c r="D540" s="731"/>
      <c r="E540" s="731"/>
      <c r="F540" s="731"/>
      <c r="G540" s="731"/>
      <c r="H540" s="731"/>
      <c r="I540" s="731"/>
      <c r="J540" s="731"/>
    </row>
    <row r="541" customHeight="1" spans="1:10">
      <c r="A541" s="738"/>
      <c r="B541" s="734"/>
      <c r="C541" s="734"/>
      <c r="D541" s="733"/>
      <c r="E541" s="733"/>
      <c r="F541" s="733"/>
      <c r="G541" s="733"/>
      <c r="H541" s="733"/>
      <c r="I541" s="733"/>
      <c r="J541" s="734"/>
    </row>
    <row r="542" customHeight="1" spans="1:10">
      <c r="A542" s="738"/>
      <c r="B542" s="734"/>
      <c r="C542" s="734"/>
      <c r="D542" s="733"/>
      <c r="E542" s="733"/>
      <c r="F542" s="733"/>
      <c r="G542" s="733"/>
      <c r="H542" s="733"/>
      <c r="I542" s="733"/>
      <c r="J542" s="734"/>
    </row>
    <row r="543" customHeight="1" spans="1:10">
      <c r="A543" s="738"/>
      <c r="B543" s="734"/>
      <c r="C543" s="734"/>
      <c r="D543" s="733"/>
      <c r="E543" s="733"/>
      <c r="F543" s="733"/>
      <c r="G543" s="733"/>
      <c r="H543" s="733"/>
      <c r="I543" s="733"/>
      <c r="J543" s="734"/>
    </row>
    <row r="544" customHeight="1" spans="1:10">
      <c r="A544" s="738"/>
      <c r="B544" s="734"/>
      <c r="C544" s="734"/>
      <c r="D544" s="733"/>
      <c r="E544" s="733"/>
      <c r="F544" s="733"/>
      <c r="G544" s="733"/>
      <c r="H544" s="733"/>
      <c r="I544" s="733"/>
      <c r="J544" s="734"/>
    </row>
    <row r="545" customHeight="1" spans="1:10">
      <c r="A545" s="738"/>
      <c r="B545" s="734"/>
      <c r="C545" s="734"/>
      <c r="D545" s="733"/>
      <c r="E545" s="733"/>
      <c r="F545" s="733"/>
      <c r="G545" s="733"/>
      <c r="H545" s="733"/>
      <c r="I545" s="733"/>
      <c r="J545" s="734"/>
    </row>
    <row r="546" customHeight="1" spans="1:10">
      <c r="A546" s="738"/>
      <c r="B546" s="734"/>
      <c r="C546" s="734"/>
      <c r="D546" s="733"/>
      <c r="E546" s="733"/>
      <c r="F546" s="733"/>
      <c r="G546" s="733"/>
      <c r="H546" s="733"/>
      <c r="I546" s="733"/>
      <c r="J546" s="734"/>
    </row>
    <row r="547" customHeight="1" spans="1:10">
      <c r="A547" s="738"/>
      <c r="B547" s="734"/>
      <c r="C547" s="734"/>
      <c r="D547" s="733"/>
      <c r="E547" s="733"/>
      <c r="F547" s="733"/>
      <c r="G547" s="733"/>
      <c r="H547" s="733"/>
      <c r="I547" s="733"/>
      <c r="J547" s="734"/>
    </row>
    <row r="548" customHeight="1" spans="1:10">
      <c r="A548" s="738"/>
      <c r="B548" s="734"/>
      <c r="C548" s="734"/>
      <c r="D548" s="733"/>
      <c r="E548" s="733"/>
      <c r="F548" s="733"/>
      <c r="G548" s="733"/>
      <c r="H548" s="733"/>
      <c r="I548" s="733"/>
      <c r="J548" s="734"/>
    </row>
  </sheetData>
  <protectedRanges>
    <protectedRange sqref="V29:Y29 U30:Y33" name="区域1"/>
    <protectedRange sqref="U29" name="区域1_6"/>
  </protectedRanges>
  <mergeCells count="22">
    <mergeCell ref="A4:E4"/>
    <mergeCell ref="G4:J4"/>
    <mergeCell ref="L4:T4"/>
    <mergeCell ref="G23:I23"/>
    <mergeCell ref="A47:F47"/>
    <mergeCell ref="A73:Q73"/>
    <mergeCell ref="B74:E74"/>
    <mergeCell ref="F74:I74"/>
    <mergeCell ref="J74:M74"/>
    <mergeCell ref="N74:Q74"/>
    <mergeCell ref="A97:Q97"/>
    <mergeCell ref="A121:N121"/>
    <mergeCell ref="A64:A65"/>
    <mergeCell ref="A66:A67"/>
    <mergeCell ref="A74:A75"/>
    <mergeCell ref="A98:A99"/>
    <mergeCell ref="F53:F58"/>
    <mergeCell ref="F64:F65"/>
    <mergeCell ref="G53:G67"/>
    <mergeCell ref="A70:T71"/>
    <mergeCell ref="A1:T2"/>
    <mergeCell ref="A44:T45"/>
  </mergeCells>
  <pageMargins left="0.698611111111111" right="0.698611111111111" top="0.75" bottom="0.75" header="0.3" footer="0.3"/>
  <pageSetup paperSize="1" firstPageNumber="4294963191" orientation="landscape" useFirstPageNumber="1" horizontalDpi="200" verticalDpi="200"/>
  <headerFooter alignWithMargins="0"/>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DQ259"/>
  <sheetViews>
    <sheetView zoomScale="70" zoomScaleNormal="70" topLeftCell="D1" workbookViewId="0">
      <selection activeCell="L28" sqref="L28"/>
    </sheetView>
  </sheetViews>
  <sheetFormatPr defaultColWidth="9" defaultRowHeight="13.5" customHeight="1"/>
  <cols>
    <col min="1" max="1" width="17.0884955752212" style="265" customWidth="1"/>
    <col min="2" max="3" width="10" style="265" customWidth="1"/>
    <col min="4" max="4" width="13.9026548672566" style="265" customWidth="1"/>
    <col min="5" max="6" width="14.6371681415929" style="265" customWidth="1"/>
    <col min="7" max="7" width="11.9026548672566" style="425" customWidth="1"/>
    <col min="8" max="8" width="12.3628318584071" style="265" customWidth="1"/>
    <col min="9" max="9" width="10.6371681415929" style="265" customWidth="1"/>
    <col min="10" max="10" width="11.8141592920354" style="265" customWidth="1"/>
    <col min="11" max="11" width="11.9026548672566" style="265" customWidth="1"/>
    <col min="12" max="12" width="18.3628318584071" style="265" customWidth="1"/>
    <col min="13" max="13" width="11.6371681415929" style="265" customWidth="1"/>
    <col min="14" max="16" width="14.6371681415929" style="265" customWidth="1"/>
    <col min="17" max="17" width="18.1769911504425" style="265" customWidth="1"/>
    <col min="18" max="19" width="14.6371681415929" style="265" customWidth="1"/>
    <col min="20" max="20" width="12.9026548672566" style="580" customWidth="1"/>
    <col min="21" max="21" width="14.6371681415929" style="265" customWidth="1"/>
    <col min="22" max="26" width="9.63716814159292" style="265" customWidth="1"/>
    <col min="27" max="27" width="11" style="425" customWidth="1"/>
    <col min="28" max="28" width="14.6371681415929" style="265" customWidth="1"/>
    <col min="29" max="29" width="10" style="265" customWidth="1"/>
    <col min="30" max="33" width="9.63716814159292" style="265" customWidth="1"/>
    <col min="34" max="34" width="11" style="425" customWidth="1"/>
    <col min="35" max="35" width="8.90265486725664" style="265" customWidth="1"/>
    <col min="36" max="36" width="15.9026548672566" style="265" customWidth="1"/>
    <col min="37" max="37" width="13.0884955752212" style="265" customWidth="1"/>
    <col min="38" max="38" width="16.0884955752212" style="265" customWidth="1"/>
    <col min="39" max="40" width="16.1769911504425" style="265" customWidth="1"/>
    <col min="41" max="41" width="15.6371681415929" style="265" customWidth="1"/>
    <col min="42" max="42" width="16.3628318584071" style="265" customWidth="1"/>
    <col min="43" max="49" width="10.6371681415929" style="265" customWidth="1"/>
    <col min="50" max="50" width="15.0884955752212" style="265" customWidth="1"/>
    <col min="51" max="51" width="10.6371681415929" style="265" customWidth="1"/>
    <col min="52" max="52" width="11" style="425" customWidth="1"/>
    <col min="53" max="53" width="12.3628318584071" style="265" customWidth="1"/>
    <col min="54" max="57" width="11.0884955752212" style="265" customWidth="1"/>
    <col min="58" max="58" width="12.3628318584071" style="265" customWidth="1"/>
    <col min="59" max="59" width="10" style="265" customWidth="1"/>
    <col min="60" max="69" width="9.63716814159292" style="265" customWidth="1"/>
    <col min="70" max="70" width="11" style="265" customWidth="1"/>
    <col min="71" max="71" width="9" style="265"/>
    <col min="72" max="74" width="9.63716814159292" style="265" customWidth="1"/>
    <col min="75" max="75" width="10" style="265" customWidth="1"/>
    <col min="76" max="76" width="9.63716814159292" style="265" customWidth="1"/>
    <col min="77" max="77" width="10" style="265" customWidth="1"/>
    <col min="78" max="78" width="11.3628318584071" style="265" customWidth="1"/>
    <col min="79" max="83" width="9.63716814159292" style="265" customWidth="1"/>
    <col min="84" max="84" width="13.9026548672566" style="265" customWidth="1"/>
    <col min="85" max="87" width="9.63716814159292" style="265" customWidth="1"/>
    <col min="88" max="88" width="11" style="265" customWidth="1"/>
    <col min="89" max="16384" width="9" style="265"/>
  </cols>
  <sheetData>
    <row r="1" ht="16" customHeight="1" spans="1:121">
      <c r="A1" s="65" t="s">
        <v>489</v>
      </c>
      <c r="B1" s="65"/>
      <c r="C1" s="65"/>
      <c r="D1" s="65"/>
      <c r="E1" s="65"/>
      <c r="F1" s="65"/>
      <c r="G1" s="307"/>
      <c r="H1" s="65" t="s">
        <v>490</v>
      </c>
      <c r="I1" s="65"/>
      <c r="J1" s="65"/>
      <c r="K1" s="65"/>
      <c r="L1" s="65"/>
      <c r="M1" s="65"/>
      <c r="N1" s="65"/>
      <c r="O1" s="65"/>
      <c r="P1" s="65"/>
      <c r="Q1" s="65"/>
      <c r="R1" s="65"/>
      <c r="S1" s="307"/>
      <c r="T1" s="613"/>
      <c r="U1" s="538" t="s">
        <v>491</v>
      </c>
      <c r="V1" s="538"/>
      <c r="W1" s="538"/>
      <c r="X1" s="538"/>
      <c r="Y1" s="538"/>
      <c r="Z1" s="538"/>
      <c r="AA1" s="307"/>
      <c r="AB1" s="626" t="s">
        <v>492</v>
      </c>
      <c r="AC1" s="626"/>
      <c r="AD1" s="626"/>
      <c r="AE1" s="626"/>
      <c r="AF1" s="626"/>
      <c r="AG1" s="626"/>
      <c r="AH1" s="307"/>
      <c r="AI1" s="538" t="s">
        <v>493</v>
      </c>
      <c r="AJ1" s="538"/>
      <c r="AK1" s="538"/>
      <c r="AL1" s="538"/>
      <c r="AM1" s="538"/>
      <c r="AN1" s="538"/>
      <c r="AO1" s="538"/>
      <c r="AP1" s="538"/>
      <c r="AQ1" s="538"/>
      <c r="AR1" s="538"/>
      <c r="AS1" s="538"/>
      <c r="AT1" s="538"/>
      <c r="AU1" s="538"/>
      <c r="AV1" s="538"/>
      <c r="AW1" s="538"/>
      <c r="AX1" s="538"/>
      <c r="AY1" s="538"/>
      <c r="AZ1" s="307"/>
      <c r="BA1" s="538" t="s">
        <v>494</v>
      </c>
      <c r="BB1" s="538"/>
      <c r="BC1" s="538"/>
      <c r="BD1" s="538"/>
      <c r="BE1" s="538"/>
      <c r="BF1" s="538"/>
      <c r="BG1" s="538"/>
      <c r="BH1" s="538"/>
      <c r="BI1" s="538"/>
      <c r="BJ1" s="538"/>
      <c r="BK1" s="538"/>
      <c r="BL1" s="538"/>
      <c r="BM1" s="538"/>
      <c r="BN1" s="538"/>
      <c r="BO1" s="538"/>
      <c r="BP1" s="538"/>
      <c r="BQ1" s="538"/>
      <c r="BR1" s="548"/>
      <c r="BS1" s="538" t="s">
        <v>495</v>
      </c>
      <c r="BT1" s="538"/>
      <c r="BU1" s="538"/>
      <c r="BV1" s="538"/>
      <c r="BW1" s="538"/>
      <c r="BX1" s="538"/>
      <c r="BY1" s="538"/>
      <c r="BZ1" s="538"/>
      <c r="CA1" s="538"/>
      <c r="CB1" s="538"/>
      <c r="CC1" s="538"/>
      <c r="CD1" s="538"/>
      <c r="CE1" s="538"/>
      <c r="CF1" s="538"/>
      <c r="CG1" s="538"/>
      <c r="CH1" s="538"/>
      <c r="CI1" s="538"/>
      <c r="CJ1" s="453"/>
      <c r="CK1" s="453"/>
      <c r="CL1" s="453"/>
      <c r="CM1" s="453"/>
      <c r="CN1" s="453"/>
      <c r="CO1" s="453"/>
      <c r="CP1" s="453"/>
      <c r="CQ1" s="453"/>
      <c r="CR1" s="453"/>
      <c r="CS1" s="453"/>
      <c r="CT1" s="453"/>
      <c r="CU1" s="453"/>
      <c r="CV1" s="453"/>
      <c r="CW1" s="453"/>
      <c r="CX1" s="453"/>
      <c r="CY1" s="453"/>
      <c r="CZ1" s="453"/>
      <c r="DA1" s="453"/>
      <c r="DB1" s="453"/>
      <c r="DC1" s="453"/>
      <c r="DD1" s="453"/>
      <c r="DE1" s="453"/>
      <c r="DF1" s="453"/>
      <c r="DG1" s="453"/>
      <c r="DH1" s="453"/>
      <c r="DI1" s="453"/>
      <c r="DJ1" s="453"/>
      <c r="DK1" s="453"/>
      <c r="DL1" s="453"/>
      <c r="DM1" s="453"/>
      <c r="DN1" s="453"/>
      <c r="DO1" s="453"/>
      <c r="DP1" s="453"/>
      <c r="DQ1" s="453"/>
    </row>
    <row r="2" ht="16" customHeight="1" spans="1:121">
      <c r="A2" s="65"/>
      <c r="B2" s="65"/>
      <c r="C2" s="65"/>
      <c r="D2" s="65"/>
      <c r="E2" s="65"/>
      <c r="F2" s="65"/>
      <c r="G2" s="307"/>
      <c r="H2" s="65"/>
      <c r="I2" s="65"/>
      <c r="J2" s="65"/>
      <c r="K2" s="65"/>
      <c r="L2" s="65"/>
      <c r="M2" s="65"/>
      <c r="N2" s="65"/>
      <c r="O2" s="65"/>
      <c r="P2" s="65"/>
      <c r="Q2" s="65"/>
      <c r="R2" s="65"/>
      <c r="S2" s="307"/>
      <c r="T2" s="613"/>
      <c r="U2" s="538"/>
      <c r="V2" s="538"/>
      <c r="W2" s="538"/>
      <c r="X2" s="538"/>
      <c r="Y2" s="538"/>
      <c r="Z2" s="538"/>
      <c r="AA2" s="307"/>
      <c r="AB2" s="626"/>
      <c r="AC2" s="626"/>
      <c r="AD2" s="626"/>
      <c r="AE2" s="626"/>
      <c r="AF2" s="626"/>
      <c r="AG2" s="626"/>
      <c r="AH2" s="307"/>
      <c r="AI2" s="538"/>
      <c r="AJ2" s="538"/>
      <c r="AK2" s="538"/>
      <c r="AL2" s="538"/>
      <c r="AM2" s="538"/>
      <c r="AN2" s="538"/>
      <c r="AO2" s="538"/>
      <c r="AP2" s="538"/>
      <c r="AQ2" s="538"/>
      <c r="AR2" s="538"/>
      <c r="AS2" s="538"/>
      <c r="AT2" s="538"/>
      <c r="AU2" s="538"/>
      <c r="AV2" s="538"/>
      <c r="AW2" s="538"/>
      <c r="AX2" s="538"/>
      <c r="AY2" s="538"/>
      <c r="AZ2" s="307"/>
      <c r="BA2" s="538"/>
      <c r="BB2" s="538"/>
      <c r="BC2" s="538"/>
      <c r="BD2" s="538"/>
      <c r="BE2" s="538"/>
      <c r="BF2" s="538"/>
      <c r="BG2" s="538"/>
      <c r="BH2" s="538"/>
      <c r="BI2" s="538"/>
      <c r="BJ2" s="538"/>
      <c r="BK2" s="538"/>
      <c r="BL2" s="538"/>
      <c r="BM2" s="538"/>
      <c r="BN2" s="538"/>
      <c r="BO2" s="538"/>
      <c r="BP2" s="538"/>
      <c r="BQ2" s="538"/>
      <c r="BR2" s="548"/>
      <c r="BS2" s="538"/>
      <c r="BT2" s="538"/>
      <c r="BU2" s="538"/>
      <c r="BV2" s="538"/>
      <c r="BW2" s="538"/>
      <c r="BX2" s="538"/>
      <c r="BY2" s="538"/>
      <c r="BZ2" s="538"/>
      <c r="CA2" s="538"/>
      <c r="CB2" s="538"/>
      <c r="CC2" s="538"/>
      <c r="CD2" s="538"/>
      <c r="CE2" s="538"/>
      <c r="CF2" s="538"/>
      <c r="CG2" s="538"/>
      <c r="CH2" s="538"/>
      <c r="CI2" s="538"/>
      <c r="CJ2" s="453"/>
      <c r="CK2" s="453"/>
      <c r="CL2" s="453"/>
      <c r="CM2" s="453"/>
      <c r="CN2" s="453"/>
      <c r="CO2" s="453"/>
      <c r="CP2" s="453"/>
      <c r="CQ2" s="453"/>
      <c r="CR2" s="453"/>
      <c r="CS2" s="453"/>
      <c r="CT2" s="453"/>
      <c r="CU2" s="453"/>
      <c r="CV2" s="453"/>
      <c r="CW2" s="453"/>
      <c r="CX2" s="453"/>
      <c r="CY2" s="453"/>
      <c r="CZ2" s="453"/>
      <c r="DA2" s="453"/>
      <c r="DB2" s="453"/>
      <c r="DC2" s="453"/>
      <c r="DD2" s="453"/>
      <c r="DE2" s="453"/>
      <c r="DF2" s="453"/>
      <c r="DG2" s="453"/>
      <c r="DH2" s="453"/>
      <c r="DI2" s="453"/>
      <c r="DJ2" s="453"/>
      <c r="DK2" s="453"/>
      <c r="DL2" s="453"/>
      <c r="DM2" s="453"/>
      <c r="DN2" s="453"/>
      <c r="DO2" s="453"/>
      <c r="DP2" s="453"/>
      <c r="DQ2" s="453"/>
    </row>
    <row r="3" s="543" customFormat="1" ht="16" customHeight="1" spans="1:121">
      <c r="A3" s="430"/>
      <c r="B3" s="430"/>
      <c r="C3" s="430"/>
      <c r="D3" s="430"/>
      <c r="E3" s="430"/>
      <c r="F3" s="430"/>
      <c r="G3" s="307"/>
      <c r="H3" s="91"/>
      <c r="I3" s="91"/>
      <c r="J3" s="91"/>
      <c r="K3" s="91"/>
      <c r="L3" s="91"/>
      <c r="M3" s="587"/>
      <c r="N3" s="91"/>
      <c r="O3" s="91"/>
      <c r="P3" s="91"/>
      <c r="Q3" s="91"/>
      <c r="R3" s="91"/>
      <c r="S3" s="91"/>
      <c r="T3" s="613"/>
      <c r="U3" s="91"/>
      <c r="V3" s="91"/>
      <c r="W3" s="91"/>
      <c r="X3" s="91"/>
      <c r="Y3" s="91"/>
      <c r="Z3" s="91"/>
      <c r="AA3" s="307"/>
      <c r="AB3" s="74"/>
      <c r="AC3" s="74"/>
      <c r="AD3" s="74"/>
      <c r="AE3" s="74"/>
      <c r="AF3" s="74"/>
      <c r="AG3" s="74"/>
      <c r="AH3" s="307"/>
      <c r="AI3" s="91"/>
      <c r="AJ3" s="91"/>
      <c r="AK3" s="91"/>
      <c r="AL3" s="91"/>
      <c r="AM3" s="91"/>
      <c r="AN3" s="91"/>
      <c r="AO3" s="91"/>
      <c r="AP3" s="91"/>
      <c r="AQ3" s="91"/>
      <c r="AR3" s="91"/>
      <c r="AS3" s="91"/>
      <c r="AT3" s="91"/>
      <c r="AU3" s="91"/>
      <c r="AV3" s="91"/>
      <c r="AW3" s="91"/>
      <c r="AX3" s="91"/>
      <c r="AY3" s="91"/>
      <c r="AZ3" s="73"/>
      <c r="BA3" s="74"/>
      <c r="BB3" s="74"/>
      <c r="BC3" s="74"/>
      <c r="BD3" s="74"/>
      <c r="BE3" s="74"/>
      <c r="BF3" s="74"/>
      <c r="BG3" s="74"/>
      <c r="BH3" s="74"/>
      <c r="BI3" s="74"/>
      <c r="BJ3" s="74"/>
      <c r="BK3" s="74"/>
      <c r="BL3" s="74"/>
      <c r="BM3" s="74"/>
      <c r="BN3" s="74"/>
      <c r="BO3" s="74"/>
      <c r="BP3" s="74"/>
      <c r="BQ3" s="74"/>
      <c r="BR3" s="549"/>
      <c r="BS3" s="74"/>
      <c r="BT3" s="74"/>
      <c r="BU3" s="74"/>
      <c r="BV3" s="74"/>
      <c r="BW3" s="74"/>
      <c r="BX3" s="74"/>
      <c r="BY3" s="74"/>
      <c r="BZ3" s="74"/>
      <c r="CA3" s="74"/>
      <c r="CB3" s="74"/>
      <c r="CC3" s="74"/>
      <c r="CD3" s="74"/>
      <c r="CE3" s="91" t="s">
        <v>496</v>
      </c>
      <c r="CF3" s="74"/>
      <c r="CG3" s="74"/>
      <c r="CH3" s="74"/>
      <c r="CI3" s="74"/>
      <c r="CJ3" s="453"/>
      <c r="CK3" s="451"/>
      <c r="CL3" s="452"/>
      <c r="CM3" s="452"/>
      <c r="CN3" s="452"/>
      <c r="CO3" s="452"/>
      <c r="CP3" s="452"/>
      <c r="CQ3" s="452"/>
      <c r="CR3" s="452"/>
      <c r="CS3" s="452"/>
      <c r="CT3" s="228"/>
      <c r="CU3" s="228"/>
      <c r="CV3" s="228"/>
      <c r="CW3" s="228"/>
      <c r="CX3" s="228"/>
      <c r="CY3" s="228"/>
      <c r="CZ3" s="228"/>
      <c r="DA3" s="228"/>
      <c r="DB3" s="228"/>
      <c r="DC3" s="228"/>
      <c r="DD3" s="228"/>
      <c r="DE3" s="228"/>
      <c r="DF3" s="228"/>
      <c r="DG3" s="228"/>
      <c r="DH3" s="228"/>
      <c r="DI3" s="228"/>
      <c r="DJ3" s="228"/>
      <c r="DK3" s="228"/>
      <c r="DL3" s="228"/>
      <c r="DM3" s="228"/>
      <c r="DN3" s="228"/>
      <c r="DO3" s="228"/>
      <c r="DP3" s="228"/>
      <c r="DQ3" s="228"/>
    </row>
    <row r="4" s="543" customFormat="1" ht="16" customHeight="1" spans="1:121">
      <c r="A4" s="269" t="s">
        <v>274</v>
      </c>
      <c r="B4" s="270"/>
      <c r="C4" s="270"/>
      <c r="D4" s="270"/>
      <c r="E4" s="270"/>
      <c r="F4" s="270"/>
      <c r="G4" s="70" t="e">
        <f>IF(O20=0,"未做决策",IF(MAX(T20:T23)&gt;=6,"价格打错","决策无误"))</f>
        <v>#DIV/0!</v>
      </c>
      <c r="H4" s="581" t="s">
        <v>497</v>
      </c>
      <c r="I4" s="588"/>
      <c r="J4" s="588"/>
      <c r="K4" s="588"/>
      <c r="L4" s="588"/>
      <c r="M4" s="587"/>
      <c r="N4" s="269" t="s">
        <v>475</v>
      </c>
      <c r="O4" s="270"/>
      <c r="P4" s="270"/>
      <c r="Q4" s="270"/>
      <c r="R4" s="270"/>
      <c r="S4" s="91"/>
      <c r="T4" s="613"/>
      <c r="U4" s="68" t="s">
        <v>498</v>
      </c>
      <c r="V4" s="68" t="s">
        <v>459</v>
      </c>
      <c r="W4" s="68" t="s">
        <v>460</v>
      </c>
      <c r="X4" s="68" t="s">
        <v>461</v>
      </c>
      <c r="Y4" s="68" t="s">
        <v>462</v>
      </c>
      <c r="Z4" s="68" t="s">
        <v>499</v>
      </c>
      <c r="AA4" s="68" t="s">
        <v>500</v>
      </c>
      <c r="AB4" s="151" t="s">
        <v>501</v>
      </c>
      <c r="AC4" s="151" t="s">
        <v>241</v>
      </c>
      <c r="AD4" s="151" t="s">
        <v>38</v>
      </c>
      <c r="AE4" s="151" t="s">
        <v>39</v>
      </c>
      <c r="AF4" s="151" t="s">
        <v>40</v>
      </c>
      <c r="AG4" s="151" t="s">
        <v>41</v>
      </c>
      <c r="AH4" s="307"/>
      <c r="AI4" s="526" t="s">
        <v>502</v>
      </c>
      <c r="AJ4" s="527"/>
      <c r="AK4" s="527"/>
      <c r="AL4" s="527"/>
      <c r="AM4" s="527"/>
      <c r="AN4" s="527"/>
      <c r="AO4" s="527"/>
      <c r="AP4" s="527"/>
      <c r="AQ4" s="527"/>
      <c r="AR4" s="527"/>
      <c r="AS4" s="527"/>
      <c r="AT4" s="527"/>
      <c r="AU4" s="527"/>
      <c r="AV4" s="527"/>
      <c r="AW4" s="527"/>
      <c r="AX4" s="527"/>
      <c r="AY4" s="527"/>
      <c r="AZ4" s="63"/>
      <c r="BA4" s="269" t="s">
        <v>503</v>
      </c>
      <c r="BB4" s="270"/>
      <c r="BC4" s="270"/>
      <c r="BD4" s="270"/>
      <c r="BE4" s="270"/>
      <c r="BF4" s="270"/>
      <c r="BG4" s="270"/>
      <c r="BH4" s="270"/>
      <c r="BI4" s="270"/>
      <c r="BJ4" s="270"/>
      <c r="BK4" s="270"/>
      <c r="BL4" s="270"/>
      <c r="BM4" s="270"/>
      <c r="BN4" s="270"/>
      <c r="BO4" s="270"/>
      <c r="BP4" s="270"/>
      <c r="BQ4" s="270"/>
      <c r="BR4" s="62"/>
      <c r="BS4" s="269" t="s">
        <v>504</v>
      </c>
      <c r="BT4" s="269" t="s">
        <v>505</v>
      </c>
      <c r="BU4" s="269" t="s">
        <v>506</v>
      </c>
      <c r="BV4" s="269" t="s">
        <v>262</v>
      </c>
      <c r="BW4" s="269" t="s">
        <v>507</v>
      </c>
      <c r="BX4" s="269" t="s">
        <v>508</v>
      </c>
      <c r="BY4" s="269" t="s">
        <v>264</v>
      </c>
      <c r="BZ4" s="269" t="s">
        <v>268</v>
      </c>
      <c r="CA4" s="269" t="s">
        <v>272</v>
      </c>
      <c r="CB4" s="269" t="s">
        <v>270</v>
      </c>
      <c r="CC4" s="269" t="s">
        <v>509</v>
      </c>
      <c r="CD4" s="269" t="s">
        <v>510</v>
      </c>
      <c r="CE4" s="269" t="s">
        <v>511</v>
      </c>
      <c r="CF4" s="269" t="s">
        <v>512</v>
      </c>
      <c r="CG4" s="453"/>
      <c r="CH4" s="453"/>
      <c r="CI4" s="227"/>
      <c r="CJ4" s="228"/>
      <c r="CK4" s="227"/>
      <c r="CL4" s="228"/>
      <c r="CM4" s="228"/>
      <c r="CN4" s="228"/>
      <c r="CO4" s="228"/>
      <c r="CP4" s="228"/>
      <c r="CQ4" s="228"/>
      <c r="CR4" s="228"/>
      <c r="CS4" s="228"/>
      <c r="CT4" s="227"/>
      <c r="CU4" s="227"/>
      <c r="CV4" s="227"/>
      <c r="CW4" s="227"/>
      <c r="CX4" s="227"/>
      <c r="CY4" s="227"/>
      <c r="CZ4" s="227"/>
      <c r="DA4" s="227"/>
      <c r="DB4" s="228"/>
      <c r="DC4" s="228"/>
      <c r="DD4" s="228"/>
      <c r="DE4" s="228"/>
      <c r="DF4" s="228"/>
      <c r="DG4" s="228"/>
      <c r="DH4" s="228"/>
      <c r="DI4" s="228"/>
      <c r="DJ4" s="228"/>
      <c r="DK4" s="228"/>
      <c r="DL4" s="228"/>
      <c r="DM4" s="228"/>
      <c r="DN4" s="228"/>
      <c r="DO4" s="228"/>
      <c r="DP4" s="228"/>
      <c r="DQ4" s="228"/>
    </row>
    <row r="5" s="543" customFormat="1" ht="16" customHeight="1" spans="1:121">
      <c r="A5" s="269" t="s">
        <v>475</v>
      </c>
      <c r="B5" s="269" t="s">
        <v>513</v>
      </c>
      <c r="C5" s="269" t="s">
        <v>514</v>
      </c>
      <c r="D5" s="269" t="s">
        <v>515</v>
      </c>
      <c r="E5" s="269" t="s">
        <v>516</v>
      </c>
      <c r="F5" s="269" t="s">
        <v>276</v>
      </c>
      <c r="G5" s="70" t="str">
        <f>IF(AI24="","未粘报表","已粘报表")</f>
        <v>未粘报表</v>
      </c>
      <c r="H5" s="269" t="s">
        <v>283</v>
      </c>
      <c r="I5" s="269" t="s">
        <v>347</v>
      </c>
      <c r="J5" s="269" t="s">
        <v>517</v>
      </c>
      <c r="K5" s="269" t="s">
        <v>518</v>
      </c>
      <c r="L5" s="269" t="s">
        <v>519</v>
      </c>
      <c r="M5" s="587"/>
      <c r="N5" s="269" t="s">
        <v>520</v>
      </c>
      <c r="O5" s="269" t="s">
        <v>521</v>
      </c>
      <c r="P5" s="269" t="s">
        <v>522</v>
      </c>
      <c r="Q5" s="269" t="s">
        <v>523</v>
      </c>
      <c r="R5" s="269" t="s">
        <v>524</v>
      </c>
      <c r="S5" s="614"/>
      <c r="T5" s="613"/>
      <c r="U5" s="68" t="s">
        <v>464</v>
      </c>
      <c r="V5" s="77">
        <f>初期!S6</f>
        <v>0</v>
      </c>
      <c r="W5" s="77">
        <f>初期!S7</f>
        <v>0</v>
      </c>
      <c r="X5" s="77">
        <f>初期!S8</f>
        <v>0</v>
      </c>
      <c r="Y5" s="77">
        <f>初期!S9</f>
        <v>0</v>
      </c>
      <c r="Z5" s="77">
        <f>初期!M23</f>
        <v>0</v>
      </c>
      <c r="AA5" s="77" t="e">
        <f>(V5+W5+X5+Y5)*AC11</f>
        <v>#DIV/0!</v>
      </c>
      <c r="AB5" s="151" t="s">
        <v>464</v>
      </c>
      <c r="AC5" s="152" t="e">
        <f>初始化表!$B$8*初始化表!E17*初始化表!$H$5/1300+初始化表!$B$12*初始化表!E17/1300+初始化表!E19+初始化表!E18*(-C35-C44)/(SUM(B17:E17)*初始化表!E18+SUM(B18:E18)*初始化表!F18+SUM(B19:E19)*初始化表!G18+SUM(B20:E20)*初始化表!H18)</f>
        <v>#DIV/0!</v>
      </c>
      <c r="AD5" s="153" t="e">
        <f>$AC5+初始化表!L19+$F6*B6/SUMPRODUCT($B6:$E6,$V42:$Y42)+B$10*B6/SUMPRODUCT(B$6:B$9,V$42:V$45)+初始化表!L13/I63+(IF(I25+J25=0,0,1)*初始化表!H25+IF(K25+L25=0,0,1)*初始化表!I25)/(I63+J63+K63+L63)</f>
        <v>#DIV/0!</v>
      </c>
      <c r="AE5" s="153" t="e">
        <f>$AC5+初始化表!M19+$F6*C6/SUMPRODUCT($B6:$E6,$V42:$Y42)+C$10*C6/SUMPRODUCT(C$6:C$9,W$42:W$45)+初始化表!M13/J63+(IF(I25+J25=0,0,1)*初始化表!H25+IF(K25+L25=0,0,1)*初始化表!I25)/(I63+J63+K63+L63)</f>
        <v>#DIV/0!</v>
      </c>
      <c r="AF5" s="153" t="e">
        <f>$AC5+初始化表!N19+$F6*D6/SUMPRODUCT($B6:$E6,$V42:$Y42)+D$10*D6/SUMPRODUCT(D$6:D$9,X$42:X$45)+初始化表!N13/K63+(IF(I25+J25=0,0,1)*初始化表!H25+IF(K25+L25=0,0,1)*初始化表!I25)/(I63+J63+K63+L63)</f>
        <v>#DIV/0!</v>
      </c>
      <c r="AG5" s="153" t="e">
        <f>$AC5+初始化表!O19+$F6*E6/SUMPRODUCT($B6:$E6,$V42:$Y42)+E$10*E6/SUMPRODUCT(E$6:E$9,Y$42:Y$45)+初始化表!O13/L63+(IF(I25+J25=0,0,1)*初始化表!H25+IF(K25+L25=0,0,1)*初始化表!I25)/(I63+J63+K63+L63)</f>
        <v>#DIV/0!</v>
      </c>
      <c r="AH5" s="307"/>
      <c r="AI5" s="527"/>
      <c r="AJ5" s="527"/>
      <c r="AK5" s="527"/>
      <c r="AL5" s="527"/>
      <c r="AM5" s="527"/>
      <c r="AN5" s="527"/>
      <c r="AO5" s="527"/>
      <c r="AP5" s="527"/>
      <c r="AQ5" s="527"/>
      <c r="AR5" s="527"/>
      <c r="AS5" s="527"/>
      <c r="AT5" s="527"/>
      <c r="AU5" s="527"/>
      <c r="AV5" s="527"/>
      <c r="AW5" s="527"/>
      <c r="AX5" s="527"/>
      <c r="AY5" s="527"/>
      <c r="AZ5" s="63"/>
      <c r="BA5" s="269" t="s">
        <v>37</v>
      </c>
      <c r="BB5" s="269" t="s">
        <v>521</v>
      </c>
      <c r="BC5" s="270"/>
      <c r="BD5" s="270"/>
      <c r="BE5" s="270"/>
      <c r="BF5" s="269" t="s">
        <v>522</v>
      </c>
      <c r="BG5" s="270"/>
      <c r="BH5" s="270"/>
      <c r="BI5" s="270"/>
      <c r="BJ5" s="269" t="s">
        <v>523</v>
      </c>
      <c r="BK5" s="270"/>
      <c r="BL5" s="270"/>
      <c r="BM5" s="270"/>
      <c r="BN5" s="269" t="s">
        <v>524</v>
      </c>
      <c r="BO5" s="270"/>
      <c r="BP5" s="270"/>
      <c r="BQ5" s="270"/>
      <c r="BR5" s="62"/>
      <c r="BS5" s="270">
        <f t="shared" ref="BS5:BS24" si="0">BA7</f>
        <v>0</v>
      </c>
      <c r="BT5" s="77">
        <f t="shared" ref="BT5:BT24" si="1">IF(BS5=0,0,1)</f>
        <v>0</v>
      </c>
      <c r="BU5" s="77">
        <f>初期!I146*0.5</f>
        <v>0</v>
      </c>
      <c r="BV5" s="544" t="e">
        <f>AVERAGE(BT30:CI30)*初始化表!B$31</f>
        <v>#DIV/0!</v>
      </c>
      <c r="BW5" s="544" t="e">
        <f>$BT5*(AL107-BW$25)/BW$26*初始化表!B$30</f>
        <v>#DIV/0!</v>
      </c>
      <c r="BX5" s="544" t="e">
        <f>$BT5*(AM107-BX$25)/BX$26*初始化表!B$33</f>
        <v>#DIV/0!</v>
      </c>
      <c r="BY5" s="544" t="e">
        <f>$BT5*(AN107-BY$25)/BY$26*初始化表!B$32</f>
        <v>#DIV/0!</v>
      </c>
      <c r="BZ5" s="544" t="e">
        <f>$BT5*(AP107-BZ$25)/BZ$26*初始化表!B$34</f>
        <v>#DIV/0!</v>
      </c>
      <c r="CA5" s="544" t="e">
        <f>$BT$5*(AW107-CA$25)/CA$26*初始化表!B$36</f>
        <v>#DIV/0!</v>
      </c>
      <c r="CB5" s="544" t="e">
        <f>CE5-CC5-BU5-SUM(BV5:CA5)/2</f>
        <v>#DIV/0!</v>
      </c>
      <c r="CC5" s="77">
        <f>IF(AO107-AX107&gt;=0,0,-0.1*(1-EXP(2*10^(-6)*(AO107-AX107))))</f>
        <v>0</v>
      </c>
      <c r="CD5" s="92" t="e">
        <f>SUM(BV5:CB5)</f>
        <v>#DIV/0!</v>
      </c>
      <c r="CE5" s="92">
        <f>AQ107</f>
        <v>0</v>
      </c>
      <c r="CF5" s="92">
        <f>BU5*2</f>
        <v>0</v>
      </c>
      <c r="CG5" s="453"/>
      <c r="CH5" s="453"/>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c r="DP5" s="228"/>
      <c r="DQ5" s="228"/>
    </row>
    <row r="6" s="543" customFormat="1" ht="16" customHeight="1" spans="1:121">
      <c r="A6" s="269" t="s">
        <v>521</v>
      </c>
      <c r="B6" s="582" t="e">
        <f>O20</f>
        <v>#DIV/0!</v>
      </c>
      <c r="C6" s="582" t="e">
        <f t="shared" ref="C6:E6" si="2">P20</f>
        <v>#DIV/0!</v>
      </c>
      <c r="D6" s="582" t="e">
        <f t="shared" si="2"/>
        <v>#DIV/0!</v>
      </c>
      <c r="E6" s="582" t="e">
        <f t="shared" si="2"/>
        <v>#DIV/0!</v>
      </c>
      <c r="F6" s="583" t="e">
        <f>O28</f>
        <v>#DIV/0!</v>
      </c>
      <c r="G6" s="307"/>
      <c r="H6" s="269" t="s">
        <v>521</v>
      </c>
      <c r="I6" s="583">
        <f>初期!O23</f>
        <v>0</v>
      </c>
      <c r="J6" s="589">
        <v>0</v>
      </c>
      <c r="K6" s="590">
        <f>IF(IF((I6+F17)&gt;=初始化表!I31,5,IF((I6+F17)&gt;=初始化表!H31,4,IF((I6+F17)&gt;=初始化表!G31,3,IF((I6+F17)&gt;=初始化表!F31,2,IF((I6+F17)&gt;=初始化表!E31,1,0)))))+IF(I6+F17&gt;初始化表!E31,O$45)&lt;初期!P23+1,IF((I6+F17)&gt;=初始化表!I31,5,IF((I6+F17)&gt;=初始化表!H31,4,IF((I6+F17)&gt;=初始化表!G31,3,IF((I6+F17)&gt;=初始化表!F31,2,IF((I6+F17)&gt;=初始化表!E31,1,0)))))+IF(I6+F17&gt;初始化表!E31,O$45),初期!P23+1)</f>
        <v>1</v>
      </c>
      <c r="L6" s="583">
        <f>IF(I6&lt;初始化表!E31,初始化表!E31-I6,IF(I6&lt;初始化表!F31,初始化表!F31-I6,IF(I6&lt;初始化表!G31,初始化表!G31-I6,IF(I6&lt;初始化表!H31,初始化表!H31-I6,IF(I6&lt;初始化表!I31,初始化表!I31-I6,0)))))</f>
        <v>0</v>
      </c>
      <c r="M6" s="587"/>
      <c r="N6" s="269" t="s">
        <v>525</v>
      </c>
      <c r="O6" s="591">
        <v>0.038</v>
      </c>
      <c r="P6" s="591">
        <v>0.038</v>
      </c>
      <c r="Q6" s="591">
        <v>0.038</v>
      </c>
      <c r="R6" s="591">
        <v>0.038</v>
      </c>
      <c r="S6" s="611"/>
      <c r="T6" s="613"/>
      <c r="U6" s="68" t="s">
        <v>465</v>
      </c>
      <c r="V6" s="77">
        <f>初期!S10</f>
        <v>0</v>
      </c>
      <c r="W6" s="77">
        <f>初期!S11</f>
        <v>0</v>
      </c>
      <c r="X6" s="77">
        <f>初期!S12</f>
        <v>0</v>
      </c>
      <c r="Y6" s="77">
        <f>初期!S13</f>
        <v>0</v>
      </c>
      <c r="Z6" s="77">
        <f>初期!M24</f>
        <v>0</v>
      </c>
      <c r="AA6" s="77" t="e">
        <f t="shared" ref="AA6:AA8" si="3">(V6+W6+X6+Y6)*AC12</f>
        <v>#DIV/0!</v>
      </c>
      <c r="AB6" s="151" t="s">
        <v>465</v>
      </c>
      <c r="AC6" s="152" t="e">
        <f>初始化表!$B$8*初始化表!F17*初始化表!$H$5/1300+初始化表!$B$12*初始化表!F17/1300+初始化表!F19+初始化表!F18*(-C35-C44)/(SUM(B17:E17)*初始化表!E18+SUM(B18:E18)*初始化表!F18+SUM(B19:E19)*初始化表!G18+SUM(B20:E20)*初始化表!H18)</f>
        <v>#DIV/0!</v>
      </c>
      <c r="AD6" s="153" t="e">
        <f>$AC6+初始化表!L20+$F7*B7/SUMPRODUCT($B7:$E7,$V43:$Y43)+B$10*B7/SUMPRODUCT(B$6:B$9,V$42:V$45)+初始化表!L14/I64+(IF(I26+J26=0,0,1)*初始化表!H26+IF(K26+L26=0,0,1)*初始化表!I26)/(I64+J64+K64+L64)</f>
        <v>#DIV/0!</v>
      </c>
      <c r="AE6" s="153" t="e">
        <f>$AC6+初始化表!M20+$F7*C7/SUMPRODUCT($B7:$E7,$V43:$Y43)+C$10*C7/SUMPRODUCT(C$6:C$9,W$42:W$45)+初始化表!M14/J64+(IF(I26+J26=0,0,1)*初始化表!H26+IF(K26+L26=0,0,1)*初始化表!I26)/(I64+J64+K64+L64)</f>
        <v>#DIV/0!</v>
      </c>
      <c r="AF6" s="153" t="e">
        <f>$AC6+初始化表!N20+$F7*D7/SUMPRODUCT($B7:$E7,$V43:$Y43)+D$10*D7/SUMPRODUCT(D$6:D$9,X$42:X$45)+初始化表!N14/K64+(IF(I26+J26=0,0,1)*初始化表!H26+IF(K26+L26=0,0,1)*初始化表!I26)/(I64+J64+K64+L64)</f>
        <v>#DIV/0!</v>
      </c>
      <c r="AG6" s="153" t="e">
        <f>$AC6+初始化表!O20+$F7*E7/SUMPRODUCT($B7:$E7,$V43:$Y43)+E$10*E7/SUMPRODUCT(E$6:E$9,Y$42:Y$45)+初始化表!O14/L64+(IF(I26+J26=0,0,1)*初始化表!H26+IF(K26+L26=0,0,1)*初始化表!I26)/(I64+J64+K64+L64)</f>
        <v>#DIV/0!</v>
      </c>
      <c r="AH6" s="307"/>
      <c r="AZ6" s="63"/>
      <c r="BA6" s="270"/>
      <c r="BB6" s="269" t="s">
        <v>513</v>
      </c>
      <c r="BC6" s="269" t="s">
        <v>514</v>
      </c>
      <c r="BD6" s="269" t="s">
        <v>515</v>
      </c>
      <c r="BE6" s="269" t="s">
        <v>516</v>
      </c>
      <c r="BF6" s="269" t="s">
        <v>513</v>
      </c>
      <c r="BG6" s="269" t="s">
        <v>514</v>
      </c>
      <c r="BH6" s="269" t="s">
        <v>515</v>
      </c>
      <c r="BI6" s="269" t="s">
        <v>516</v>
      </c>
      <c r="BJ6" s="269" t="s">
        <v>513</v>
      </c>
      <c r="BK6" s="269" t="s">
        <v>514</v>
      </c>
      <c r="BL6" s="269" t="s">
        <v>515</v>
      </c>
      <c r="BM6" s="269" t="s">
        <v>516</v>
      </c>
      <c r="BN6" s="269" t="s">
        <v>513</v>
      </c>
      <c r="BO6" s="269" t="s">
        <v>514</v>
      </c>
      <c r="BP6" s="269" t="s">
        <v>515</v>
      </c>
      <c r="BQ6" s="269" t="s">
        <v>516</v>
      </c>
      <c r="BR6" s="62"/>
      <c r="BS6" s="270">
        <f t="shared" si="0"/>
        <v>0</v>
      </c>
      <c r="BT6" s="77">
        <f t="shared" si="1"/>
        <v>0</v>
      </c>
      <c r="BU6" s="77">
        <f>初期!I147*0.5</f>
        <v>0</v>
      </c>
      <c r="BV6" s="544" t="e">
        <f>AVERAGE(BT31:CI31)*初始化表!B$31</f>
        <v>#DIV/0!</v>
      </c>
      <c r="BW6" s="544" t="e">
        <f>$BT6*(AL108-BW$25)/BW$26*初始化表!B$30</f>
        <v>#DIV/0!</v>
      </c>
      <c r="BX6" s="544" t="e">
        <f>$BT6*(AM108-BX$25)/BX$26*初始化表!B$33</f>
        <v>#DIV/0!</v>
      </c>
      <c r="BY6" s="544" t="e">
        <f>$BT6*(AN108-BY$25)/BY$26*初始化表!B$32</f>
        <v>#DIV/0!</v>
      </c>
      <c r="BZ6" s="544" t="e">
        <f>$BT6*(AP108-BZ$25)/BZ$26*初始化表!B$34</f>
        <v>#DIV/0!</v>
      </c>
      <c r="CA6" s="544" t="e">
        <f>$BT$5*(AW108-CA$25)/CA$26*初始化表!B$36</f>
        <v>#DIV/0!</v>
      </c>
      <c r="CB6" s="544" t="e">
        <f t="shared" ref="CB6:CB24" si="4">CE6-CC6-BU6-SUM(BV6:CA6)/2</f>
        <v>#DIV/0!</v>
      </c>
      <c r="CC6" s="77">
        <f t="shared" ref="CC6:CC24" si="5">IF(AO108-AX108&gt;=0,0,-0.1*(1-EXP(2*10^(-6)*(AO108-AX108))))</f>
        <v>0</v>
      </c>
      <c r="CD6" s="92" t="e">
        <f t="shared" ref="CD6:CD24" si="6">SUM(BV6:CB6)</f>
        <v>#DIV/0!</v>
      </c>
      <c r="CE6" s="92">
        <f t="shared" ref="CE6:CE24" si="7">AQ108</f>
        <v>0</v>
      </c>
      <c r="CF6" s="92">
        <f t="shared" ref="CF6:CF24" si="8">BU6*2</f>
        <v>0</v>
      </c>
      <c r="CG6" s="453"/>
      <c r="CH6" s="453"/>
      <c r="CI6" s="227"/>
      <c r="CJ6" s="228"/>
      <c r="CK6" s="227"/>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c r="DP6" s="228"/>
      <c r="DQ6" s="228"/>
    </row>
    <row r="7" s="543" customFormat="1" ht="16" customHeight="1" spans="1:121">
      <c r="A7" s="269" t="s">
        <v>522</v>
      </c>
      <c r="B7" s="582" t="e">
        <f t="shared" ref="B7:B9" si="9">O21</f>
        <v>#DIV/0!</v>
      </c>
      <c r="C7" s="582" t="e">
        <f t="shared" ref="C7:C9" si="10">P21</f>
        <v>#DIV/0!</v>
      </c>
      <c r="D7" s="582" t="e">
        <f t="shared" ref="D7:D9" si="11">Q21</f>
        <v>#DIV/0!</v>
      </c>
      <c r="E7" s="582" t="e">
        <f t="shared" ref="E7:E9" si="12">R21</f>
        <v>#DIV/0!</v>
      </c>
      <c r="F7" s="583" t="e">
        <f>P28</f>
        <v>#DIV/0!</v>
      </c>
      <c r="G7" s="307"/>
      <c r="H7" s="269" t="s">
        <v>522</v>
      </c>
      <c r="I7" s="583">
        <f>初期!O24</f>
        <v>0</v>
      </c>
      <c r="J7" s="589">
        <v>0</v>
      </c>
      <c r="K7" s="590">
        <f>IF(IF((I7+F18)&gt;=初始化表!I32,5,IF((I7+F18)&gt;=初始化表!H32,4,IF((I7+F18)&gt;=初始化表!G32,3,IF((I7+F18)&gt;=初始化表!F32,2,IF((I7+F18)&gt;=初始化表!E32,1,0)))))+IF(I7+F18&gt;初始化表!E32,O$45)&lt;初期!P24+1,IF((I7+F18)&gt;=初始化表!I32,5,IF((I7+F18)&gt;=初始化表!H32,4,IF((I7+F18)&gt;=初始化表!G32,3,IF((I7+F18)&gt;=初始化表!F32,2,IF((I7+F18)&gt;=初始化表!E32,1,0)))))+IF(I7+F18&gt;初始化表!E32,O$45),初期!P24+1)</f>
        <v>1</v>
      </c>
      <c r="L7" s="583">
        <f>IF(I7&lt;初始化表!E32,初始化表!E32-I7,IF(I7&lt;初始化表!F32,初始化表!F32-I7,IF(I7&lt;初始化表!G32,初始化表!G32-I7,IF(I7&lt;初始化表!H32,初始化表!H32-I7,IF(I7&lt;初始化表!I32,初始化表!I32-I7,0)))))</f>
        <v>0</v>
      </c>
      <c r="M7" s="587"/>
      <c r="N7" s="269" t="s">
        <v>526</v>
      </c>
      <c r="O7" s="269" t="s">
        <v>513</v>
      </c>
      <c r="P7" s="269" t="s">
        <v>514</v>
      </c>
      <c r="Q7" s="269" t="s">
        <v>515</v>
      </c>
      <c r="R7" s="269" t="s">
        <v>516</v>
      </c>
      <c r="S7" s="614"/>
      <c r="T7" s="613"/>
      <c r="U7" s="68" t="s">
        <v>466</v>
      </c>
      <c r="V7" s="77">
        <f>初期!S14</f>
        <v>0</v>
      </c>
      <c r="W7" s="77">
        <f>初期!S15</f>
        <v>0</v>
      </c>
      <c r="X7" s="77">
        <f>初期!S16</f>
        <v>0</v>
      </c>
      <c r="Y7" s="77">
        <f>初期!S17</f>
        <v>0</v>
      </c>
      <c r="Z7" s="77">
        <f>初期!M25</f>
        <v>0</v>
      </c>
      <c r="AA7" s="77" t="e">
        <f t="shared" si="3"/>
        <v>#DIV/0!</v>
      </c>
      <c r="AB7" s="151" t="s">
        <v>466</v>
      </c>
      <c r="AC7" s="152" t="e">
        <f>初始化表!$B$8*初始化表!G17*初始化表!$H$5/1300+初始化表!$B$12*初始化表!G17/1300+初始化表!G19+初始化表!G18*(-C35-C44)/(SUM(B17:E17)*初始化表!E18+SUM(B18:E18)*初始化表!F18+SUM(B19:E19)*初始化表!G18+SUM(B20:E20)*初始化表!H18)</f>
        <v>#DIV/0!</v>
      </c>
      <c r="AD7" s="153" t="e">
        <f>$AC7+初始化表!L21+$F8*B8/SUMPRODUCT($B8:$E8,$V44:$Y44)+B$10*B8/SUMPRODUCT(B$6:B$9,V$42:V$45)+初始化表!L15/I65+(IF(I27+J27=0,0,1)*初始化表!H27+IF(K27+L27=0,0,1)*初始化表!I27)/(I65+J65+K65+L65)</f>
        <v>#DIV/0!</v>
      </c>
      <c r="AE7" s="153" t="e">
        <f>$AC7+初始化表!M21+$F8*C8/SUMPRODUCT($B8:$E8,$V44:$Y44)+C$10*C8/SUMPRODUCT(C$6:C$9,W$42:W$45)+初始化表!M15/J65+(IF(I27+J27=0,0,1)*初始化表!H27+IF(K27+L27=0,0,1)*初始化表!I27)/(I65+J65+K65+L65)</f>
        <v>#DIV/0!</v>
      </c>
      <c r="AF7" s="153" t="e">
        <f>$AC7+初始化表!N21+$F8*D8/SUMPRODUCT($B8:$E8,$V44:$Y44)+D$10*D8/SUMPRODUCT(D$6:D$9,X$42:X$45)+初始化表!N15/K65+(IF(I27+J27=0,0,1)*初始化表!H27+IF(K27+L27=0,0,1)*初始化表!I27)/(I65+J65+K65+L65)</f>
        <v>#DIV/0!</v>
      </c>
      <c r="AG7" s="153" t="e">
        <f>$AC7+初始化表!O21+$F8*E8/SUMPRODUCT($B8:$E8,$V44:$Y44)+E$10*E8/SUMPRODUCT(E$6:E$9,Y$42:Y$45)+初始化表!O15/L65+(IF(I27+J27=0,0,1)*初始化表!H27+IF(K27+L27=0,0,1)*初始化表!I27)/(I65+J65+K65+L65)</f>
        <v>#DIV/0!</v>
      </c>
      <c r="AH7" s="307"/>
      <c r="AI7" s="526" t="s">
        <v>424</v>
      </c>
      <c r="AJ7" s="527"/>
      <c r="AK7" s="527"/>
      <c r="AL7" s="527"/>
      <c r="AM7" s="527"/>
      <c r="AN7" s="527"/>
      <c r="AO7" s="527"/>
      <c r="AP7" s="527"/>
      <c r="AQ7" s="527"/>
      <c r="AZ7" s="63"/>
      <c r="BA7" s="539">
        <f t="shared" ref="BA7:BA26" si="13">AI37</f>
        <v>0</v>
      </c>
      <c r="BB7" s="632">
        <f t="shared" ref="BB7:BQ12" si="14">IF($BA7="","",INT(BB$28*AJ61))</f>
        <v>0</v>
      </c>
      <c r="BC7" s="632">
        <f t="shared" si="14"/>
        <v>0</v>
      </c>
      <c r="BD7" s="632">
        <f t="shared" si="14"/>
        <v>0</v>
      </c>
      <c r="BE7" s="632">
        <f t="shared" si="14"/>
        <v>0</v>
      </c>
      <c r="BF7" s="632">
        <f t="shared" si="14"/>
        <v>0</v>
      </c>
      <c r="BG7" s="632">
        <f t="shared" si="14"/>
        <v>0</v>
      </c>
      <c r="BH7" s="632">
        <f t="shared" si="14"/>
        <v>0</v>
      </c>
      <c r="BI7" s="632">
        <f t="shared" si="14"/>
        <v>0</v>
      </c>
      <c r="BJ7" s="632">
        <f t="shared" si="14"/>
        <v>0</v>
      </c>
      <c r="BK7" s="632">
        <f t="shared" si="14"/>
        <v>0</v>
      </c>
      <c r="BL7" s="632">
        <f t="shared" si="14"/>
        <v>0</v>
      </c>
      <c r="BM7" s="632">
        <f t="shared" si="14"/>
        <v>0</v>
      </c>
      <c r="BN7" s="632">
        <f t="shared" si="14"/>
        <v>0</v>
      </c>
      <c r="BO7" s="632">
        <f t="shared" si="14"/>
        <v>0</v>
      </c>
      <c r="BP7" s="632">
        <f t="shared" si="14"/>
        <v>0</v>
      </c>
      <c r="BQ7" s="632">
        <f t="shared" si="14"/>
        <v>0</v>
      </c>
      <c r="BR7" s="62"/>
      <c r="BS7" s="270">
        <f t="shared" si="0"/>
        <v>0</v>
      </c>
      <c r="BT7" s="77">
        <f t="shared" si="1"/>
        <v>0</v>
      </c>
      <c r="BU7" s="77">
        <f>初期!I148*0.5</f>
        <v>0</v>
      </c>
      <c r="BV7" s="544" t="e">
        <f>AVERAGE(BT32:CI32)*初始化表!B$31</f>
        <v>#DIV/0!</v>
      </c>
      <c r="BW7" s="544" t="e">
        <f>$BT7*(AL109-BW$25)/BW$26*初始化表!B$30</f>
        <v>#DIV/0!</v>
      </c>
      <c r="BX7" s="544" t="e">
        <f>$BT7*(AM109-BX$25)/BX$26*初始化表!B$33</f>
        <v>#DIV/0!</v>
      </c>
      <c r="BY7" s="544" t="e">
        <f>$BT7*(AN109-BY$25)/BY$26*初始化表!B$32</f>
        <v>#DIV/0!</v>
      </c>
      <c r="BZ7" s="544" t="e">
        <f>$BT7*(AP109-BZ$25)/BZ$26*初始化表!B$34</f>
        <v>#DIV/0!</v>
      </c>
      <c r="CA7" s="544" t="e">
        <f>$BT$5*(AW109-CA$25)/CA$26*初始化表!B$36</f>
        <v>#DIV/0!</v>
      </c>
      <c r="CB7" s="544" t="e">
        <f t="shared" si="4"/>
        <v>#DIV/0!</v>
      </c>
      <c r="CC7" s="77">
        <f t="shared" si="5"/>
        <v>0</v>
      </c>
      <c r="CD7" s="92" t="e">
        <f t="shared" si="6"/>
        <v>#DIV/0!</v>
      </c>
      <c r="CE7" s="92">
        <f t="shared" si="7"/>
        <v>0</v>
      </c>
      <c r="CF7" s="92">
        <f t="shared" si="8"/>
        <v>0</v>
      </c>
      <c r="CG7" s="453"/>
      <c r="CH7" s="453"/>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row>
    <row r="8" s="543" customFormat="1" ht="16" customHeight="1" spans="1:121">
      <c r="A8" s="269" t="s">
        <v>523</v>
      </c>
      <c r="B8" s="582" t="e">
        <f t="shared" si="9"/>
        <v>#DIV/0!</v>
      </c>
      <c r="C8" s="582" t="e">
        <f t="shared" si="10"/>
        <v>#DIV/0!</v>
      </c>
      <c r="D8" s="582" t="e">
        <f t="shared" si="11"/>
        <v>#DIV/0!</v>
      </c>
      <c r="E8" s="582" t="e">
        <f t="shared" si="12"/>
        <v>#DIV/0!</v>
      </c>
      <c r="F8" s="583" t="e">
        <f>Q28</f>
        <v>#DIV/0!</v>
      </c>
      <c r="G8" s="307"/>
      <c r="H8" s="269" t="s">
        <v>523</v>
      </c>
      <c r="I8" s="583">
        <f>初期!O25</f>
        <v>0</v>
      </c>
      <c r="J8" s="589">
        <v>0</v>
      </c>
      <c r="K8" s="590">
        <f>IF(IF((I8+F19)&gt;=初始化表!I33,5,IF((I8+F19)&gt;=初始化表!H33,4,IF((I8+F19)&gt;=初始化表!G33,3,IF((I8+F19)&gt;=初始化表!F33,2,IF((I8+F19)&gt;=初始化表!E33,1,0)))))+IF(I8+F19&gt;初始化表!E33,O$45)&lt;初期!P25+1,IF((I8+F19)&gt;=初始化表!I33,5,IF((I8+F19)&gt;=初始化表!H33,4,IF((I8+F19)&gt;=初始化表!G33,3,IF((I8+F19)&gt;=初始化表!F33,2,IF((I8+F19)&gt;=初始化表!E33,1,0)))))+IF(I8+F19&gt;初始化表!E33,O$45),初期!P25+1)</f>
        <v>1</v>
      </c>
      <c r="L8" s="583">
        <f>IF(I8&lt;初始化表!E33,初始化表!E33-I8,IF(I8&lt;初始化表!F33,初始化表!F33-I8,IF(I8&lt;初始化表!G33,初始化表!G33-I8,IF(I8&lt;初始化表!H33,初始化表!H33-I8,IF(I8&lt;初始化表!I33,初始化表!I33-I8,0)))))</f>
        <v>0</v>
      </c>
      <c r="M8" s="587"/>
      <c r="N8" s="269" t="s">
        <v>525</v>
      </c>
      <c r="O8" s="591">
        <v>0.038</v>
      </c>
      <c r="P8" s="591">
        <v>0.038</v>
      </c>
      <c r="Q8" s="591">
        <v>0.038</v>
      </c>
      <c r="R8" s="591">
        <v>0.038</v>
      </c>
      <c r="S8" s="611"/>
      <c r="T8" s="613"/>
      <c r="U8" s="68" t="s">
        <v>468</v>
      </c>
      <c r="V8" s="77">
        <f>初期!S18</f>
        <v>0</v>
      </c>
      <c r="W8" s="77">
        <f>初期!S19</f>
        <v>0</v>
      </c>
      <c r="X8" s="77">
        <f>初期!S20</f>
        <v>0</v>
      </c>
      <c r="Y8" s="77">
        <f>初期!S21</f>
        <v>0</v>
      </c>
      <c r="Z8" s="77">
        <f>初期!M26</f>
        <v>0</v>
      </c>
      <c r="AA8" s="77" t="e">
        <f t="shared" si="3"/>
        <v>#DIV/0!</v>
      </c>
      <c r="AB8" s="151" t="s">
        <v>468</v>
      </c>
      <c r="AC8" s="152" t="e">
        <f>初始化表!$B$8*初始化表!H17*初始化表!$H$5/1300+初始化表!$B$12*初始化表!H17/1300+初始化表!H19+初始化表!H18*(-C35-C44)/(SUM(B17:E17)*初始化表!E18+SUM(B18:E18)*初始化表!F18+SUM(B19:E19)*初始化表!G18+SUM(B20:E20)*初始化表!H18)</f>
        <v>#DIV/0!</v>
      </c>
      <c r="AD8" s="153" t="e">
        <f>$AC8+初始化表!L22+$F9*B9/SUMPRODUCT($B9:$E9,$V45:$Y45)+B$10*B9/SUMPRODUCT(B$6:B$9,V$42:V$45)+初始化表!L16/I66+(IF(I28+J28=0,0,1)*初始化表!H28+IF(K28+L28=0,0,1)*初始化表!I28)/(I66+J66+K66+L66)</f>
        <v>#DIV/0!</v>
      </c>
      <c r="AE8" s="153" t="e">
        <f>$AC8+初始化表!M22+$F9*C9/SUMPRODUCT($B9:$E9,$V45:$Y45)+C$10*C9/SUMPRODUCT(C$6:C$9,W$42:W$45)+初始化表!M16/J66+(IF(I28+J28=0,0,1)*初始化表!H28+IF(K28+L28=0,0,1)*初始化表!I28)/(I66+J66+K66+L66)</f>
        <v>#DIV/0!</v>
      </c>
      <c r="AF8" s="153" t="e">
        <f>$AC8+初始化表!N22+$F9*D9/SUMPRODUCT($B9:$E9,$V45:$Y45)+D$10*D9/SUMPRODUCT(D$6:D$9,X$42:X$45)+初始化表!N16/K66+(IF(I28+J28=0,0,1)*初始化表!H28+IF(K28+L28=0,0,1)*初始化表!I28)/(I66+J66+K66+L66)</f>
        <v>#DIV/0!</v>
      </c>
      <c r="AG8" s="153" t="e">
        <f>$AC8+初始化表!O22+$F9*E9/SUMPRODUCT($B9:$E9,$V45:$Y45)+E$10*E9/SUMPRODUCT(E$6:E$9,Y$42:Y$45)+初始化表!O16/L66+(IF(I28+J28=0,0,1)*初始化表!H28+IF(K28+L28=0,0,1)*初始化表!I28)/(I66+J66+K66+L66)</f>
        <v>#DIV/0!</v>
      </c>
      <c r="AH8" s="307"/>
      <c r="AI8" s="628" t="s">
        <v>283</v>
      </c>
      <c r="AJ8" s="628" t="s">
        <v>284</v>
      </c>
      <c r="AK8" s="628" t="s">
        <v>285</v>
      </c>
      <c r="AL8" s="628" t="s">
        <v>286</v>
      </c>
      <c r="AM8" s="628" t="s">
        <v>287</v>
      </c>
      <c r="AN8" s="628" t="s">
        <v>288</v>
      </c>
      <c r="AO8" s="628" t="s">
        <v>289</v>
      </c>
      <c r="AP8" s="628" t="s">
        <v>290</v>
      </c>
      <c r="AQ8" s="628" t="s">
        <v>291</v>
      </c>
      <c r="AR8" s="185" t="s">
        <v>433</v>
      </c>
      <c r="AS8" s="185" t="s">
        <v>434</v>
      </c>
      <c r="AT8" s="185" t="s">
        <v>435</v>
      </c>
      <c r="AU8" s="185" t="s">
        <v>436</v>
      </c>
      <c r="AV8" s="185" t="s">
        <v>437</v>
      </c>
      <c r="AW8" s="185" t="s">
        <v>438</v>
      </c>
      <c r="AX8" s="633"/>
      <c r="AZ8" s="63"/>
      <c r="BA8" s="539">
        <f t="shared" si="13"/>
        <v>0</v>
      </c>
      <c r="BB8" s="632">
        <f t="shared" si="14"/>
        <v>0</v>
      </c>
      <c r="BC8" s="632">
        <f t="shared" si="14"/>
        <v>0</v>
      </c>
      <c r="BD8" s="632">
        <f t="shared" si="14"/>
        <v>0</v>
      </c>
      <c r="BE8" s="632">
        <f t="shared" si="14"/>
        <v>0</v>
      </c>
      <c r="BF8" s="632">
        <f t="shared" si="14"/>
        <v>0</v>
      </c>
      <c r="BG8" s="632">
        <f t="shared" si="14"/>
        <v>0</v>
      </c>
      <c r="BH8" s="632">
        <f t="shared" si="14"/>
        <v>0</v>
      </c>
      <c r="BI8" s="632">
        <f t="shared" si="14"/>
        <v>0</v>
      </c>
      <c r="BJ8" s="632">
        <f t="shared" si="14"/>
        <v>0</v>
      </c>
      <c r="BK8" s="632">
        <f t="shared" si="14"/>
        <v>0</v>
      </c>
      <c r="BL8" s="632">
        <f t="shared" si="14"/>
        <v>0</v>
      </c>
      <c r="BM8" s="632">
        <f t="shared" si="14"/>
        <v>0</v>
      </c>
      <c r="BN8" s="632">
        <f t="shared" si="14"/>
        <v>0</v>
      </c>
      <c r="BO8" s="632">
        <f t="shared" si="14"/>
        <v>0</v>
      </c>
      <c r="BP8" s="632">
        <f t="shared" si="14"/>
        <v>0</v>
      </c>
      <c r="BQ8" s="632">
        <f t="shared" si="14"/>
        <v>0</v>
      </c>
      <c r="BR8" s="62"/>
      <c r="BS8" s="270">
        <f t="shared" si="0"/>
        <v>0</v>
      </c>
      <c r="BT8" s="77">
        <f t="shared" si="1"/>
        <v>0</v>
      </c>
      <c r="BU8" s="77">
        <f>初期!I149*0.5</f>
        <v>0</v>
      </c>
      <c r="BV8" s="544" t="e">
        <f>AVERAGE(BT33:CI33)*初始化表!B$31</f>
        <v>#DIV/0!</v>
      </c>
      <c r="BW8" s="544" t="e">
        <f>$BT8*(AL110-BW$25)/BW$26*初始化表!B$30</f>
        <v>#DIV/0!</v>
      </c>
      <c r="BX8" s="544" t="e">
        <f>$BT8*(AM110-BX$25)/BX$26*初始化表!B$33</f>
        <v>#DIV/0!</v>
      </c>
      <c r="BY8" s="544" t="e">
        <f>$BT8*(AN110-BY$25)/BY$26*初始化表!B$32</f>
        <v>#DIV/0!</v>
      </c>
      <c r="BZ8" s="544" t="e">
        <f>$BT8*(AP110-BZ$25)/BZ$26*初始化表!B$34</f>
        <v>#DIV/0!</v>
      </c>
      <c r="CA8" s="544" t="e">
        <f>$BT$5*(AW110-CA$25)/CA$26*初始化表!B$36</f>
        <v>#DIV/0!</v>
      </c>
      <c r="CB8" s="544" t="e">
        <f t="shared" si="4"/>
        <v>#DIV/0!</v>
      </c>
      <c r="CC8" s="77">
        <f t="shared" si="5"/>
        <v>0</v>
      </c>
      <c r="CD8" s="92" t="e">
        <f t="shared" si="6"/>
        <v>#DIV/0!</v>
      </c>
      <c r="CE8" s="92">
        <f t="shared" si="7"/>
        <v>0</v>
      </c>
      <c r="CF8" s="92">
        <f t="shared" si="8"/>
        <v>0</v>
      </c>
      <c r="CG8" s="453"/>
      <c r="CH8" s="453"/>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c r="DQ8" s="228"/>
    </row>
    <row r="9" s="543" customFormat="1" ht="16" customHeight="1" spans="1:121">
      <c r="A9" s="269" t="s">
        <v>524</v>
      </c>
      <c r="B9" s="582" t="e">
        <f t="shared" si="9"/>
        <v>#DIV/0!</v>
      </c>
      <c r="C9" s="582" t="e">
        <f t="shared" si="10"/>
        <v>#DIV/0!</v>
      </c>
      <c r="D9" s="582" t="e">
        <f t="shared" si="11"/>
        <v>#DIV/0!</v>
      </c>
      <c r="E9" s="582" t="e">
        <f t="shared" si="12"/>
        <v>#DIV/0!</v>
      </c>
      <c r="F9" s="583" t="e">
        <f>R28</f>
        <v>#DIV/0!</v>
      </c>
      <c r="G9" s="307"/>
      <c r="H9" s="269" t="s">
        <v>524</v>
      </c>
      <c r="I9" s="583">
        <f>初期!O26</f>
        <v>0</v>
      </c>
      <c r="J9" s="589">
        <v>0</v>
      </c>
      <c r="K9" s="590">
        <f>IF(IF((I9+F20)&gt;=初始化表!I34,5,IF((I9+F20)&gt;=初始化表!H34,4,IF((I9+F20)&gt;=初始化表!G34,3,IF((I9+F20)&gt;=初始化表!F34,2,IF((I9+F20)&gt;=初始化表!E34,1,0)))))+IF(I9+F20&gt;初始化表!E34,O$45)&lt;初期!P26+1,IF((I9+F20)&gt;=初始化表!I34,5,IF((I9+F20)&gt;=初始化表!H34,4,IF((I9+F20)&gt;=初始化表!G34,3,IF((I9+F20)&gt;=初始化表!F34,2,IF((I9+F20)&gt;=初始化表!E34,1,0)))))+IF(I9+F20&gt;初始化表!E34,O$45),初期!P26+1)</f>
        <v>1</v>
      </c>
      <c r="L9" s="583">
        <f>IF(I9&lt;初始化表!E34,初始化表!E34-I9,IF(I9&lt;初始化表!F34,初始化表!F34-I9,IF(I9&lt;初始化表!G34,初始化表!G34-I9,IF(I9&lt;初始化表!H34,初始化表!H34-I9,IF(I9&lt;初始化表!I34,初始化表!I34-I9,0)))))</f>
        <v>0</v>
      </c>
      <c r="M9" s="587"/>
      <c r="N9" s="269" t="s">
        <v>527</v>
      </c>
      <c r="O9" s="269" t="s">
        <v>513</v>
      </c>
      <c r="P9" s="269" t="s">
        <v>514</v>
      </c>
      <c r="Q9" s="269" t="s">
        <v>515</v>
      </c>
      <c r="R9" s="269" t="s">
        <v>516</v>
      </c>
      <c r="S9" s="614"/>
      <c r="T9" s="526" t="s">
        <v>528</v>
      </c>
      <c r="U9" s="123"/>
      <c r="V9" s="91"/>
      <c r="W9" s="91"/>
      <c r="X9" s="91"/>
      <c r="Y9" s="91"/>
      <c r="Z9" s="91">
        <f>SUMPRODUCT(V5:Y8,V23:Y26)</f>
        <v>0</v>
      </c>
      <c r="AA9" s="307"/>
      <c r="AB9" s="155"/>
      <c r="AC9" s="155"/>
      <c r="AD9" s="155"/>
      <c r="AE9" s="155"/>
      <c r="AF9" s="155"/>
      <c r="AG9" s="155"/>
      <c r="AH9" s="307"/>
      <c r="AI9" s="528"/>
      <c r="AJ9" s="528"/>
      <c r="AK9" s="529"/>
      <c r="AL9" s="529">
        <f>V42</f>
        <v>0</v>
      </c>
      <c r="AM9" s="530"/>
      <c r="AN9" s="531"/>
      <c r="AO9" s="529"/>
      <c r="AP9" s="529"/>
      <c r="AQ9" s="537"/>
      <c r="AR9" s="103"/>
      <c r="AS9" s="103">
        <f t="shared" ref="AS9:AS24" si="15">AM9-AK9</f>
        <v>0</v>
      </c>
      <c r="AT9" s="103"/>
      <c r="AU9" s="103"/>
      <c r="AV9" s="103"/>
      <c r="AW9" s="103"/>
      <c r="AZ9" s="63"/>
      <c r="BA9" s="539">
        <f t="shared" si="13"/>
        <v>0</v>
      </c>
      <c r="BB9" s="632">
        <f t="shared" si="14"/>
        <v>0</v>
      </c>
      <c r="BC9" s="632">
        <f t="shared" si="14"/>
        <v>0</v>
      </c>
      <c r="BD9" s="632">
        <f t="shared" si="14"/>
        <v>0</v>
      </c>
      <c r="BE9" s="632">
        <f t="shared" si="14"/>
        <v>0</v>
      </c>
      <c r="BF9" s="632">
        <f t="shared" si="14"/>
        <v>0</v>
      </c>
      <c r="BG9" s="632">
        <f t="shared" si="14"/>
        <v>0</v>
      </c>
      <c r="BH9" s="632">
        <f t="shared" si="14"/>
        <v>0</v>
      </c>
      <c r="BI9" s="632">
        <f t="shared" si="14"/>
        <v>0</v>
      </c>
      <c r="BJ9" s="632">
        <f t="shared" si="14"/>
        <v>0</v>
      </c>
      <c r="BK9" s="632">
        <f t="shared" si="14"/>
        <v>0</v>
      </c>
      <c r="BL9" s="632">
        <f t="shared" si="14"/>
        <v>0</v>
      </c>
      <c r="BM9" s="632">
        <f t="shared" si="14"/>
        <v>0</v>
      </c>
      <c r="BN9" s="632">
        <f t="shared" si="14"/>
        <v>0</v>
      </c>
      <c r="BO9" s="632">
        <f t="shared" si="14"/>
        <v>0</v>
      </c>
      <c r="BP9" s="632">
        <f t="shared" si="14"/>
        <v>0</v>
      </c>
      <c r="BQ9" s="632">
        <f t="shared" si="14"/>
        <v>0</v>
      </c>
      <c r="BR9" s="62"/>
      <c r="BS9" s="270">
        <f t="shared" si="0"/>
        <v>0</v>
      </c>
      <c r="BT9" s="77">
        <f t="shared" si="1"/>
        <v>0</v>
      </c>
      <c r="BU9" s="77">
        <f>初期!I150*0.5</f>
        <v>0</v>
      </c>
      <c r="BV9" s="544" t="e">
        <f>AVERAGE(BT34:CI34)*初始化表!B$31</f>
        <v>#DIV/0!</v>
      </c>
      <c r="BW9" s="544" t="e">
        <f>$BT9*(AL111-BW$25)/BW$26*初始化表!B$30</f>
        <v>#DIV/0!</v>
      </c>
      <c r="BX9" s="544" t="e">
        <f>$BT9*(AM111-BX$25)/BX$26*初始化表!B$33</f>
        <v>#DIV/0!</v>
      </c>
      <c r="BY9" s="544" t="e">
        <f>$BT9*(AN111-BY$25)/BY$26*初始化表!B$32</f>
        <v>#DIV/0!</v>
      </c>
      <c r="BZ9" s="544" t="e">
        <f>$BT9*(AP111-BZ$25)/BZ$26*初始化表!B$34</f>
        <v>#DIV/0!</v>
      </c>
      <c r="CA9" s="544" t="e">
        <f>$BT$5*(AW111-CA$25)/CA$26*初始化表!B$36</f>
        <v>#DIV/0!</v>
      </c>
      <c r="CB9" s="544" t="e">
        <f t="shared" si="4"/>
        <v>#DIV/0!</v>
      </c>
      <c r="CC9" s="77">
        <f t="shared" si="5"/>
        <v>0</v>
      </c>
      <c r="CD9" s="92" t="e">
        <f t="shared" si="6"/>
        <v>#DIV/0!</v>
      </c>
      <c r="CE9" s="92">
        <f t="shared" si="7"/>
        <v>0</v>
      </c>
      <c r="CF9" s="92">
        <f t="shared" si="8"/>
        <v>0</v>
      </c>
      <c r="CG9" s="453"/>
      <c r="CH9" s="453"/>
      <c r="CI9" s="228"/>
      <c r="CJ9" s="230"/>
      <c r="CK9" s="228"/>
      <c r="CL9" s="230"/>
      <c r="CM9" s="230"/>
      <c r="CN9" s="230"/>
      <c r="CO9" s="230"/>
      <c r="CP9" s="228"/>
      <c r="CQ9" s="228"/>
      <c r="CR9" s="228"/>
      <c r="CS9" s="228"/>
      <c r="CT9" s="228"/>
      <c r="CU9" s="228"/>
      <c r="CV9" s="231"/>
      <c r="CW9" s="231"/>
      <c r="CX9" s="231"/>
      <c r="CY9" s="231"/>
      <c r="CZ9" s="228"/>
      <c r="DA9" s="228"/>
      <c r="DB9" s="228"/>
      <c r="DC9" s="228"/>
      <c r="DD9" s="228"/>
      <c r="DE9" s="228"/>
      <c r="DF9" s="228"/>
      <c r="DG9" s="228"/>
      <c r="DH9" s="228"/>
      <c r="DI9" s="228"/>
      <c r="DJ9" s="228"/>
      <c r="DK9" s="228"/>
      <c r="DL9" s="228"/>
      <c r="DM9" s="228"/>
      <c r="DN9" s="228"/>
      <c r="DO9" s="228"/>
      <c r="DP9" s="228"/>
      <c r="DQ9" s="228"/>
    </row>
    <row r="10" s="543" customFormat="1" ht="16" customHeight="1" spans="1:121">
      <c r="A10" s="269" t="s">
        <v>280</v>
      </c>
      <c r="B10" s="583" t="e">
        <f>O29</f>
        <v>#DIV/0!</v>
      </c>
      <c r="C10" s="583" t="e">
        <f>P29</f>
        <v>#DIV/0!</v>
      </c>
      <c r="D10" s="583" t="e">
        <f t="shared" ref="D10:E10" si="16">Q29</f>
        <v>#DIV/0!</v>
      </c>
      <c r="E10" s="583" t="e">
        <f t="shared" si="16"/>
        <v>#DIV/0!</v>
      </c>
      <c r="F10" s="269" t="s">
        <v>281</v>
      </c>
      <c r="G10" s="307"/>
      <c r="H10" s="91"/>
      <c r="I10" s="91"/>
      <c r="J10" s="91"/>
      <c r="K10" s="91"/>
      <c r="L10" s="91"/>
      <c r="M10" s="587"/>
      <c r="N10" s="269" t="s">
        <v>198</v>
      </c>
      <c r="O10" s="592">
        <v>0.26</v>
      </c>
      <c r="P10" s="592">
        <v>0.26</v>
      </c>
      <c r="Q10" s="592">
        <v>0.27</v>
      </c>
      <c r="R10" s="592">
        <v>0.27</v>
      </c>
      <c r="S10" s="592">
        <v>0.18</v>
      </c>
      <c r="T10" s="615">
        <f>Z17-Z42</f>
        <v>0</v>
      </c>
      <c r="U10" s="68" t="s">
        <v>529</v>
      </c>
      <c r="V10" s="68" t="s">
        <v>459</v>
      </c>
      <c r="W10" s="68" t="s">
        <v>460</v>
      </c>
      <c r="X10" s="68" t="s">
        <v>461</v>
      </c>
      <c r="Y10" s="68" t="s">
        <v>462</v>
      </c>
      <c r="Z10" s="91"/>
      <c r="AA10" s="307"/>
      <c r="AB10" s="151" t="s">
        <v>530</v>
      </c>
      <c r="AC10" s="151" t="s">
        <v>459</v>
      </c>
      <c r="AD10" s="151" t="s">
        <v>460</v>
      </c>
      <c r="AE10" s="151" t="s">
        <v>461</v>
      </c>
      <c r="AF10" s="151" t="s">
        <v>462</v>
      </c>
      <c r="AG10" s="421" t="s">
        <v>402</v>
      </c>
      <c r="AH10" s="422" t="s">
        <v>531</v>
      </c>
      <c r="AI10" s="528"/>
      <c r="AJ10" s="528"/>
      <c r="AK10" s="529"/>
      <c r="AL10" s="529">
        <f>W42</f>
        <v>0</v>
      </c>
      <c r="AM10" s="530"/>
      <c r="AN10" s="531"/>
      <c r="AO10" s="529"/>
      <c r="AP10" s="529"/>
      <c r="AQ10" s="537"/>
      <c r="AR10" s="103"/>
      <c r="AS10" s="103">
        <f t="shared" si="15"/>
        <v>0</v>
      </c>
      <c r="AT10" s="103"/>
      <c r="AU10" s="103"/>
      <c r="AV10" s="103"/>
      <c r="AW10" s="103"/>
      <c r="AZ10" s="63"/>
      <c r="BA10" s="539">
        <f t="shared" si="13"/>
        <v>0</v>
      </c>
      <c r="BB10" s="632">
        <f t="shared" si="14"/>
        <v>0</v>
      </c>
      <c r="BC10" s="632">
        <f t="shared" si="14"/>
        <v>0</v>
      </c>
      <c r="BD10" s="632">
        <f t="shared" si="14"/>
        <v>0</v>
      </c>
      <c r="BE10" s="632">
        <f t="shared" si="14"/>
        <v>0</v>
      </c>
      <c r="BF10" s="632">
        <f t="shared" si="14"/>
        <v>0</v>
      </c>
      <c r="BG10" s="632">
        <f t="shared" si="14"/>
        <v>0</v>
      </c>
      <c r="BH10" s="632">
        <f t="shared" si="14"/>
        <v>0</v>
      </c>
      <c r="BI10" s="632">
        <f t="shared" si="14"/>
        <v>0</v>
      </c>
      <c r="BJ10" s="632">
        <f t="shared" si="14"/>
        <v>0</v>
      </c>
      <c r="BK10" s="632">
        <f t="shared" si="14"/>
        <v>0</v>
      </c>
      <c r="BL10" s="632">
        <f t="shared" si="14"/>
        <v>0</v>
      </c>
      <c r="BM10" s="632">
        <f t="shared" si="14"/>
        <v>0</v>
      </c>
      <c r="BN10" s="632">
        <f t="shared" si="14"/>
        <v>0</v>
      </c>
      <c r="BO10" s="632">
        <f t="shared" si="14"/>
        <v>0</v>
      </c>
      <c r="BP10" s="632">
        <f t="shared" si="14"/>
        <v>0</v>
      </c>
      <c r="BQ10" s="632">
        <f t="shared" si="14"/>
        <v>0</v>
      </c>
      <c r="BR10" s="62"/>
      <c r="BS10" s="270">
        <f t="shared" si="0"/>
        <v>0</v>
      </c>
      <c r="BT10" s="77">
        <f t="shared" si="1"/>
        <v>0</v>
      </c>
      <c r="BU10" s="77">
        <f>初期!I151*0.5</f>
        <v>0</v>
      </c>
      <c r="BV10" s="544" t="e">
        <f>AVERAGE(BT35:CI35)*初始化表!B$31</f>
        <v>#DIV/0!</v>
      </c>
      <c r="BW10" s="544" t="e">
        <f>$BT10*(AL112-BW$25)/BW$26*初始化表!B$30</f>
        <v>#DIV/0!</v>
      </c>
      <c r="BX10" s="544" t="e">
        <f>$BT10*(AM112-BX$25)/BX$26*初始化表!B$33</f>
        <v>#DIV/0!</v>
      </c>
      <c r="BY10" s="544" t="e">
        <f>$BT10*(AN112-BY$25)/BY$26*初始化表!B$32</f>
        <v>#DIV/0!</v>
      </c>
      <c r="BZ10" s="544" t="e">
        <f>$BT10*(AP112-BZ$25)/BZ$26*初始化表!B$34</f>
        <v>#DIV/0!</v>
      </c>
      <c r="CA10" s="544" t="e">
        <f>$BT$5*(AW112-CA$25)/CA$26*初始化表!B$36</f>
        <v>#DIV/0!</v>
      </c>
      <c r="CB10" s="544" t="e">
        <f t="shared" si="4"/>
        <v>#DIV/0!</v>
      </c>
      <c r="CC10" s="77">
        <f t="shared" si="5"/>
        <v>0</v>
      </c>
      <c r="CD10" s="92" t="e">
        <f t="shared" si="6"/>
        <v>#DIV/0!</v>
      </c>
      <c r="CE10" s="92">
        <f t="shared" si="7"/>
        <v>0</v>
      </c>
      <c r="CF10" s="92">
        <f t="shared" si="8"/>
        <v>0</v>
      </c>
      <c r="CG10" s="453"/>
      <c r="CH10" s="453"/>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c r="DP10" s="228"/>
      <c r="DQ10" s="228"/>
    </row>
    <row r="11" s="543" customFormat="1" ht="16" customHeight="1" spans="1:121">
      <c r="A11" s="269" t="s">
        <v>282</v>
      </c>
      <c r="B11" s="269" t="s">
        <v>513</v>
      </c>
      <c r="C11" s="269" t="s">
        <v>514</v>
      </c>
      <c r="D11" s="269" t="s">
        <v>515</v>
      </c>
      <c r="E11" s="269" t="s">
        <v>516</v>
      </c>
      <c r="F11" s="136" t="e">
        <f>F77</f>
        <v>#DIV/0!</v>
      </c>
      <c r="G11" s="584"/>
      <c r="H11" s="581" t="s">
        <v>532</v>
      </c>
      <c r="I11" s="588"/>
      <c r="J11" s="588"/>
      <c r="K11" s="588"/>
      <c r="L11" s="588"/>
      <c r="M11" s="587"/>
      <c r="N11" s="269" t="s">
        <v>202</v>
      </c>
      <c r="O11" s="592">
        <v>0.25</v>
      </c>
      <c r="P11" s="592">
        <v>0.25</v>
      </c>
      <c r="Q11" s="592">
        <v>0.26</v>
      </c>
      <c r="R11" s="592">
        <v>0.26</v>
      </c>
      <c r="S11" s="592">
        <v>0.19</v>
      </c>
      <c r="T11" s="615">
        <f t="shared" ref="T11:T13" si="17">Z18-Z43</f>
        <v>0</v>
      </c>
      <c r="U11" s="68" t="s">
        <v>464</v>
      </c>
      <c r="V11" s="115">
        <f>初期!R6</f>
        <v>0</v>
      </c>
      <c r="W11" s="115">
        <f>初期!R7</f>
        <v>0</v>
      </c>
      <c r="X11" s="115">
        <f>初期!R8</f>
        <v>0</v>
      </c>
      <c r="Y11" s="115">
        <f>初期!R9</f>
        <v>0</v>
      </c>
      <c r="Z11" s="91"/>
      <c r="AA11" s="307"/>
      <c r="AB11" s="151" t="s">
        <v>198</v>
      </c>
      <c r="AC11" s="153" t="e">
        <f t="shared" ref="AC11:AF14" si="18">B6-AD5</f>
        <v>#DIV/0!</v>
      </c>
      <c r="AD11" s="153" t="e">
        <f t="shared" si="18"/>
        <v>#DIV/0!</v>
      </c>
      <c r="AE11" s="153" t="e">
        <f t="shared" si="18"/>
        <v>#DIV/0!</v>
      </c>
      <c r="AF11" s="153" t="e">
        <f t="shared" si="18"/>
        <v>#DIV/0!</v>
      </c>
      <c r="AG11" s="423" t="str">
        <f>IF(AI24="","未粘报表",IF(AND(V66=AQ9,W66=AQ10,X66=AQ11,Y66=AQ12,V67=AQ13,W67=AQ14,X67=AQ15,Y67=AQ16,V68=AQ17,W68=AQ18,X68=AQ19,Y68=AQ20,V69=AQ21,W69=AQ22,X69=AQ23,Y69=AQ24),"正确","错误"))</f>
        <v>未粘报表</v>
      </c>
      <c r="AH11" s="424" t="str">
        <f>IF(AI24="","未粘报表",IF(INT(VLOOKUP(初期!$G$52,$AI$107:$AQ$126,7,0))=INT(F64),"现金正确","现金错误"))</f>
        <v>未粘报表</v>
      </c>
      <c r="AI11" s="528"/>
      <c r="AJ11" s="528"/>
      <c r="AK11" s="529"/>
      <c r="AL11" s="529">
        <f>X42</f>
        <v>0</v>
      </c>
      <c r="AM11" s="530"/>
      <c r="AN11" s="531"/>
      <c r="AO11" s="529"/>
      <c r="AP11" s="529"/>
      <c r="AQ11" s="537"/>
      <c r="AR11" s="103"/>
      <c r="AS11" s="103">
        <f t="shared" si="15"/>
        <v>0</v>
      </c>
      <c r="AT11" s="103"/>
      <c r="AU11" s="103"/>
      <c r="AV11" s="103"/>
      <c r="AW11" s="103"/>
      <c r="AZ11" s="63"/>
      <c r="BA11" s="539">
        <f t="shared" si="13"/>
        <v>0</v>
      </c>
      <c r="BB11" s="632">
        <f t="shared" si="14"/>
        <v>0</v>
      </c>
      <c r="BC11" s="632">
        <f t="shared" si="14"/>
        <v>0</v>
      </c>
      <c r="BD11" s="632">
        <f t="shared" si="14"/>
        <v>0</v>
      </c>
      <c r="BE11" s="632">
        <f t="shared" si="14"/>
        <v>0</v>
      </c>
      <c r="BF11" s="632">
        <f t="shared" si="14"/>
        <v>0</v>
      </c>
      <c r="BG11" s="632">
        <f t="shared" si="14"/>
        <v>0</v>
      </c>
      <c r="BH11" s="632">
        <f t="shared" si="14"/>
        <v>0</v>
      </c>
      <c r="BI11" s="632">
        <f t="shared" si="14"/>
        <v>0</v>
      </c>
      <c r="BJ11" s="632">
        <f t="shared" si="14"/>
        <v>0</v>
      </c>
      <c r="BK11" s="632">
        <f t="shared" si="14"/>
        <v>0</v>
      </c>
      <c r="BL11" s="632">
        <f t="shared" si="14"/>
        <v>0</v>
      </c>
      <c r="BM11" s="632">
        <f t="shared" si="14"/>
        <v>0</v>
      </c>
      <c r="BN11" s="632">
        <f t="shared" si="14"/>
        <v>0</v>
      </c>
      <c r="BO11" s="632">
        <f t="shared" si="14"/>
        <v>0</v>
      </c>
      <c r="BP11" s="632">
        <f t="shared" si="14"/>
        <v>0</v>
      </c>
      <c r="BQ11" s="632">
        <f t="shared" si="14"/>
        <v>0</v>
      </c>
      <c r="BR11" s="62"/>
      <c r="BS11" s="270">
        <f t="shared" si="0"/>
        <v>0</v>
      </c>
      <c r="BT11" s="77">
        <f t="shared" si="1"/>
        <v>0</v>
      </c>
      <c r="BU11" s="77">
        <f>初期!I152*0.5</f>
        <v>0</v>
      </c>
      <c r="BV11" s="544" t="e">
        <f>AVERAGE(BT36:CI36)*初始化表!B$31</f>
        <v>#DIV/0!</v>
      </c>
      <c r="BW11" s="544" t="e">
        <f>$BT11*(AL113-BW$25)/BW$26*初始化表!B$30</f>
        <v>#DIV/0!</v>
      </c>
      <c r="BX11" s="544" t="e">
        <f>$BT11*(AM113-BX$25)/BX$26*初始化表!B$33</f>
        <v>#DIV/0!</v>
      </c>
      <c r="BY11" s="544" t="e">
        <f>$BT11*(AN113-BY$25)/BY$26*初始化表!B$32</f>
        <v>#DIV/0!</v>
      </c>
      <c r="BZ11" s="544" t="e">
        <f>$BT11*(AP113-BZ$25)/BZ$26*初始化表!B$34</f>
        <v>#DIV/0!</v>
      </c>
      <c r="CA11" s="544" t="e">
        <f>$BT$5*(AW113-CA$25)/CA$26*初始化表!B$36</f>
        <v>#DIV/0!</v>
      </c>
      <c r="CB11" s="544" t="e">
        <f t="shared" si="4"/>
        <v>#DIV/0!</v>
      </c>
      <c r="CC11" s="77">
        <f t="shared" si="5"/>
        <v>0</v>
      </c>
      <c r="CD11" s="92" t="e">
        <f t="shared" si="6"/>
        <v>#DIV/0!</v>
      </c>
      <c r="CE11" s="92">
        <f t="shared" si="7"/>
        <v>0</v>
      </c>
      <c r="CF11" s="92">
        <f t="shared" si="8"/>
        <v>0</v>
      </c>
      <c r="CG11" s="453"/>
      <c r="CH11" s="453"/>
      <c r="CI11" s="227"/>
      <c r="CJ11" s="228"/>
      <c r="CK11" s="227"/>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row>
    <row r="12" s="543" customFormat="1" ht="16" customHeight="1" spans="1:121">
      <c r="A12" s="269" t="s">
        <v>521</v>
      </c>
      <c r="B12" s="582">
        <f>I63</f>
        <v>0</v>
      </c>
      <c r="C12" s="582">
        <f t="shared" ref="C12:E12" si="19">J63</f>
        <v>0</v>
      </c>
      <c r="D12" s="582">
        <f t="shared" si="19"/>
        <v>0</v>
      </c>
      <c r="E12" s="582">
        <f t="shared" si="19"/>
        <v>0</v>
      </c>
      <c r="F12" s="269" t="s">
        <v>292</v>
      </c>
      <c r="G12" s="584"/>
      <c r="H12" s="269" t="s">
        <v>533</v>
      </c>
      <c r="I12" s="269" t="s">
        <v>521</v>
      </c>
      <c r="J12" s="269" t="s">
        <v>522</v>
      </c>
      <c r="K12" s="269" t="s">
        <v>523</v>
      </c>
      <c r="L12" s="269" t="s">
        <v>524</v>
      </c>
      <c r="M12" s="587"/>
      <c r="N12" s="269" t="s">
        <v>206</v>
      </c>
      <c r="O12" s="592">
        <v>0.2</v>
      </c>
      <c r="P12" s="592">
        <v>0.2</v>
      </c>
      <c r="Q12" s="592">
        <v>0.21</v>
      </c>
      <c r="R12" s="592">
        <v>0.21</v>
      </c>
      <c r="S12" s="592">
        <v>0.2</v>
      </c>
      <c r="T12" s="615">
        <f t="shared" si="17"/>
        <v>0</v>
      </c>
      <c r="U12" s="68" t="s">
        <v>465</v>
      </c>
      <c r="V12" s="115">
        <f>初期!R10</f>
        <v>0</v>
      </c>
      <c r="W12" s="115">
        <f>初期!R11</f>
        <v>0</v>
      </c>
      <c r="X12" s="115">
        <f>初期!R12</f>
        <v>0</v>
      </c>
      <c r="Y12" s="115">
        <f>初期!R13</f>
        <v>0</v>
      </c>
      <c r="Z12" s="91"/>
      <c r="AA12" s="307"/>
      <c r="AB12" s="151" t="s">
        <v>202</v>
      </c>
      <c r="AC12" s="153" t="e">
        <f t="shared" si="18"/>
        <v>#DIV/0!</v>
      </c>
      <c r="AD12" s="153" t="e">
        <f t="shared" si="18"/>
        <v>#DIV/0!</v>
      </c>
      <c r="AE12" s="153" t="e">
        <f t="shared" si="18"/>
        <v>#DIV/0!</v>
      </c>
      <c r="AF12" s="153" t="e">
        <f t="shared" si="18"/>
        <v>#DIV/0!</v>
      </c>
      <c r="AG12" s="421" t="s">
        <v>534</v>
      </c>
      <c r="AH12" s="422" t="s">
        <v>535</v>
      </c>
      <c r="AI12" s="528"/>
      <c r="AJ12" s="528"/>
      <c r="AK12" s="529"/>
      <c r="AL12" s="529">
        <f>Y42</f>
        <v>0</v>
      </c>
      <c r="AM12" s="530"/>
      <c r="AN12" s="531"/>
      <c r="AO12" s="529"/>
      <c r="AP12" s="529"/>
      <c r="AQ12" s="537"/>
      <c r="AR12" s="103">
        <f>SUM(AL9:AL12)</f>
        <v>0</v>
      </c>
      <c r="AS12" s="103">
        <f t="shared" si="15"/>
        <v>0</v>
      </c>
      <c r="AT12" s="103">
        <f>SUMIF(AS9:AS12,"&gt;=0",AS9:AS12)</f>
        <v>0</v>
      </c>
      <c r="AU12" s="103">
        <f>SUM(AO9:AO12)</f>
        <v>0</v>
      </c>
      <c r="AV12" s="103">
        <f>SUM(AP9:AP12)</f>
        <v>0</v>
      </c>
      <c r="AW12" s="103">
        <f>SUM(AQ9:AQ12)</f>
        <v>0</v>
      </c>
      <c r="AZ12" s="63"/>
      <c r="BA12" s="539">
        <f t="shared" si="13"/>
        <v>0</v>
      </c>
      <c r="BB12" s="632">
        <f t="shared" si="14"/>
        <v>0</v>
      </c>
      <c r="BC12" s="632">
        <f t="shared" si="14"/>
        <v>0</v>
      </c>
      <c r="BD12" s="632">
        <f t="shared" si="14"/>
        <v>0</v>
      </c>
      <c r="BE12" s="632">
        <f t="shared" si="14"/>
        <v>0</v>
      </c>
      <c r="BF12" s="632">
        <f t="shared" si="14"/>
        <v>0</v>
      </c>
      <c r="BG12" s="632">
        <f t="shared" si="14"/>
        <v>0</v>
      </c>
      <c r="BH12" s="632">
        <f t="shared" si="14"/>
        <v>0</v>
      </c>
      <c r="BI12" s="632">
        <f t="shared" si="14"/>
        <v>0</v>
      </c>
      <c r="BJ12" s="632">
        <f t="shared" si="14"/>
        <v>0</v>
      </c>
      <c r="BK12" s="632">
        <f t="shared" si="14"/>
        <v>0</v>
      </c>
      <c r="BL12" s="632">
        <f t="shared" si="14"/>
        <v>0</v>
      </c>
      <c r="BM12" s="632">
        <f t="shared" si="14"/>
        <v>0</v>
      </c>
      <c r="BN12" s="632">
        <f t="shared" si="14"/>
        <v>0</v>
      </c>
      <c r="BO12" s="632">
        <f t="shared" si="14"/>
        <v>0</v>
      </c>
      <c r="BP12" s="632">
        <f t="shared" si="14"/>
        <v>0</v>
      </c>
      <c r="BQ12" s="632">
        <f t="shared" si="14"/>
        <v>0</v>
      </c>
      <c r="BR12" s="62"/>
      <c r="BS12" s="270">
        <f t="shared" si="0"/>
        <v>0</v>
      </c>
      <c r="BT12" s="77">
        <f t="shared" si="1"/>
        <v>0</v>
      </c>
      <c r="BU12" s="77">
        <f>初期!I153*0.5</f>
        <v>0</v>
      </c>
      <c r="BV12" s="544" t="e">
        <f>AVERAGE(BT37:CI37)*初始化表!B$31</f>
        <v>#DIV/0!</v>
      </c>
      <c r="BW12" s="544" t="e">
        <f>$BT12*(AL114-BW$25)/BW$26*初始化表!B$30</f>
        <v>#DIV/0!</v>
      </c>
      <c r="BX12" s="544" t="e">
        <f>$BT12*(AM114-BX$25)/BX$26*初始化表!B$33</f>
        <v>#DIV/0!</v>
      </c>
      <c r="BY12" s="544" t="e">
        <f>$BT12*(AN114-BY$25)/BY$26*初始化表!B$32</f>
        <v>#DIV/0!</v>
      </c>
      <c r="BZ12" s="544" t="e">
        <f>$BT12*(AP114-BZ$25)/BZ$26*初始化表!B$34</f>
        <v>#DIV/0!</v>
      </c>
      <c r="CA12" s="544" t="e">
        <f>$BT$5*(AW114-CA$25)/CA$26*初始化表!B$36</f>
        <v>#DIV/0!</v>
      </c>
      <c r="CB12" s="544" t="e">
        <f t="shared" si="4"/>
        <v>#DIV/0!</v>
      </c>
      <c r="CC12" s="77">
        <f t="shared" si="5"/>
        <v>0</v>
      </c>
      <c r="CD12" s="92" t="e">
        <f t="shared" si="6"/>
        <v>#DIV/0!</v>
      </c>
      <c r="CE12" s="92">
        <f t="shared" si="7"/>
        <v>0</v>
      </c>
      <c r="CF12" s="92">
        <f t="shared" si="8"/>
        <v>0</v>
      </c>
      <c r="CG12" s="453"/>
      <c r="CH12" s="453"/>
      <c r="CI12" s="231"/>
      <c r="CJ12" s="231"/>
      <c r="CK12" s="231"/>
      <c r="CL12" s="231"/>
      <c r="CM12" s="231"/>
      <c r="CN12" s="231"/>
      <c r="CO12" s="231"/>
      <c r="CP12" s="231"/>
      <c r="CQ12" s="231"/>
      <c r="CR12" s="231"/>
      <c r="CS12" s="231"/>
      <c r="CT12" s="231"/>
      <c r="CU12" s="231"/>
      <c r="CV12" s="231"/>
      <c r="CW12" s="231"/>
      <c r="CX12" s="231"/>
      <c r="CY12" s="231"/>
      <c r="CZ12" s="231"/>
      <c r="DA12" s="228"/>
      <c r="DB12" s="228"/>
      <c r="DC12" s="228"/>
      <c r="DD12" s="228"/>
      <c r="DE12" s="228"/>
      <c r="DF12" s="228"/>
      <c r="DG12" s="228"/>
      <c r="DH12" s="228"/>
      <c r="DI12" s="228"/>
      <c r="DJ12" s="228"/>
      <c r="DK12" s="228"/>
      <c r="DL12" s="228"/>
      <c r="DM12" s="228"/>
      <c r="DN12" s="228"/>
      <c r="DO12" s="228"/>
      <c r="DP12" s="228"/>
      <c r="DQ12" s="228"/>
    </row>
    <row r="13" s="543" customFormat="1" ht="16" customHeight="1" spans="1:121">
      <c r="A13" s="269" t="s">
        <v>522</v>
      </c>
      <c r="B13" s="582">
        <f t="shared" ref="B13:B15" si="20">I64</f>
        <v>0</v>
      </c>
      <c r="C13" s="582">
        <f t="shared" ref="C13:C15" si="21">J64</f>
        <v>0</v>
      </c>
      <c r="D13" s="582">
        <f t="shared" ref="D13:D15" si="22">K64</f>
        <v>0</v>
      </c>
      <c r="E13" s="582">
        <f t="shared" ref="E13:E15" si="23">L64</f>
        <v>0</v>
      </c>
      <c r="F13" s="585" t="e">
        <f>E60</f>
        <v>#DIV/0!</v>
      </c>
      <c r="G13" s="584"/>
      <c r="H13" s="269" t="s">
        <v>536</v>
      </c>
      <c r="I13" s="158">
        <v>1</v>
      </c>
      <c r="J13" s="158">
        <v>1.6</v>
      </c>
      <c r="K13" s="158">
        <v>1.6</v>
      </c>
      <c r="L13" s="158">
        <v>2.5</v>
      </c>
      <c r="M13" s="587"/>
      <c r="N13" s="269" t="s">
        <v>208</v>
      </c>
      <c r="O13" s="592">
        <v>0.19</v>
      </c>
      <c r="P13" s="592">
        <v>0.19</v>
      </c>
      <c r="Q13" s="592">
        <v>0.2</v>
      </c>
      <c r="R13" s="592">
        <v>0.2</v>
      </c>
      <c r="S13" s="592">
        <v>0.2</v>
      </c>
      <c r="T13" s="615">
        <f t="shared" si="17"/>
        <v>0</v>
      </c>
      <c r="U13" s="68" t="s">
        <v>466</v>
      </c>
      <c r="V13" s="115">
        <f>初期!R14</f>
        <v>0</v>
      </c>
      <c r="W13" s="115">
        <f>初期!R15</f>
        <v>0</v>
      </c>
      <c r="X13" s="115">
        <f>初期!R16</f>
        <v>0</v>
      </c>
      <c r="Y13" s="115">
        <f>初期!R17</f>
        <v>0</v>
      </c>
      <c r="Z13" s="91"/>
      <c r="AA13" s="307"/>
      <c r="AB13" s="151" t="s">
        <v>206</v>
      </c>
      <c r="AC13" s="153" t="e">
        <f t="shared" si="18"/>
        <v>#DIV/0!</v>
      </c>
      <c r="AD13" s="153" t="e">
        <f t="shared" si="18"/>
        <v>#DIV/0!</v>
      </c>
      <c r="AE13" s="153" t="e">
        <f t="shared" si="18"/>
        <v>#DIV/0!</v>
      </c>
      <c r="AF13" s="153" t="e">
        <f t="shared" si="18"/>
        <v>#DIV/0!</v>
      </c>
      <c r="AG13" s="423" t="str">
        <f>IF(AI24="","未粘报表",IF(INT(VLOOKUP(初期!$G$52,$AI$107:$AQ$126,3,0))=INT($E$60),"成本正确","成本错误"))</f>
        <v>未粘报表</v>
      </c>
      <c r="AH13" s="424" t="str">
        <f>IF(AI24="","未粘报表",IF(INT(VLOOKUP(初期!$G$52,$AI$107:$AQ$126,6,0))=INT($F$81),"分红正确","分红错误"))</f>
        <v>未粘报表</v>
      </c>
      <c r="AI13" s="528"/>
      <c r="AJ13" s="528"/>
      <c r="AK13" s="529"/>
      <c r="AL13" s="529">
        <f>V43</f>
        <v>0</v>
      </c>
      <c r="AM13" s="530"/>
      <c r="AN13" s="531"/>
      <c r="AO13" s="529"/>
      <c r="AP13" s="529"/>
      <c r="AQ13" s="537"/>
      <c r="AR13" s="103"/>
      <c r="AS13" s="103">
        <f t="shared" si="15"/>
        <v>0</v>
      </c>
      <c r="AT13" s="103"/>
      <c r="AU13" s="103"/>
      <c r="AV13" s="103"/>
      <c r="AW13" s="103"/>
      <c r="AZ13" s="63"/>
      <c r="BA13" s="539">
        <f t="shared" si="13"/>
        <v>0</v>
      </c>
      <c r="BB13" s="632">
        <f t="shared" ref="BB13:BB22" si="24">IF($BA13="","",INT(BB$28*AJ67))</f>
        <v>0</v>
      </c>
      <c r="BC13" s="632">
        <f t="shared" ref="BC13:BC22" si="25">IF($BA13="","",INT(BC$28*AK67))</f>
        <v>0</v>
      </c>
      <c r="BD13" s="632">
        <f t="shared" ref="BD13:BD22" si="26">IF($BA13="","",INT(BD$28*AL67))</f>
        <v>0</v>
      </c>
      <c r="BE13" s="632">
        <f t="shared" ref="BE13:BE22" si="27">IF($BA13="","",INT(BE$28*AM67))</f>
        <v>0</v>
      </c>
      <c r="BF13" s="632">
        <f t="shared" ref="BF13:BF22" si="28">IF($BA13="","",INT(BF$28*AN67))</f>
        <v>0</v>
      </c>
      <c r="BG13" s="632">
        <f t="shared" ref="BG13:BG22" si="29">IF($BA13="","",INT(BG$28*AO67))</f>
        <v>0</v>
      </c>
      <c r="BH13" s="632">
        <f t="shared" ref="BH13:BH22" si="30">IF($BA13="","",INT(BH$28*AP67))</f>
        <v>0</v>
      </c>
      <c r="BI13" s="632">
        <f t="shared" ref="BI13:BI22" si="31">IF($BA13="","",INT(BI$28*AQ67))</f>
        <v>0</v>
      </c>
      <c r="BJ13" s="632">
        <f t="shared" ref="BJ13:BJ22" si="32">IF($BA13="","",INT(BJ$28*AR67))</f>
        <v>0</v>
      </c>
      <c r="BK13" s="632">
        <f t="shared" ref="BK13:BK22" si="33">IF($BA13="","",INT(BK$28*AS67))</f>
        <v>0</v>
      </c>
      <c r="BL13" s="632">
        <f t="shared" ref="BL13:BL22" si="34">IF($BA13="","",INT(BL$28*AT67))</f>
        <v>0</v>
      </c>
      <c r="BM13" s="632">
        <f t="shared" ref="BM13:BM22" si="35">IF($BA13="","",INT(BM$28*AU67))</f>
        <v>0</v>
      </c>
      <c r="BN13" s="632">
        <f t="shared" ref="BN13:BN22" si="36">IF($BA13="","",INT(BN$28*AV67))</f>
        <v>0</v>
      </c>
      <c r="BO13" s="632">
        <f t="shared" ref="BO13:BO22" si="37">IF($BA13="","",INT(BO$28*AW67))</f>
        <v>0</v>
      </c>
      <c r="BP13" s="632">
        <f t="shared" ref="BP13:BP22" si="38">IF($BA13="","",INT(BP$28*AX67))</f>
        <v>0</v>
      </c>
      <c r="BQ13" s="632">
        <f t="shared" ref="BQ13:BQ26" si="39">IF($BA13="","",INT(BQ$28*AY67))</f>
        <v>0</v>
      </c>
      <c r="BR13" s="62"/>
      <c r="BS13" s="270">
        <f t="shared" si="0"/>
        <v>0</v>
      </c>
      <c r="BT13" s="77">
        <f t="shared" si="1"/>
        <v>0</v>
      </c>
      <c r="BU13" s="77">
        <f>初期!I154*0.5</f>
        <v>0</v>
      </c>
      <c r="BV13" s="544" t="e">
        <f>AVERAGE(BT38:CI38)*初始化表!B$31</f>
        <v>#DIV/0!</v>
      </c>
      <c r="BW13" s="544" t="e">
        <f>$BT13*(AL115-BW$25)/BW$26*初始化表!B$30</f>
        <v>#DIV/0!</v>
      </c>
      <c r="BX13" s="544" t="e">
        <f>$BT13*(AM115-BX$25)/BX$26*初始化表!B$33</f>
        <v>#DIV/0!</v>
      </c>
      <c r="BY13" s="544" t="e">
        <f>$BT13*(AN115-BY$25)/BY$26*初始化表!B$32</f>
        <v>#DIV/0!</v>
      </c>
      <c r="BZ13" s="544" t="e">
        <f>$BT13*(AP115-BZ$25)/BZ$26*初始化表!B$34</f>
        <v>#DIV/0!</v>
      </c>
      <c r="CA13" s="544" t="e">
        <f>$BT$5*(AW115-CA$25)/CA$26*初始化表!B$36</f>
        <v>#DIV/0!</v>
      </c>
      <c r="CB13" s="544" t="e">
        <f t="shared" si="4"/>
        <v>#DIV/0!</v>
      </c>
      <c r="CC13" s="77">
        <f t="shared" si="5"/>
        <v>0</v>
      </c>
      <c r="CD13" s="92" t="e">
        <f t="shared" si="6"/>
        <v>#DIV/0!</v>
      </c>
      <c r="CE13" s="92">
        <f t="shared" si="7"/>
        <v>0</v>
      </c>
      <c r="CF13" s="92">
        <f t="shared" si="8"/>
        <v>0</v>
      </c>
      <c r="CG13" s="453"/>
      <c r="CH13" s="453"/>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row>
    <row r="14" s="543" customFormat="1" ht="16" customHeight="1" spans="1:121">
      <c r="A14" s="269" t="s">
        <v>523</v>
      </c>
      <c r="B14" s="582">
        <f t="shared" si="20"/>
        <v>0</v>
      </c>
      <c r="C14" s="582">
        <f t="shared" si="21"/>
        <v>0</v>
      </c>
      <c r="D14" s="582">
        <f t="shared" si="22"/>
        <v>0</v>
      </c>
      <c r="E14" s="582">
        <f t="shared" si="23"/>
        <v>0</v>
      </c>
      <c r="F14" s="269" t="s">
        <v>296</v>
      </c>
      <c r="G14" s="584"/>
      <c r="H14" s="269" t="s">
        <v>537</v>
      </c>
      <c r="I14" s="590" t="e">
        <f>2*(I13*初始化表!E18+J13*初始化表!F18+K13*初始化表!G18+初始化表!H18/初始化表!H17*(L13*初始化表!H17-1/5*(I13*初始化表!E17+J13*初始化表!F17+K13*初始化表!G17+L13*初始化表!H17)))/((I13*初始化表!E17+J13*初始化表!F17+K13*初始化表!G17+L13*初始化表!H17)*4/5)</f>
        <v>#DIV/0!</v>
      </c>
      <c r="J14" s="269" t="s">
        <v>538</v>
      </c>
      <c r="K14" s="269" t="s">
        <v>539</v>
      </c>
      <c r="L14" s="269" t="s">
        <v>540</v>
      </c>
      <c r="M14" s="587"/>
      <c r="N14" s="269" t="s">
        <v>541</v>
      </c>
      <c r="O14" s="269" t="s">
        <v>513</v>
      </c>
      <c r="P14" s="269" t="s">
        <v>514</v>
      </c>
      <c r="Q14" s="269" t="s">
        <v>515</v>
      </c>
      <c r="R14" s="269" t="s">
        <v>516</v>
      </c>
      <c r="S14" s="614"/>
      <c r="T14" s="613"/>
      <c r="U14" s="68" t="s">
        <v>468</v>
      </c>
      <c r="V14" s="115">
        <f>初期!R18</f>
        <v>0</v>
      </c>
      <c r="W14" s="115">
        <f>初期!R19</f>
        <v>0</v>
      </c>
      <c r="X14" s="115">
        <f>初期!R20</f>
        <v>0</v>
      </c>
      <c r="Y14" s="115">
        <f>初期!R21</f>
        <v>0</v>
      </c>
      <c r="Z14" s="91"/>
      <c r="AA14" s="307"/>
      <c r="AB14" s="151" t="s">
        <v>208</v>
      </c>
      <c r="AC14" s="153" t="e">
        <f t="shared" si="18"/>
        <v>#DIV/0!</v>
      </c>
      <c r="AD14" s="153" t="e">
        <f t="shared" si="18"/>
        <v>#DIV/0!</v>
      </c>
      <c r="AE14" s="153" t="e">
        <f t="shared" si="18"/>
        <v>#DIV/0!</v>
      </c>
      <c r="AF14" s="153" t="e">
        <f t="shared" si="18"/>
        <v>#DIV/0!</v>
      </c>
      <c r="AG14" s="61"/>
      <c r="AH14" s="425"/>
      <c r="AI14" s="528"/>
      <c r="AJ14" s="528"/>
      <c r="AK14" s="529"/>
      <c r="AL14" s="529">
        <f>W43</f>
        <v>0</v>
      </c>
      <c r="AM14" s="530"/>
      <c r="AN14" s="531"/>
      <c r="AO14" s="529"/>
      <c r="AP14" s="529"/>
      <c r="AQ14" s="537"/>
      <c r="AR14" s="103"/>
      <c r="AS14" s="103">
        <f t="shared" si="15"/>
        <v>0</v>
      </c>
      <c r="AT14" s="103"/>
      <c r="AU14" s="103"/>
      <c r="AV14" s="103"/>
      <c r="AW14" s="103"/>
      <c r="AZ14" s="63"/>
      <c r="BA14" s="539">
        <f t="shared" si="13"/>
        <v>0</v>
      </c>
      <c r="BB14" s="632">
        <f t="shared" si="24"/>
        <v>0</v>
      </c>
      <c r="BC14" s="632">
        <f t="shared" si="25"/>
        <v>0</v>
      </c>
      <c r="BD14" s="632">
        <f t="shared" si="26"/>
        <v>0</v>
      </c>
      <c r="BE14" s="632">
        <f t="shared" si="27"/>
        <v>0</v>
      </c>
      <c r="BF14" s="632">
        <f t="shared" si="28"/>
        <v>0</v>
      </c>
      <c r="BG14" s="632">
        <f t="shared" si="29"/>
        <v>0</v>
      </c>
      <c r="BH14" s="632">
        <f t="shared" si="30"/>
        <v>0</v>
      </c>
      <c r="BI14" s="632">
        <f t="shared" si="31"/>
        <v>0</v>
      </c>
      <c r="BJ14" s="632">
        <f t="shared" si="32"/>
        <v>0</v>
      </c>
      <c r="BK14" s="632">
        <f t="shared" si="33"/>
        <v>0</v>
      </c>
      <c r="BL14" s="632">
        <f t="shared" si="34"/>
        <v>0</v>
      </c>
      <c r="BM14" s="632">
        <f t="shared" si="35"/>
        <v>0</v>
      </c>
      <c r="BN14" s="632">
        <f t="shared" si="36"/>
        <v>0</v>
      </c>
      <c r="BO14" s="632">
        <f t="shared" si="37"/>
        <v>0</v>
      </c>
      <c r="BP14" s="632">
        <f t="shared" si="38"/>
        <v>0</v>
      </c>
      <c r="BQ14" s="632">
        <f t="shared" si="39"/>
        <v>0</v>
      </c>
      <c r="BR14" s="62"/>
      <c r="BS14" s="270">
        <f t="shared" si="0"/>
        <v>0</v>
      </c>
      <c r="BT14" s="77">
        <f t="shared" si="1"/>
        <v>0</v>
      </c>
      <c r="BU14" s="77">
        <f>初期!I155*0.5</f>
        <v>0</v>
      </c>
      <c r="BV14" s="544" t="e">
        <f>AVERAGE(BT39:CI39)*初始化表!B$31</f>
        <v>#DIV/0!</v>
      </c>
      <c r="BW14" s="544" t="e">
        <f>$BT14*(AL116-BW$25)/BW$26*初始化表!B$30</f>
        <v>#DIV/0!</v>
      </c>
      <c r="BX14" s="544" t="e">
        <f>$BT14*(AM116-BX$25)/BX$26*初始化表!B$33</f>
        <v>#DIV/0!</v>
      </c>
      <c r="BY14" s="544" t="e">
        <f>$BT14*(AN116-BY$25)/BY$26*初始化表!B$32</f>
        <v>#DIV/0!</v>
      </c>
      <c r="BZ14" s="544" t="e">
        <f>$BT14*(AP116-BZ$25)/BZ$26*初始化表!B$34</f>
        <v>#DIV/0!</v>
      </c>
      <c r="CA14" s="544" t="e">
        <f>$BT$5*(AW116-CA$25)/CA$26*初始化表!B$36</f>
        <v>#DIV/0!</v>
      </c>
      <c r="CB14" s="544" t="e">
        <f t="shared" si="4"/>
        <v>#DIV/0!</v>
      </c>
      <c r="CC14" s="77">
        <f t="shared" si="5"/>
        <v>0</v>
      </c>
      <c r="CD14" s="92" t="e">
        <f t="shared" si="6"/>
        <v>#DIV/0!</v>
      </c>
      <c r="CE14" s="92">
        <f t="shared" si="7"/>
        <v>0</v>
      </c>
      <c r="CF14" s="92">
        <f t="shared" si="8"/>
        <v>0</v>
      </c>
      <c r="CG14" s="453"/>
      <c r="CH14" s="453"/>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c r="DP14" s="228"/>
      <c r="DQ14" s="228"/>
    </row>
    <row r="15" s="543" customFormat="1" ht="16" customHeight="1" spans="1:121">
      <c r="A15" s="269" t="s">
        <v>524</v>
      </c>
      <c r="B15" s="582">
        <f t="shared" si="20"/>
        <v>0</v>
      </c>
      <c r="C15" s="582">
        <f t="shared" si="21"/>
        <v>0</v>
      </c>
      <c r="D15" s="582">
        <f t="shared" si="22"/>
        <v>0</v>
      </c>
      <c r="E15" s="582">
        <f t="shared" si="23"/>
        <v>0</v>
      </c>
      <c r="F15" s="585" t="e">
        <f>F64</f>
        <v>#DIV/0!</v>
      </c>
      <c r="G15" s="584"/>
      <c r="H15" s="269" t="s">
        <v>542</v>
      </c>
      <c r="I15" s="590" t="e">
        <f>初期!H25/初期!H26</f>
        <v>#DIV/0!</v>
      </c>
      <c r="J15" s="590" t="e">
        <f>N49*I14-H17</f>
        <v>#DIV/0!</v>
      </c>
      <c r="K15" s="590" t="e">
        <f>N49*I15-H17</f>
        <v>#DIV/0!</v>
      </c>
      <c r="L15" s="261">
        <f>C22</f>
        <v>0</v>
      </c>
      <c r="M15" s="587"/>
      <c r="N15" s="269" t="s">
        <v>198</v>
      </c>
      <c r="O15" s="593" t="e">
        <f>INT((1+O10+IF(V42&gt;V17,(V17-V42)/V17/15,(V17-V42)/V17/10))*V23)</f>
        <v>#DIV/0!</v>
      </c>
      <c r="P15" s="593" t="e">
        <f>INT((1+P10+IF(W42&gt;W17,(W17-W42)/W17/15,(W17-W42)/W17/10))*W23)</f>
        <v>#DIV/0!</v>
      </c>
      <c r="Q15" s="593" t="e">
        <f t="shared" ref="O15:R16" si="40">INT((1+Q10+IF(X42&gt;X17,(X17-X42)/X17/15,(X17-X42)/X17/10))*X23)</f>
        <v>#DIV/0!</v>
      </c>
      <c r="R15" s="593" t="e">
        <f t="shared" si="40"/>
        <v>#DIV/0!</v>
      </c>
      <c r="S15" s="616"/>
      <c r="T15" s="613"/>
      <c r="U15" s="123"/>
      <c r="V15" s="91"/>
      <c r="W15" s="91"/>
      <c r="X15" s="91"/>
      <c r="Y15" s="91"/>
      <c r="Z15" s="91"/>
      <c r="AA15" s="307"/>
      <c r="AB15" s="155"/>
      <c r="AC15" s="155"/>
      <c r="AD15" s="155"/>
      <c r="AE15" s="155"/>
      <c r="AF15" s="155"/>
      <c r="AG15" s="155"/>
      <c r="AH15" s="307"/>
      <c r="AI15" s="528"/>
      <c r="AJ15" s="528"/>
      <c r="AK15" s="529"/>
      <c r="AL15" s="529">
        <f>X43</f>
        <v>0</v>
      </c>
      <c r="AM15" s="530"/>
      <c r="AN15" s="531"/>
      <c r="AO15" s="529"/>
      <c r="AP15" s="529"/>
      <c r="AQ15" s="537"/>
      <c r="AR15" s="103"/>
      <c r="AS15" s="103">
        <f t="shared" si="15"/>
        <v>0</v>
      </c>
      <c r="AT15" s="103"/>
      <c r="AU15" s="103"/>
      <c r="AV15" s="103"/>
      <c r="AW15" s="103"/>
      <c r="AZ15" s="63"/>
      <c r="BA15" s="539">
        <f t="shared" si="13"/>
        <v>0</v>
      </c>
      <c r="BB15" s="632">
        <f t="shared" si="24"/>
        <v>0</v>
      </c>
      <c r="BC15" s="632">
        <f t="shared" si="25"/>
        <v>0</v>
      </c>
      <c r="BD15" s="632">
        <f t="shared" si="26"/>
        <v>0</v>
      </c>
      <c r="BE15" s="632">
        <f t="shared" si="27"/>
        <v>0</v>
      </c>
      <c r="BF15" s="632">
        <f t="shared" si="28"/>
        <v>0</v>
      </c>
      <c r="BG15" s="632">
        <f t="shared" si="29"/>
        <v>0</v>
      </c>
      <c r="BH15" s="632">
        <f t="shared" si="30"/>
        <v>0</v>
      </c>
      <c r="BI15" s="632">
        <f t="shared" si="31"/>
        <v>0</v>
      </c>
      <c r="BJ15" s="632">
        <f t="shared" si="32"/>
        <v>0</v>
      </c>
      <c r="BK15" s="632">
        <f t="shared" si="33"/>
        <v>0</v>
      </c>
      <c r="BL15" s="632">
        <f t="shared" si="34"/>
        <v>0</v>
      </c>
      <c r="BM15" s="632">
        <f t="shared" si="35"/>
        <v>0</v>
      </c>
      <c r="BN15" s="632">
        <f t="shared" si="36"/>
        <v>0</v>
      </c>
      <c r="BO15" s="632">
        <f t="shared" si="37"/>
        <v>0</v>
      </c>
      <c r="BP15" s="632">
        <f t="shared" si="38"/>
        <v>0</v>
      </c>
      <c r="BQ15" s="632">
        <f t="shared" si="39"/>
        <v>0</v>
      </c>
      <c r="BR15" s="62"/>
      <c r="BS15" s="270">
        <f t="shared" si="0"/>
        <v>0</v>
      </c>
      <c r="BT15" s="77">
        <f t="shared" si="1"/>
        <v>0</v>
      </c>
      <c r="BU15" s="77">
        <f>初期!I156*0.5</f>
        <v>0</v>
      </c>
      <c r="BV15" s="544" t="e">
        <f>AVERAGE(BT40:CI40)*初始化表!B$31</f>
        <v>#DIV/0!</v>
      </c>
      <c r="BW15" s="544" t="e">
        <f>$BT15*(AL117-BW$25)/BW$26*初始化表!B$30</f>
        <v>#DIV/0!</v>
      </c>
      <c r="BX15" s="544" t="e">
        <f>$BT15*(AM117-BX$25)/BX$26*初始化表!B$33</f>
        <v>#DIV/0!</v>
      </c>
      <c r="BY15" s="544" t="e">
        <f>$BT15*(AN117-BY$25)/BY$26*初始化表!B$32</f>
        <v>#DIV/0!</v>
      </c>
      <c r="BZ15" s="544" t="e">
        <f>$BT15*(AP117-BZ$25)/BZ$26*初始化表!B$34</f>
        <v>#DIV/0!</v>
      </c>
      <c r="CA15" s="544" t="e">
        <f>$BT$5*(AW117-CA$25)/CA$26*初始化表!B$36</f>
        <v>#DIV/0!</v>
      </c>
      <c r="CB15" s="544" t="e">
        <f t="shared" si="4"/>
        <v>#DIV/0!</v>
      </c>
      <c r="CC15" s="77">
        <f t="shared" si="5"/>
        <v>0</v>
      </c>
      <c r="CD15" s="92" t="e">
        <f t="shared" si="6"/>
        <v>#DIV/0!</v>
      </c>
      <c r="CE15" s="92">
        <f t="shared" si="7"/>
        <v>0</v>
      </c>
      <c r="CF15" s="92">
        <f t="shared" si="8"/>
        <v>0</v>
      </c>
      <c r="CG15" s="453"/>
      <c r="CH15" s="453"/>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c r="DP15" s="228"/>
      <c r="DQ15" s="228"/>
    </row>
    <row r="16" s="543" customFormat="1" ht="16" customHeight="1" spans="1:121">
      <c r="A16" s="269" t="s">
        <v>298</v>
      </c>
      <c r="B16" s="269" t="s">
        <v>103</v>
      </c>
      <c r="C16" s="269" t="s">
        <v>299</v>
      </c>
      <c r="D16" s="269" t="s">
        <v>104</v>
      </c>
      <c r="E16" s="269" t="s">
        <v>300</v>
      </c>
      <c r="F16" s="269" t="s">
        <v>110</v>
      </c>
      <c r="G16" s="584"/>
      <c r="H16" s="269" t="s">
        <v>543</v>
      </c>
      <c r="I16" s="269" t="s">
        <v>544</v>
      </c>
      <c r="J16" s="269" t="s">
        <v>545</v>
      </c>
      <c r="K16" s="269" t="s">
        <v>546</v>
      </c>
      <c r="L16" s="269" t="s">
        <v>547</v>
      </c>
      <c r="M16" s="587"/>
      <c r="N16" s="269" t="s">
        <v>202</v>
      </c>
      <c r="O16" s="593" t="e">
        <f t="shared" si="40"/>
        <v>#DIV/0!</v>
      </c>
      <c r="P16" s="593" t="e">
        <f t="shared" si="40"/>
        <v>#DIV/0!</v>
      </c>
      <c r="Q16" s="593" t="e">
        <f t="shared" si="40"/>
        <v>#DIV/0!</v>
      </c>
      <c r="R16" s="593" t="e">
        <f t="shared" si="40"/>
        <v>#DIV/0!</v>
      </c>
      <c r="S16" s="616"/>
      <c r="T16" s="613"/>
      <c r="U16" s="68" t="s">
        <v>548</v>
      </c>
      <c r="V16" s="68" t="s">
        <v>459</v>
      </c>
      <c r="W16" s="68" t="s">
        <v>460</v>
      </c>
      <c r="X16" s="68" t="s">
        <v>461</v>
      </c>
      <c r="Y16" s="68" t="s">
        <v>462</v>
      </c>
      <c r="Z16" s="68" t="s">
        <v>549</v>
      </c>
      <c r="AA16" s="307"/>
      <c r="AB16" s="151" t="s">
        <v>550</v>
      </c>
      <c r="AC16" s="151" t="s">
        <v>459</v>
      </c>
      <c r="AD16" s="151" t="s">
        <v>460</v>
      </c>
      <c r="AE16" s="151" t="s">
        <v>461</v>
      </c>
      <c r="AF16" s="151" t="s">
        <v>462</v>
      </c>
      <c r="AG16" s="74"/>
      <c r="AH16" s="307"/>
      <c r="AI16" s="528"/>
      <c r="AJ16" s="528"/>
      <c r="AK16" s="529"/>
      <c r="AL16" s="529">
        <f>Y43</f>
        <v>0</v>
      </c>
      <c r="AM16" s="530"/>
      <c r="AN16" s="531"/>
      <c r="AO16" s="529"/>
      <c r="AP16" s="529"/>
      <c r="AQ16" s="537"/>
      <c r="AR16" s="103">
        <f>SUM(AL13:AL16)</f>
        <v>0</v>
      </c>
      <c r="AS16" s="103">
        <f t="shared" si="15"/>
        <v>0</v>
      </c>
      <c r="AT16" s="103">
        <f>SUMIF(AS13:AS16,"&gt;=0",AS13:AS16)</f>
        <v>0</v>
      </c>
      <c r="AU16" s="103">
        <f>SUM(AO13:AO16)</f>
        <v>0</v>
      </c>
      <c r="AV16" s="103">
        <f>SUM(AP13:AP16)</f>
        <v>0</v>
      </c>
      <c r="AW16" s="103">
        <f>SUM(AQ13:AQ16)</f>
        <v>0</v>
      </c>
      <c r="AZ16" s="63"/>
      <c r="BA16" s="539">
        <f t="shared" si="13"/>
        <v>0</v>
      </c>
      <c r="BB16" s="632">
        <f t="shared" si="24"/>
        <v>0</v>
      </c>
      <c r="BC16" s="632">
        <f t="shared" si="25"/>
        <v>0</v>
      </c>
      <c r="BD16" s="632">
        <f t="shared" si="26"/>
        <v>0</v>
      </c>
      <c r="BE16" s="632">
        <f t="shared" si="27"/>
        <v>0</v>
      </c>
      <c r="BF16" s="632">
        <f t="shared" si="28"/>
        <v>0</v>
      </c>
      <c r="BG16" s="632">
        <f t="shared" si="29"/>
        <v>0</v>
      </c>
      <c r="BH16" s="632">
        <f t="shared" si="30"/>
        <v>0</v>
      </c>
      <c r="BI16" s="632">
        <f t="shared" si="31"/>
        <v>0</v>
      </c>
      <c r="BJ16" s="632">
        <f t="shared" si="32"/>
        <v>0</v>
      </c>
      <c r="BK16" s="632">
        <f t="shared" si="33"/>
        <v>0</v>
      </c>
      <c r="BL16" s="632">
        <f t="shared" si="34"/>
        <v>0</v>
      </c>
      <c r="BM16" s="632">
        <f t="shared" si="35"/>
        <v>0</v>
      </c>
      <c r="BN16" s="632">
        <f t="shared" si="36"/>
        <v>0</v>
      </c>
      <c r="BO16" s="632">
        <f t="shared" si="37"/>
        <v>0</v>
      </c>
      <c r="BP16" s="632">
        <f t="shared" si="38"/>
        <v>0</v>
      </c>
      <c r="BQ16" s="632">
        <f t="shared" si="39"/>
        <v>0</v>
      </c>
      <c r="BR16" s="62"/>
      <c r="BS16" s="270">
        <f t="shared" si="0"/>
        <v>0</v>
      </c>
      <c r="BT16" s="77">
        <f t="shared" si="1"/>
        <v>0</v>
      </c>
      <c r="BU16" s="77">
        <f>初期!I157*0.5</f>
        <v>0</v>
      </c>
      <c r="BV16" s="544" t="e">
        <f>AVERAGE(BT41:CI41)*初始化表!B$31</f>
        <v>#DIV/0!</v>
      </c>
      <c r="BW16" s="544" t="e">
        <f>$BT16*(AL118-BW$25)/BW$26*初始化表!B$30</f>
        <v>#DIV/0!</v>
      </c>
      <c r="BX16" s="544" t="e">
        <f>$BT16*(AM118-BX$25)/BX$26*初始化表!B$33</f>
        <v>#DIV/0!</v>
      </c>
      <c r="BY16" s="544" t="e">
        <f>$BT16*(AN118-BY$25)/BY$26*初始化表!B$32</f>
        <v>#DIV/0!</v>
      </c>
      <c r="BZ16" s="544" t="e">
        <f>$BT16*(AP118-BZ$25)/BZ$26*初始化表!B$34</f>
        <v>#DIV/0!</v>
      </c>
      <c r="CA16" s="544" t="e">
        <f>$BT$5*(AW118-CA$25)/CA$26*初始化表!B$36</f>
        <v>#DIV/0!</v>
      </c>
      <c r="CB16" s="544" t="e">
        <f t="shared" si="4"/>
        <v>#DIV/0!</v>
      </c>
      <c r="CC16" s="77">
        <f t="shared" si="5"/>
        <v>0</v>
      </c>
      <c r="CD16" s="92" t="e">
        <f t="shared" si="6"/>
        <v>#DIV/0!</v>
      </c>
      <c r="CE16" s="92">
        <f t="shared" si="7"/>
        <v>0</v>
      </c>
      <c r="CF16" s="92">
        <f t="shared" si="8"/>
        <v>0</v>
      </c>
      <c r="CG16" s="453"/>
      <c r="CH16" s="453"/>
      <c r="CI16" s="227"/>
      <c r="CJ16" s="228"/>
      <c r="CK16" s="227"/>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c r="DQ16" s="228"/>
    </row>
    <row r="17" s="543" customFormat="1" ht="16" customHeight="1" spans="1:121">
      <c r="A17" s="269" t="s">
        <v>521</v>
      </c>
      <c r="B17" s="582">
        <f>I25</f>
        <v>0</v>
      </c>
      <c r="C17" s="582">
        <f t="shared" ref="C17:E17" si="41">J25</f>
        <v>0</v>
      </c>
      <c r="D17" s="582">
        <f t="shared" si="41"/>
        <v>0</v>
      </c>
      <c r="E17" s="582">
        <f t="shared" si="41"/>
        <v>0</v>
      </c>
      <c r="F17" s="583">
        <f>J6</f>
        <v>0</v>
      </c>
      <c r="G17" s="584"/>
      <c r="H17" s="261">
        <f>初期!H25</f>
        <v>0</v>
      </c>
      <c r="I17" s="261">
        <f>INT(0.5*H17)</f>
        <v>0</v>
      </c>
      <c r="J17" s="261">
        <f>IF(初始化表!B1=1,INT(3%*H17),INT(3%*H17+0.99))</f>
        <v>0</v>
      </c>
      <c r="K17" s="261">
        <f>INT(0.1*H17)</f>
        <v>0</v>
      </c>
      <c r="L17" s="261">
        <f>H17+B22-C22</f>
        <v>0</v>
      </c>
      <c r="M17" s="587"/>
      <c r="N17" s="269" t="s">
        <v>206</v>
      </c>
      <c r="O17" s="593" t="e">
        <f t="shared" ref="O17:R18" si="42">INT((1+O12+IF(V44&gt;V19,(V19-V44)/V19/20,(V19-V44)/V19/8))*V25)</f>
        <v>#DIV/0!</v>
      </c>
      <c r="P17" s="593" t="e">
        <f t="shared" si="42"/>
        <v>#DIV/0!</v>
      </c>
      <c r="Q17" s="593" t="e">
        <f t="shared" si="42"/>
        <v>#DIV/0!</v>
      </c>
      <c r="R17" s="593" t="e">
        <f t="shared" si="42"/>
        <v>#DIV/0!</v>
      </c>
      <c r="S17" s="616"/>
      <c r="T17" s="613"/>
      <c r="U17" s="68" t="s">
        <v>464</v>
      </c>
      <c r="V17" s="115">
        <f>初期!O6</f>
        <v>0</v>
      </c>
      <c r="W17" s="115">
        <f>初期!O7</f>
        <v>0</v>
      </c>
      <c r="X17" s="115">
        <f>初期!O8</f>
        <v>0</v>
      </c>
      <c r="Y17" s="115">
        <f>初期!O9</f>
        <v>0</v>
      </c>
      <c r="Z17" s="627">
        <f>SUM(V17:Y17)</f>
        <v>0</v>
      </c>
      <c r="AA17" s="307"/>
      <c r="AB17" s="151" t="s">
        <v>198</v>
      </c>
      <c r="AC17" s="156" t="e">
        <f>AC11/初始化表!$E$18</f>
        <v>#DIV/0!</v>
      </c>
      <c r="AD17" s="156" t="e">
        <f>AD11/初始化表!$E$18</f>
        <v>#DIV/0!</v>
      </c>
      <c r="AE17" s="156" t="e">
        <f>AE11/初始化表!$E$18</f>
        <v>#DIV/0!</v>
      </c>
      <c r="AF17" s="156" t="e">
        <f>AF11/初始化表!$E$18</f>
        <v>#DIV/0!</v>
      </c>
      <c r="AG17" s="74"/>
      <c r="AH17" s="307"/>
      <c r="AI17" s="528"/>
      <c r="AJ17" s="528"/>
      <c r="AK17" s="529"/>
      <c r="AL17" s="529">
        <f>V44</f>
        <v>0</v>
      </c>
      <c r="AM17" s="530"/>
      <c r="AN17" s="531"/>
      <c r="AO17" s="529"/>
      <c r="AP17" s="529"/>
      <c r="AQ17" s="537"/>
      <c r="AR17" s="103"/>
      <c r="AS17" s="103">
        <f t="shared" si="15"/>
        <v>0</v>
      </c>
      <c r="AT17" s="103"/>
      <c r="AU17" s="103"/>
      <c r="AV17" s="103"/>
      <c r="AW17" s="103"/>
      <c r="AZ17" s="63"/>
      <c r="BA17" s="539">
        <f t="shared" si="13"/>
        <v>0</v>
      </c>
      <c r="BB17" s="632">
        <f t="shared" si="24"/>
        <v>0</v>
      </c>
      <c r="BC17" s="632">
        <f t="shared" si="25"/>
        <v>0</v>
      </c>
      <c r="BD17" s="632">
        <f t="shared" si="26"/>
        <v>0</v>
      </c>
      <c r="BE17" s="632">
        <f t="shared" si="27"/>
        <v>0</v>
      </c>
      <c r="BF17" s="632">
        <f t="shared" si="28"/>
        <v>0</v>
      </c>
      <c r="BG17" s="632">
        <f t="shared" si="29"/>
        <v>0</v>
      </c>
      <c r="BH17" s="632">
        <f t="shared" si="30"/>
        <v>0</v>
      </c>
      <c r="BI17" s="632">
        <f t="shared" si="31"/>
        <v>0</v>
      </c>
      <c r="BJ17" s="632">
        <f t="shared" si="32"/>
        <v>0</v>
      </c>
      <c r="BK17" s="632">
        <f t="shared" si="33"/>
        <v>0</v>
      </c>
      <c r="BL17" s="632">
        <f t="shared" si="34"/>
        <v>0</v>
      </c>
      <c r="BM17" s="632">
        <f t="shared" si="35"/>
        <v>0</v>
      </c>
      <c r="BN17" s="632">
        <f t="shared" si="36"/>
        <v>0</v>
      </c>
      <c r="BO17" s="632">
        <f t="shared" si="37"/>
        <v>0</v>
      </c>
      <c r="BP17" s="632">
        <f t="shared" si="38"/>
        <v>0</v>
      </c>
      <c r="BQ17" s="632">
        <f t="shared" si="39"/>
        <v>0</v>
      </c>
      <c r="BR17" s="62"/>
      <c r="BS17" s="270">
        <f t="shared" si="0"/>
        <v>0</v>
      </c>
      <c r="BT17" s="77">
        <f t="shared" si="1"/>
        <v>0</v>
      </c>
      <c r="BU17" s="77">
        <f>初期!I158*0.5</f>
        <v>0</v>
      </c>
      <c r="BV17" s="544" t="e">
        <f>AVERAGE(BT42:CI42)*初始化表!B$31</f>
        <v>#DIV/0!</v>
      </c>
      <c r="BW17" s="544" t="e">
        <f>$BT17*(AL119-BW$25)/BW$26*初始化表!B$30</f>
        <v>#DIV/0!</v>
      </c>
      <c r="BX17" s="544" t="e">
        <f>$BT17*(AM119-BX$25)/BX$26*初始化表!B$33</f>
        <v>#DIV/0!</v>
      </c>
      <c r="BY17" s="544" t="e">
        <f>$BT17*(AN119-BY$25)/BY$26*初始化表!B$32</f>
        <v>#DIV/0!</v>
      </c>
      <c r="BZ17" s="544" t="e">
        <f>$BT17*(AP119-BZ$25)/BZ$26*初始化表!B$34</f>
        <v>#DIV/0!</v>
      </c>
      <c r="CA17" s="544" t="e">
        <f>$BT$5*(AW119-CA$25)/CA$26*初始化表!B$36</f>
        <v>#DIV/0!</v>
      </c>
      <c r="CB17" s="544" t="e">
        <f t="shared" si="4"/>
        <v>#DIV/0!</v>
      </c>
      <c r="CC17" s="77">
        <f t="shared" si="5"/>
        <v>0</v>
      </c>
      <c r="CD17" s="92" t="e">
        <f t="shared" si="6"/>
        <v>#DIV/0!</v>
      </c>
      <c r="CE17" s="92">
        <f t="shared" si="7"/>
        <v>0</v>
      </c>
      <c r="CF17" s="92">
        <f t="shared" si="8"/>
        <v>0</v>
      </c>
      <c r="CG17" s="453"/>
      <c r="CH17" s="453"/>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c r="DP17" s="228"/>
      <c r="DQ17" s="228"/>
    </row>
    <row r="18" s="543" customFormat="1" ht="16" customHeight="1" spans="1:121">
      <c r="A18" s="269" t="s">
        <v>522</v>
      </c>
      <c r="B18" s="582">
        <f t="shared" ref="B18:B20" si="43">I26</f>
        <v>0</v>
      </c>
      <c r="C18" s="582">
        <f t="shared" ref="C18:C20" si="44">J26</f>
        <v>0</v>
      </c>
      <c r="D18" s="582">
        <f t="shared" ref="D18:D20" si="45">K26</f>
        <v>0</v>
      </c>
      <c r="E18" s="582">
        <f t="shared" ref="E18:E20" si="46">L26</f>
        <v>0</v>
      </c>
      <c r="F18" s="583">
        <f t="shared" ref="F18:F20" si="47">J7</f>
        <v>0</v>
      </c>
      <c r="G18" s="584"/>
      <c r="H18" s="269" t="s">
        <v>551</v>
      </c>
      <c r="I18" s="594"/>
      <c r="J18" s="269" t="s">
        <v>552</v>
      </c>
      <c r="K18" s="595"/>
      <c r="L18" s="91"/>
      <c r="M18" s="587"/>
      <c r="N18" s="269" t="s">
        <v>208</v>
      </c>
      <c r="O18" s="593" t="e">
        <f>INT((1+O13+IF(V45&gt;V20,(V20-V45)/V20/20,(V20-V45)/V20/8))*V26)</f>
        <v>#DIV/0!</v>
      </c>
      <c r="P18" s="593" t="e">
        <f t="shared" si="42"/>
        <v>#DIV/0!</v>
      </c>
      <c r="Q18" s="593" t="e">
        <f t="shared" si="42"/>
        <v>#DIV/0!</v>
      </c>
      <c r="R18" s="593" t="e">
        <f t="shared" si="42"/>
        <v>#DIV/0!</v>
      </c>
      <c r="S18" s="616"/>
      <c r="T18" s="617" t="s">
        <v>553</v>
      </c>
      <c r="U18" s="68" t="s">
        <v>465</v>
      </c>
      <c r="V18" s="115">
        <f>初期!O10</f>
        <v>0</v>
      </c>
      <c r="W18" s="115">
        <f>初期!O11</f>
        <v>0</v>
      </c>
      <c r="X18" s="115">
        <f>初期!O12</f>
        <v>0</v>
      </c>
      <c r="Y18" s="115">
        <f>初期!O13</f>
        <v>0</v>
      </c>
      <c r="Z18" s="627">
        <f>SUM(V18:Y18)</f>
        <v>0</v>
      </c>
      <c r="AA18" s="307"/>
      <c r="AB18" s="151" t="s">
        <v>202</v>
      </c>
      <c r="AC18" s="156" t="e">
        <f>AC12/初始化表!$F$18</f>
        <v>#DIV/0!</v>
      </c>
      <c r="AD18" s="156" t="e">
        <f>AD12/初始化表!$F$18</f>
        <v>#DIV/0!</v>
      </c>
      <c r="AE18" s="156" t="e">
        <f>AE12/初始化表!$F$18</f>
        <v>#DIV/0!</v>
      </c>
      <c r="AF18" s="156" t="e">
        <f>AF12/初始化表!$F$18</f>
        <v>#DIV/0!</v>
      </c>
      <c r="AG18" s="74"/>
      <c r="AH18" s="307"/>
      <c r="AI18" s="528"/>
      <c r="AJ18" s="528"/>
      <c r="AK18" s="529"/>
      <c r="AL18" s="529">
        <f>W44</f>
        <v>0</v>
      </c>
      <c r="AM18" s="530"/>
      <c r="AN18" s="531"/>
      <c r="AO18" s="529"/>
      <c r="AP18" s="529"/>
      <c r="AQ18" s="537"/>
      <c r="AR18" s="103"/>
      <c r="AS18" s="103">
        <f t="shared" si="15"/>
        <v>0</v>
      </c>
      <c r="AT18" s="103"/>
      <c r="AU18" s="103"/>
      <c r="AV18" s="103"/>
      <c r="AW18" s="103"/>
      <c r="AZ18" s="63"/>
      <c r="BA18" s="539">
        <f t="shared" si="13"/>
        <v>0</v>
      </c>
      <c r="BB18" s="632">
        <f t="shared" si="24"/>
        <v>0</v>
      </c>
      <c r="BC18" s="632">
        <f t="shared" si="25"/>
        <v>0</v>
      </c>
      <c r="BD18" s="632">
        <f t="shared" si="26"/>
        <v>0</v>
      </c>
      <c r="BE18" s="632">
        <f t="shared" si="27"/>
        <v>0</v>
      </c>
      <c r="BF18" s="632">
        <f t="shared" si="28"/>
        <v>0</v>
      </c>
      <c r="BG18" s="632">
        <f t="shared" si="29"/>
        <v>0</v>
      </c>
      <c r="BH18" s="632">
        <f t="shared" si="30"/>
        <v>0</v>
      </c>
      <c r="BI18" s="632">
        <f t="shared" si="31"/>
        <v>0</v>
      </c>
      <c r="BJ18" s="632">
        <f t="shared" si="32"/>
        <v>0</v>
      </c>
      <c r="BK18" s="632">
        <f t="shared" si="33"/>
        <v>0</v>
      </c>
      <c r="BL18" s="632">
        <f t="shared" si="34"/>
        <v>0</v>
      </c>
      <c r="BM18" s="632">
        <f t="shared" si="35"/>
        <v>0</v>
      </c>
      <c r="BN18" s="632">
        <f t="shared" si="36"/>
        <v>0</v>
      </c>
      <c r="BO18" s="632">
        <f t="shared" si="37"/>
        <v>0</v>
      </c>
      <c r="BP18" s="632">
        <f t="shared" si="38"/>
        <v>0</v>
      </c>
      <c r="BQ18" s="632">
        <f t="shared" si="39"/>
        <v>0</v>
      </c>
      <c r="BR18" s="62"/>
      <c r="BS18" s="270">
        <f t="shared" si="0"/>
        <v>0</v>
      </c>
      <c r="BT18" s="77">
        <f t="shared" si="1"/>
        <v>0</v>
      </c>
      <c r="BU18" s="77">
        <f>初期!I159*0.5</f>
        <v>0</v>
      </c>
      <c r="BV18" s="544" t="e">
        <f>AVERAGE(BT43:CI43)*初始化表!B$31</f>
        <v>#DIV/0!</v>
      </c>
      <c r="BW18" s="544" t="e">
        <f>$BT18*(AL120-BW$25)/BW$26*初始化表!B$30</f>
        <v>#DIV/0!</v>
      </c>
      <c r="BX18" s="544" t="e">
        <f>$BT18*(AM120-BX$25)/BX$26*初始化表!B$33</f>
        <v>#DIV/0!</v>
      </c>
      <c r="BY18" s="544" t="e">
        <f>$BT18*(AN120-BY$25)/BY$26*初始化表!B$32</f>
        <v>#DIV/0!</v>
      </c>
      <c r="BZ18" s="544" t="e">
        <f>$BT18*(AP120-BZ$25)/BZ$26*初始化表!B$34</f>
        <v>#DIV/0!</v>
      </c>
      <c r="CA18" s="544" t="e">
        <f>$BT$5*(AW120-CA$25)/CA$26*初始化表!B$36</f>
        <v>#DIV/0!</v>
      </c>
      <c r="CB18" s="544" t="e">
        <f t="shared" si="4"/>
        <v>#DIV/0!</v>
      </c>
      <c r="CC18" s="77">
        <f t="shared" si="5"/>
        <v>0</v>
      </c>
      <c r="CD18" s="92" t="e">
        <f t="shared" si="6"/>
        <v>#DIV/0!</v>
      </c>
      <c r="CE18" s="92">
        <f t="shared" si="7"/>
        <v>0</v>
      </c>
      <c r="CF18" s="92">
        <f t="shared" si="8"/>
        <v>0</v>
      </c>
      <c r="CG18" s="453"/>
      <c r="CH18" s="453"/>
      <c r="CI18" s="227"/>
      <c r="CJ18" s="228"/>
      <c r="CK18" s="227"/>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c r="DP18" s="228"/>
      <c r="DQ18" s="228"/>
    </row>
    <row r="19" s="543" customFormat="1" ht="16" customHeight="1" spans="1:121">
      <c r="A19" s="269" t="s">
        <v>523</v>
      </c>
      <c r="B19" s="582">
        <f t="shared" si="43"/>
        <v>0</v>
      </c>
      <c r="C19" s="582">
        <f t="shared" si="44"/>
        <v>0</v>
      </c>
      <c r="D19" s="582">
        <f t="shared" si="45"/>
        <v>0</v>
      </c>
      <c r="E19" s="582">
        <f t="shared" si="46"/>
        <v>0</v>
      </c>
      <c r="F19" s="583">
        <f t="shared" si="47"/>
        <v>0</v>
      </c>
      <c r="G19" s="584"/>
      <c r="H19" s="270"/>
      <c r="I19" s="269" t="s">
        <v>554</v>
      </c>
      <c r="J19" s="269" t="s">
        <v>555</v>
      </c>
      <c r="K19" s="269" t="s">
        <v>556</v>
      </c>
      <c r="L19" s="91"/>
      <c r="M19" s="587"/>
      <c r="N19" s="269" t="s">
        <v>557</v>
      </c>
      <c r="O19" s="269" t="s">
        <v>513</v>
      </c>
      <c r="P19" s="269" t="s">
        <v>514</v>
      </c>
      <c r="Q19" s="269" t="s">
        <v>515</v>
      </c>
      <c r="R19" s="269" t="s">
        <v>516</v>
      </c>
      <c r="S19" s="618"/>
      <c r="T19" s="617"/>
      <c r="U19" s="68" t="s">
        <v>466</v>
      </c>
      <c r="V19" s="115">
        <f>初期!O14</f>
        <v>0</v>
      </c>
      <c r="W19" s="115">
        <f>初期!O15</f>
        <v>0</v>
      </c>
      <c r="X19" s="115">
        <f>初期!O16</f>
        <v>0</v>
      </c>
      <c r="Y19" s="115">
        <f>初期!O17</f>
        <v>0</v>
      </c>
      <c r="Z19" s="627">
        <f>SUM(V19:Y19)</f>
        <v>0</v>
      </c>
      <c r="AA19" s="307"/>
      <c r="AB19" s="151" t="s">
        <v>206</v>
      </c>
      <c r="AC19" s="156" t="e">
        <f>AC13/初始化表!$G$18</f>
        <v>#DIV/0!</v>
      </c>
      <c r="AD19" s="156" t="e">
        <f>AD13/初始化表!$G$18</f>
        <v>#DIV/0!</v>
      </c>
      <c r="AE19" s="156" t="e">
        <f>AE13/初始化表!$G$18</f>
        <v>#DIV/0!</v>
      </c>
      <c r="AF19" s="156" t="e">
        <f>AF13/初始化表!$G$18</f>
        <v>#DIV/0!</v>
      </c>
      <c r="AG19" s="74"/>
      <c r="AH19" s="307"/>
      <c r="AI19" s="528"/>
      <c r="AJ19" s="528"/>
      <c r="AK19" s="529"/>
      <c r="AL19" s="529">
        <f>X44</f>
        <v>0</v>
      </c>
      <c r="AM19" s="530"/>
      <c r="AN19" s="531"/>
      <c r="AO19" s="529"/>
      <c r="AP19" s="529"/>
      <c r="AQ19" s="537"/>
      <c r="AR19" s="103"/>
      <c r="AS19" s="103">
        <f t="shared" si="15"/>
        <v>0</v>
      </c>
      <c r="AT19" s="103"/>
      <c r="AU19" s="103"/>
      <c r="AV19" s="103"/>
      <c r="AW19" s="103"/>
      <c r="AZ19" s="63"/>
      <c r="BA19" s="539">
        <f t="shared" si="13"/>
        <v>0</v>
      </c>
      <c r="BB19" s="632">
        <f t="shared" si="24"/>
        <v>0</v>
      </c>
      <c r="BC19" s="632">
        <f t="shared" si="25"/>
        <v>0</v>
      </c>
      <c r="BD19" s="632">
        <f t="shared" si="26"/>
        <v>0</v>
      </c>
      <c r="BE19" s="632">
        <f t="shared" si="27"/>
        <v>0</v>
      </c>
      <c r="BF19" s="632">
        <f t="shared" si="28"/>
        <v>0</v>
      </c>
      <c r="BG19" s="632">
        <f t="shared" si="29"/>
        <v>0</v>
      </c>
      <c r="BH19" s="632">
        <f t="shared" si="30"/>
        <v>0</v>
      </c>
      <c r="BI19" s="632">
        <f t="shared" si="31"/>
        <v>0</v>
      </c>
      <c r="BJ19" s="632">
        <f t="shared" si="32"/>
        <v>0</v>
      </c>
      <c r="BK19" s="632">
        <f t="shared" si="33"/>
        <v>0</v>
      </c>
      <c r="BL19" s="632">
        <f t="shared" si="34"/>
        <v>0</v>
      </c>
      <c r="BM19" s="632">
        <f t="shared" si="35"/>
        <v>0</v>
      </c>
      <c r="BN19" s="632">
        <f t="shared" si="36"/>
        <v>0</v>
      </c>
      <c r="BO19" s="632">
        <f t="shared" si="37"/>
        <v>0</v>
      </c>
      <c r="BP19" s="632">
        <f t="shared" si="38"/>
        <v>0</v>
      </c>
      <c r="BQ19" s="632">
        <f t="shared" si="39"/>
        <v>0</v>
      </c>
      <c r="BR19" s="62"/>
      <c r="BS19" s="270">
        <f t="shared" si="0"/>
        <v>0</v>
      </c>
      <c r="BT19" s="77">
        <f t="shared" si="1"/>
        <v>0</v>
      </c>
      <c r="BU19" s="77">
        <f>初期!I160*0.5</f>
        <v>0</v>
      </c>
      <c r="BV19" s="544" t="e">
        <f>AVERAGE(BT44:CI44)*初始化表!B$31</f>
        <v>#DIV/0!</v>
      </c>
      <c r="BW19" s="544" t="e">
        <f>$BT19*(AL121-BW$25)/BW$26*初始化表!B$30</f>
        <v>#DIV/0!</v>
      </c>
      <c r="BX19" s="544" t="e">
        <f>$BT19*(AM121-BX$25)/BX$26*初始化表!B$33</f>
        <v>#DIV/0!</v>
      </c>
      <c r="BY19" s="544" t="e">
        <f>$BT19*(AN121-BY$25)/BY$26*初始化表!B$32</f>
        <v>#DIV/0!</v>
      </c>
      <c r="BZ19" s="544" t="e">
        <f>$BT19*(AP121-BZ$25)/BZ$26*初始化表!B$34</f>
        <v>#DIV/0!</v>
      </c>
      <c r="CA19" s="544" t="e">
        <f>$BT$5*(AW121-CA$25)/CA$26*初始化表!B$36</f>
        <v>#DIV/0!</v>
      </c>
      <c r="CB19" s="544" t="e">
        <f t="shared" si="4"/>
        <v>#DIV/0!</v>
      </c>
      <c r="CC19" s="77">
        <f t="shared" si="5"/>
        <v>0</v>
      </c>
      <c r="CD19" s="92" t="e">
        <f t="shared" si="6"/>
        <v>#DIV/0!</v>
      </c>
      <c r="CE19" s="92">
        <f t="shared" si="7"/>
        <v>0</v>
      </c>
      <c r="CF19" s="92">
        <f t="shared" si="8"/>
        <v>0</v>
      </c>
      <c r="CG19" s="453"/>
      <c r="CH19" s="453"/>
      <c r="CI19" s="228"/>
      <c r="CJ19" s="228"/>
      <c r="CK19" s="228"/>
      <c r="CL19" s="228"/>
      <c r="CM19" s="228"/>
      <c r="CN19" s="228"/>
      <c r="CO19" s="228"/>
      <c r="CP19" s="228"/>
      <c r="CQ19" s="228"/>
      <c r="CR19" s="228"/>
      <c r="CS19" s="228"/>
      <c r="CT19" s="228"/>
      <c r="CU19" s="228"/>
      <c r="CV19" s="228"/>
      <c r="CW19" s="228"/>
      <c r="CX19" s="228"/>
      <c r="CY19" s="228"/>
      <c r="CZ19" s="228"/>
      <c r="DA19" s="228"/>
      <c r="DB19" s="228"/>
      <c r="DC19" s="228"/>
      <c r="DD19" s="228"/>
      <c r="DE19" s="228"/>
      <c r="DF19" s="228"/>
      <c r="DG19" s="228"/>
      <c r="DH19" s="228"/>
      <c r="DI19" s="228"/>
      <c r="DJ19" s="228"/>
      <c r="DK19" s="228"/>
      <c r="DL19" s="228"/>
      <c r="DM19" s="228"/>
      <c r="DN19" s="228"/>
      <c r="DO19" s="228"/>
      <c r="DP19" s="228"/>
      <c r="DQ19" s="228"/>
    </row>
    <row r="20" s="543" customFormat="1" ht="16" customHeight="1" spans="1:121">
      <c r="A20" s="269" t="s">
        <v>524</v>
      </c>
      <c r="B20" s="582">
        <f t="shared" si="43"/>
        <v>0</v>
      </c>
      <c r="C20" s="582">
        <f t="shared" si="44"/>
        <v>0</v>
      </c>
      <c r="D20" s="582">
        <f t="shared" si="45"/>
        <v>0</v>
      </c>
      <c r="E20" s="582">
        <f t="shared" si="46"/>
        <v>0</v>
      </c>
      <c r="F20" s="583">
        <f t="shared" si="47"/>
        <v>0</v>
      </c>
      <c r="G20" s="584"/>
      <c r="H20" s="269" t="s">
        <v>558</v>
      </c>
      <c r="I20" s="596" t="e">
        <f>(H17-K18)/N49</f>
        <v>#DIV/0!</v>
      </c>
      <c r="J20" s="596" t="e">
        <f>(H17-K18+I17/4)/N49</f>
        <v>#DIV/0!</v>
      </c>
      <c r="K20" s="596" t="e">
        <f>(H17-K18+I18/4)/N49</f>
        <v>#DIV/0!</v>
      </c>
      <c r="L20" s="91"/>
      <c r="M20" s="587"/>
      <c r="N20" s="269" t="s">
        <v>198</v>
      </c>
      <c r="O20" s="597" t="e">
        <f>O15</f>
        <v>#DIV/0!</v>
      </c>
      <c r="P20" s="597" t="e">
        <f t="shared" ref="P20:R20" si="48">P15</f>
        <v>#DIV/0!</v>
      </c>
      <c r="Q20" s="597" t="e">
        <f t="shared" si="48"/>
        <v>#DIV/0!</v>
      </c>
      <c r="R20" s="597" t="e">
        <f t="shared" si="48"/>
        <v>#DIV/0!</v>
      </c>
      <c r="S20" s="128"/>
      <c r="T20" s="395" t="e">
        <f>MAX(AC23,AD23,AE23,AF23)-MIN(AC23,AD23,AE23,AF23)</f>
        <v>#DIV/0!</v>
      </c>
      <c r="U20" s="68" t="s">
        <v>468</v>
      </c>
      <c r="V20" s="115">
        <f>初期!O18</f>
        <v>0</v>
      </c>
      <c r="W20" s="115">
        <f>初期!O19</f>
        <v>0</v>
      </c>
      <c r="X20" s="115">
        <f>初期!O20</f>
        <v>0</v>
      </c>
      <c r="Y20" s="115">
        <f>初期!O21</f>
        <v>0</v>
      </c>
      <c r="Z20" s="627">
        <f>SUM(V20:Y20)</f>
        <v>0</v>
      </c>
      <c r="AA20" s="307"/>
      <c r="AB20" s="151" t="s">
        <v>208</v>
      </c>
      <c r="AC20" s="156" t="e">
        <f>AC14/初始化表!$H$18</f>
        <v>#DIV/0!</v>
      </c>
      <c r="AD20" s="156" t="e">
        <f>AD14/初始化表!$H$18</f>
        <v>#DIV/0!</v>
      </c>
      <c r="AE20" s="156" t="e">
        <f>AE14/初始化表!$H$18</f>
        <v>#DIV/0!</v>
      </c>
      <c r="AF20" s="156" t="e">
        <f>AF14/初始化表!$H$18</f>
        <v>#DIV/0!</v>
      </c>
      <c r="AG20" s="74"/>
      <c r="AH20" s="307"/>
      <c r="AI20" s="528"/>
      <c r="AJ20" s="528"/>
      <c r="AK20" s="529"/>
      <c r="AL20" s="529">
        <f>Y44</f>
        <v>0</v>
      </c>
      <c r="AM20" s="530"/>
      <c r="AN20" s="531"/>
      <c r="AO20" s="529"/>
      <c r="AP20" s="529"/>
      <c r="AQ20" s="537"/>
      <c r="AR20" s="103">
        <f>SUM(AL17:AL20)</f>
        <v>0</v>
      </c>
      <c r="AS20" s="103">
        <f t="shared" si="15"/>
        <v>0</v>
      </c>
      <c r="AT20" s="103">
        <f>SUMIF(AS17:AS20,"&gt;=0",AS17:AS20)</f>
        <v>0</v>
      </c>
      <c r="AU20" s="103">
        <f>SUM(AO17:AO20)</f>
        <v>0</v>
      </c>
      <c r="AV20" s="103">
        <f>SUM(AP17:AP20)</f>
        <v>0</v>
      </c>
      <c r="AW20" s="103">
        <f>SUM(AQ17:AQ20)</f>
        <v>0</v>
      </c>
      <c r="AZ20" s="63"/>
      <c r="BA20" s="539">
        <f t="shared" si="13"/>
        <v>0</v>
      </c>
      <c r="BB20" s="632">
        <f t="shared" si="24"/>
        <v>0</v>
      </c>
      <c r="BC20" s="632">
        <f t="shared" si="25"/>
        <v>0</v>
      </c>
      <c r="BD20" s="632">
        <f t="shared" si="26"/>
        <v>0</v>
      </c>
      <c r="BE20" s="632">
        <f t="shared" si="27"/>
        <v>0</v>
      </c>
      <c r="BF20" s="632">
        <f t="shared" si="28"/>
        <v>0</v>
      </c>
      <c r="BG20" s="632">
        <f t="shared" si="29"/>
        <v>0</v>
      </c>
      <c r="BH20" s="632">
        <f t="shared" si="30"/>
        <v>0</v>
      </c>
      <c r="BI20" s="632">
        <f t="shared" si="31"/>
        <v>0</v>
      </c>
      <c r="BJ20" s="632">
        <f t="shared" si="32"/>
        <v>0</v>
      </c>
      <c r="BK20" s="632">
        <f t="shared" si="33"/>
        <v>0</v>
      </c>
      <c r="BL20" s="632">
        <f t="shared" si="34"/>
        <v>0</v>
      </c>
      <c r="BM20" s="632">
        <f t="shared" si="35"/>
        <v>0</v>
      </c>
      <c r="BN20" s="632">
        <f t="shared" si="36"/>
        <v>0</v>
      </c>
      <c r="BO20" s="632">
        <f t="shared" si="37"/>
        <v>0</v>
      </c>
      <c r="BP20" s="632">
        <f t="shared" si="38"/>
        <v>0</v>
      </c>
      <c r="BQ20" s="632">
        <f t="shared" si="39"/>
        <v>0</v>
      </c>
      <c r="BR20" s="62"/>
      <c r="BS20" s="270">
        <f t="shared" si="0"/>
        <v>0</v>
      </c>
      <c r="BT20" s="77">
        <f t="shared" si="1"/>
        <v>0</v>
      </c>
      <c r="BU20" s="77">
        <f>初期!I161*0.5</f>
        <v>0</v>
      </c>
      <c r="BV20" s="544" t="e">
        <f>AVERAGE(BT45:CI45)*初始化表!B$31</f>
        <v>#DIV/0!</v>
      </c>
      <c r="BW20" s="544" t="e">
        <f>$BT20*(AL122-BW$25)/BW$26*初始化表!B$30</f>
        <v>#DIV/0!</v>
      </c>
      <c r="BX20" s="544" t="e">
        <f>$BT20*(AM122-BX$25)/BX$26*初始化表!B$33</f>
        <v>#DIV/0!</v>
      </c>
      <c r="BY20" s="544" t="e">
        <f>$BT20*(AN122-BY$25)/BY$26*初始化表!B$32</f>
        <v>#DIV/0!</v>
      </c>
      <c r="BZ20" s="544" t="e">
        <f>$BT20*(AP122-BZ$25)/BZ$26*初始化表!B$34</f>
        <v>#DIV/0!</v>
      </c>
      <c r="CA20" s="544" t="e">
        <f>$BT$5*(AW122-CA$25)/CA$26*初始化表!B$36</f>
        <v>#DIV/0!</v>
      </c>
      <c r="CB20" s="544" t="e">
        <f t="shared" si="4"/>
        <v>#DIV/0!</v>
      </c>
      <c r="CC20" s="77">
        <f t="shared" si="5"/>
        <v>0</v>
      </c>
      <c r="CD20" s="92" t="e">
        <f t="shared" si="6"/>
        <v>#DIV/0!</v>
      </c>
      <c r="CE20" s="92">
        <f t="shared" si="7"/>
        <v>0</v>
      </c>
      <c r="CF20" s="92">
        <f t="shared" si="8"/>
        <v>0</v>
      </c>
      <c r="CG20" s="453"/>
      <c r="CH20" s="453"/>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c r="DP20" s="228"/>
      <c r="DQ20" s="228"/>
    </row>
    <row r="21" s="543" customFormat="1" ht="16" customHeight="1" spans="1:121">
      <c r="A21" s="269" t="s">
        <v>303</v>
      </c>
      <c r="B21" s="269" t="s">
        <v>304</v>
      </c>
      <c r="C21" s="269" t="s">
        <v>305</v>
      </c>
      <c r="D21" s="269" t="s">
        <v>306</v>
      </c>
      <c r="E21" s="269" t="s">
        <v>307</v>
      </c>
      <c r="F21" s="270"/>
      <c r="G21" s="584"/>
      <c r="H21" s="409" t="s">
        <v>559</v>
      </c>
      <c r="I21" s="598" t="e">
        <f>(L17-ROUND(L17*0.03,0))/O49</f>
        <v>#DIV/0!</v>
      </c>
      <c r="J21" s="598" t="e">
        <f>(L17-ROUND(L17*0.03,0)+ROUNDDOWN(L17/2,0)/4)/O49</f>
        <v>#DIV/0!</v>
      </c>
      <c r="K21" s="409" t="s">
        <v>235</v>
      </c>
      <c r="L21" s="599" t="e">
        <f>初始化表!I20</f>
        <v>#DIV/0!</v>
      </c>
      <c r="M21" s="587"/>
      <c r="N21" s="269" t="s">
        <v>202</v>
      </c>
      <c r="O21" s="597" t="e">
        <f t="shared" ref="O21:R21" si="49">O16</f>
        <v>#DIV/0!</v>
      </c>
      <c r="P21" s="597" t="e">
        <f t="shared" si="49"/>
        <v>#DIV/0!</v>
      </c>
      <c r="Q21" s="597" t="e">
        <f t="shared" si="49"/>
        <v>#DIV/0!</v>
      </c>
      <c r="R21" s="597" t="e">
        <f t="shared" si="49"/>
        <v>#DIV/0!</v>
      </c>
      <c r="S21" s="128"/>
      <c r="T21" s="358" t="e">
        <f t="shared" ref="T21:T23" si="50">MAX(AC24,AD24,AE24,AF24)-MIN(AC24,AD24,AE24,AF24)</f>
        <v>#DIV/0!</v>
      </c>
      <c r="U21" s="123"/>
      <c r="V21" s="91"/>
      <c r="W21" s="91"/>
      <c r="X21" s="91"/>
      <c r="Y21" s="91"/>
      <c r="Z21" s="91"/>
      <c r="AA21" s="307"/>
      <c r="AB21" s="155"/>
      <c r="AC21" s="155"/>
      <c r="AD21" s="155"/>
      <c r="AE21" s="155"/>
      <c r="AF21" s="155"/>
      <c r="AG21" s="155"/>
      <c r="AH21" s="307"/>
      <c r="AI21" s="528"/>
      <c r="AJ21" s="528"/>
      <c r="AK21" s="529"/>
      <c r="AL21" s="529">
        <f>V45</f>
        <v>0</v>
      </c>
      <c r="AM21" s="530"/>
      <c r="AN21" s="531"/>
      <c r="AO21" s="529"/>
      <c r="AP21" s="529"/>
      <c r="AQ21" s="537"/>
      <c r="AR21" s="103"/>
      <c r="AS21" s="103">
        <f t="shared" si="15"/>
        <v>0</v>
      </c>
      <c r="AT21" s="103"/>
      <c r="AU21" s="103"/>
      <c r="AV21" s="103"/>
      <c r="AW21" s="103"/>
      <c r="AZ21" s="63"/>
      <c r="BA21" s="539">
        <f t="shared" si="13"/>
        <v>0</v>
      </c>
      <c r="BB21" s="632">
        <f t="shared" si="24"/>
        <v>0</v>
      </c>
      <c r="BC21" s="632">
        <f t="shared" si="25"/>
        <v>0</v>
      </c>
      <c r="BD21" s="632">
        <f t="shared" si="26"/>
        <v>0</v>
      </c>
      <c r="BE21" s="632">
        <f t="shared" si="27"/>
        <v>0</v>
      </c>
      <c r="BF21" s="632">
        <f t="shared" si="28"/>
        <v>0</v>
      </c>
      <c r="BG21" s="632">
        <f t="shared" si="29"/>
        <v>0</v>
      </c>
      <c r="BH21" s="632">
        <f t="shared" si="30"/>
        <v>0</v>
      </c>
      <c r="BI21" s="632">
        <f t="shared" si="31"/>
        <v>0</v>
      </c>
      <c r="BJ21" s="632">
        <f t="shared" si="32"/>
        <v>0</v>
      </c>
      <c r="BK21" s="632">
        <f t="shared" si="33"/>
        <v>0</v>
      </c>
      <c r="BL21" s="632">
        <f t="shared" si="34"/>
        <v>0</v>
      </c>
      <c r="BM21" s="632">
        <f t="shared" si="35"/>
        <v>0</v>
      </c>
      <c r="BN21" s="632">
        <f t="shared" si="36"/>
        <v>0</v>
      </c>
      <c r="BO21" s="632">
        <f t="shared" si="37"/>
        <v>0</v>
      </c>
      <c r="BP21" s="632">
        <f t="shared" si="38"/>
        <v>0</v>
      </c>
      <c r="BQ21" s="632">
        <f t="shared" si="39"/>
        <v>0</v>
      </c>
      <c r="BR21" s="62"/>
      <c r="BS21" s="270">
        <f t="shared" si="0"/>
        <v>0</v>
      </c>
      <c r="BT21" s="77">
        <f t="shared" si="1"/>
        <v>0</v>
      </c>
      <c r="BU21" s="77">
        <f>初期!I162*0.5</f>
        <v>0</v>
      </c>
      <c r="BV21" s="544" t="e">
        <f>AVERAGE(BT46:CI46)*初始化表!B$31</f>
        <v>#DIV/0!</v>
      </c>
      <c r="BW21" s="544" t="e">
        <f>$BT21*(AL123-BW$25)/BW$26*初始化表!B$30</f>
        <v>#DIV/0!</v>
      </c>
      <c r="BX21" s="544" t="e">
        <f>$BT21*(AM123-BX$25)/BX$26*初始化表!B$33</f>
        <v>#DIV/0!</v>
      </c>
      <c r="BY21" s="544" t="e">
        <f>$BT21*(AN123-BY$25)/BY$26*初始化表!B$32</f>
        <v>#DIV/0!</v>
      </c>
      <c r="BZ21" s="544" t="e">
        <f>$BT21*(AP123-BZ$25)/BZ$26*初始化表!B$34</f>
        <v>#DIV/0!</v>
      </c>
      <c r="CA21" s="544" t="e">
        <f>$BT$5*(AW123-CA$25)/CA$26*初始化表!B$36</f>
        <v>#DIV/0!</v>
      </c>
      <c r="CB21" s="544" t="e">
        <f t="shared" si="4"/>
        <v>#DIV/0!</v>
      </c>
      <c r="CC21" s="77">
        <f t="shared" si="5"/>
        <v>0</v>
      </c>
      <c r="CD21" s="92" t="e">
        <f t="shared" si="6"/>
        <v>#DIV/0!</v>
      </c>
      <c r="CE21" s="92">
        <f t="shared" si="7"/>
        <v>0</v>
      </c>
      <c r="CF21" s="92">
        <f t="shared" si="8"/>
        <v>0</v>
      </c>
      <c r="CG21" s="453"/>
      <c r="CH21" s="453"/>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c r="DP21" s="228"/>
      <c r="DQ21" s="228"/>
    </row>
    <row r="22" s="543" customFormat="1" ht="16" customHeight="1" spans="1:121">
      <c r="A22" s="270"/>
      <c r="B22" s="261">
        <f>I18</f>
        <v>0</v>
      </c>
      <c r="C22" s="261">
        <f>K18</f>
        <v>0</v>
      </c>
      <c r="D22" s="583">
        <f>R49</f>
        <v>0</v>
      </c>
      <c r="E22" s="583">
        <f>K43</f>
        <v>0</v>
      </c>
      <c r="F22" s="270"/>
      <c r="G22" s="584"/>
      <c r="H22" s="78" t="s">
        <v>560</v>
      </c>
      <c r="I22" s="600" t="e">
        <f>(M25*初始化表!B4+SUM(V5:Z5)-SUM(V11:Y11)-Z17)/Z17</f>
        <v>#DIV/0!</v>
      </c>
      <c r="J22" s="600" t="e">
        <f>(M26*初始化表!B4+SUM(V6:Z6)-SUM(V12:Y12)-Z18)/Z18</f>
        <v>#DIV/0!</v>
      </c>
      <c r="K22" s="600" t="e">
        <f>(M27*初始化表!B4+SUM(V7:Z7)-SUM(V13:Y13)-Z19)/Z19</f>
        <v>#DIV/0!</v>
      </c>
      <c r="L22" s="600" t="e">
        <f>(M28*初始化表!B4+SUM(V8:Z8)-SUM(V14:Y14)-Z20)/Z20</f>
        <v>#DIV/0!</v>
      </c>
      <c r="M22" s="587"/>
      <c r="N22" s="269" t="s">
        <v>206</v>
      </c>
      <c r="O22" s="597" t="e">
        <f t="shared" ref="O22:R22" si="51">O17</f>
        <v>#DIV/0!</v>
      </c>
      <c r="P22" s="597" t="e">
        <f t="shared" si="51"/>
        <v>#DIV/0!</v>
      </c>
      <c r="Q22" s="597" t="e">
        <f t="shared" si="51"/>
        <v>#DIV/0!</v>
      </c>
      <c r="R22" s="597" t="e">
        <f t="shared" si="51"/>
        <v>#DIV/0!</v>
      </c>
      <c r="S22" s="128"/>
      <c r="T22" s="395" t="e">
        <f t="shared" si="50"/>
        <v>#DIV/0!</v>
      </c>
      <c r="U22" s="68" t="s">
        <v>561</v>
      </c>
      <c r="V22" s="68" t="s">
        <v>459</v>
      </c>
      <c r="W22" s="68" t="s">
        <v>460</v>
      </c>
      <c r="X22" s="68" t="s">
        <v>461</v>
      </c>
      <c r="Y22" s="68" t="s">
        <v>462</v>
      </c>
      <c r="Z22" s="68" t="s">
        <v>276</v>
      </c>
      <c r="AA22" s="307"/>
      <c r="AB22" s="151" t="s">
        <v>562</v>
      </c>
      <c r="AC22" s="151" t="s">
        <v>459</v>
      </c>
      <c r="AD22" s="151" t="s">
        <v>460</v>
      </c>
      <c r="AE22" s="151" t="s">
        <v>461</v>
      </c>
      <c r="AF22" s="151" t="s">
        <v>462</v>
      </c>
      <c r="AG22" s="74"/>
      <c r="AH22" s="307"/>
      <c r="AI22" s="528"/>
      <c r="AJ22" s="528"/>
      <c r="AK22" s="529"/>
      <c r="AL22" s="529">
        <f>W45</f>
        <v>0</v>
      </c>
      <c r="AM22" s="530"/>
      <c r="AN22" s="531"/>
      <c r="AO22" s="529"/>
      <c r="AP22" s="529"/>
      <c r="AQ22" s="537"/>
      <c r="AR22" s="103"/>
      <c r="AS22" s="103">
        <f t="shared" si="15"/>
        <v>0</v>
      </c>
      <c r="AT22" s="103"/>
      <c r="AU22" s="103"/>
      <c r="AV22" s="103"/>
      <c r="AW22" s="103"/>
      <c r="AZ22" s="63"/>
      <c r="BA22" s="539">
        <f t="shared" si="13"/>
        <v>0</v>
      </c>
      <c r="BB22" s="632">
        <f t="shared" si="24"/>
        <v>0</v>
      </c>
      <c r="BC22" s="632">
        <f t="shared" si="25"/>
        <v>0</v>
      </c>
      <c r="BD22" s="632">
        <f t="shared" si="26"/>
        <v>0</v>
      </c>
      <c r="BE22" s="632">
        <f t="shared" si="27"/>
        <v>0</v>
      </c>
      <c r="BF22" s="632">
        <f t="shared" si="28"/>
        <v>0</v>
      </c>
      <c r="BG22" s="632">
        <f t="shared" si="29"/>
        <v>0</v>
      </c>
      <c r="BH22" s="632">
        <f t="shared" si="30"/>
        <v>0</v>
      </c>
      <c r="BI22" s="632">
        <f t="shared" si="31"/>
        <v>0</v>
      </c>
      <c r="BJ22" s="632">
        <f t="shared" si="32"/>
        <v>0</v>
      </c>
      <c r="BK22" s="632">
        <f t="shared" si="33"/>
        <v>0</v>
      </c>
      <c r="BL22" s="632">
        <f t="shared" si="34"/>
        <v>0</v>
      </c>
      <c r="BM22" s="632">
        <f t="shared" si="35"/>
        <v>0</v>
      </c>
      <c r="BN22" s="632">
        <f t="shared" si="36"/>
        <v>0</v>
      </c>
      <c r="BO22" s="632">
        <f t="shared" si="37"/>
        <v>0</v>
      </c>
      <c r="BP22" s="632">
        <f t="shared" si="38"/>
        <v>0</v>
      </c>
      <c r="BQ22" s="632">
        <f t="shared" si="39"/>
        <v>0</v>
      </c>
      <c r="BR22" s="62"/>
      <c r="BS22" s="270">
        <f t="shared" si="0"/>
        <v>0</v>
      </c>
      <c r="BT22" s="77">
        <f t="shared" si="1"/>
        <v>0</v>
      </c>
      <c r="BU22" s="77">
        <f>初期!I163*0.5</f>
        <v>0</v>
      </c>
      <c r="BV22" s="544" t="e">
        <f>AVERAGE(BT47:CI47)*初始化表!B$31</f>
        <v>#DIV/0!</v>
      </c>
      <c r="BW22" s="544" t="e">
        <f>$BT22*(AL124-BW$25)/BW$26*初始化表!B$30</f>
        <v>#DIV/0!</v>
      </c>
      <c r="BX22" s="544" t="e">
        <f>$BT22*(AM124-BX$25)/BX$26*初始化表!B$33</f>
        <v>#DIV/0!</v>
      </c>
      <c r="BY22" s="544" t="e">
        <f>$BT22*(AN124-BY$25)/BY$26*初始化表!B$32</f>
        <v>#DIV/0!</v>
      </c>
      <c r="BZ22" s="544" t="e">
        <f>$BT22*(AP124-BZ$25)/BZ$26*初始化表!B$34</f>
        <v>#DIV/0!</v>
      </c>
      <c r="CA22" s="544" t="e">
        <f>$BT$5*(AW124-CA$25)/CA$26*初始化表!B$36</f>
        <v>#DIV/0!</v>
      </c>
      <c r="CB22" s="544" t="e">
        <f t="shared" si="4"/>
        <v>#DIV/0!</v>
      </c>
      <c r="CC22" s="77">
        <f t="shared" si="5"/>
        <v>0</v>
      </c>
      <c r="CD22" s="92" t="e">
        <f t="shared" si="6"/>
        <v>#DIV/0!</v>
      </c>
      <c r="CE22" s="92">
        <f t="shared" si="7"/>
        <v>0</v>
      </c>
      <c r="CF22" s="92">
        <f t="shared" si="8"/>
        <v>0</v>
      </c>
      <c r="CG22" s="453"/>
      <c r="CH22" s="453"/>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c r="DP22" s="228"/>
      <c r="DQ22" s="228"/>
    </row>
    <row r="23" s="543" customFormat="1" ht="16" customHeight="1" spans="1:121">
      <c r="A23" s="269" t="s">
        <v>308</v>
      </c>
      <c r="B23" s="269" t="s">
        <v>309</v>
      </c>
      <c r="C23" s="269" t="s">
        <v>310</v>
      </c>
      <c r="D23" s="269" t="s">
        <v>311</v>
      </c>
      <c r="E23" s="269" t="s">
        <v>312</v>
      </c>
      <c r="F23" s="269" t="s">
        <v>313</v>
      </c>
      <c r="G23" s="584"/>
      <c r="H23" s="581" t="s">
        <v>298</v>
      </c>
      <c r="I23" s="588"/>
      <c r="J23" s="588"/>
      <c r="K23" s="588"/>
      <c r="L23" s="588"/>
      <c r="M23" s="289" t="s">
        <v>563</v>
      </c>
      <c r="N23" s="269" t="s">
        <v>208</v>
      </c>
      <c r="O23" s="597" t="e">
        <f t="shared" ref="O23:R23" si="52">O18</f>
        <v>#DIV/0!</v>
      </c>
      <c r="P23" s="597" t="e">
        <f t="shared" si="52"/>
        <v>#DIV/0!</v>
      </c>
      <c r="Q23" s="597" t="e">
        <f t="shared" si="52"/>
        <v>#DIV/0!</v>
      </c>
      <c r="R23" s="597" t="e">
        <f t="shared" si="52"/>
        <v>#DIV/0!</v>
      </c>
      <c r="S23" s="128"/>
      <c r="T23" s="395" t="e">
        <f t="shared" si="50"/>
        <v>#DIV/0!</v>
      </c>
      <c r="U23" s="68" t="s">
        <v>464</v>
      </c>
      <c r="V23" s="115">
        <f>初期!B49</f>
        <v>0</v>
      </c>
      <c r="W23" s="115">
        <f>初期!C49</f>
        <v>0</v>
      </c>
      <c r="X23" s="115">
        <f>初期!D49</f>
        <v>0</v>
      </c>
      <c r="Y23" s="115">
        <f>初期!E49</f>
        <v>0</v>
      </c>
      <c r="Z23" s="102">
        <f>初期!F49</f>
        <v>0</v>
      </c>
      <c r="AA23" s="307"/>
      <c r="AB23" s="151" t="s">
        <v>464</v>
      </c>
      <c r="AC23" s="157" t="e">
        <f>AC11/初始化表!$E$17</f>
        <v>#DIV/0!</v>
      </c>
      <c r="AD23" s="157" t="e">
        <f>AD11/初始化表!$E$17</f>
        <v>#DIV/0!</v>
      </c>
      <c r="AE23" s="157" t="e">
        <f>AE11/初始化表!$E$17</f>
        <v>#DIV/0!</v>
      </c>
      <c r="AF23" s="157" t="e">
        <f>AF11/初始化表!$E$17</f>
        <v>#DIV/0!</v>
      </c>
      <c r="AG23" s="74"/>
      <c r="AH23" s="307"/>
      <c r="AI23" s="528"/>
      <c r="AJ23" s="528"/>
      <c r="AK23" s="529"/>
      <c r="AL23" s="529">
        <f>X45</f>
        <v>0</v>
      </c>
      <c r="AM23" s="530"/>
      <c r="AN23" s="531"/>
      <c r="AO23" s="529"/>
      <c r="AP23" s="529"/>
      <c r="AQ23" s="537"/>
      <c r="AR23" s="103"/>
      <c r="AS23" s="103">
        <f t="shared" si="15"/>
        <v>0</v>
      </c>
      <c r="AT23" s="103"/>
      <c r="AU23" s="103"/>
      <c r="AV23" s="103"/>
      <c r="AW23" s="103"/>
      <c r="AZ23" s="63"/>
      <c r="BA23" s="539">
        <f t="shared" si="13"/>
        <v>0</v>
      </c>
      <c r="BB23" s="632">
        <f t="shared" ref="BB23:BP26" si="53">IF($BA23="","",INT(BB$28*AJ77))</f>
        <v>0</v>
      </c>
      <c r="BC23" s="632">
        <f t="shared" si="53"/>
        <v>0</v>
      </c>
      <c r="BD23" s="632">
        <f t="shared" si="53"/>
        <v>0</v>
      </c>
      <c r="BE23" s="632">
        <f t="shared" si="53"/>
        <v>0</v>
      </c>
      <c r="BF23" s="632">
        <f t="shared" si="53"/>
        <v>0</v>
      </c>
      <c r="BG23" s="632">
        <f t="shared" si="53"/>
        <v>0</v>
      </c>
      <c r="BH23" s="632">
        <f t="shared" si="53"/>
        <v>0</v>
      </c>
      <c r="BI23" s="632">
        <f t="shared" si="53"/>
        <v>0</v>
      </c>
      <c r="BJ23" s="632">
        <f t="shared" si="53"/>
        <v>0</v>
      </c>
      <c r="BK23" s="632">
        <f t="shared" si="53"/>
        <v>0</v>
      </c>
      <c r="BL23" s="632">
        <f t="shared" si="53"/>
        <v>0</v>
      </c>
      <c r="BM23" s="632">
        <f t="shared" si="53"/>
        <v>0</v>
      </c>
      <c r="BN23" s="632">
        <f t="shared" si="53"/>
        <v>0</v>
      </c>
      <c r="BO23" s="632">
        <f t="shared" si="53"/>
        <v>0</v>
      </c>
      <c r="BP23" s="632">
        <f t="shared" si="53"/>
        <v>0</v>
      </c>
      <c r="BQ23" s="632">
        <f t="shared" si="39"/>
        <v>0</v>
      </c>
      <c r="BR23" s="62"/>
      <c r="BS23" s="270">
        <f t="shared" si="0"/>
        <v>0</v>
      </c>
      <c r="BT23" s="77">
        <f t="shared" si="1"/>
        <v>0</v>
      </c>
      <c r="BU23" s="77">
        <f>初期!I164*0.5</f>
        <v>0</v>
      </c>
      <c r="BV23" s="544" t="e">
        <f>AVERAGE(BT48:CI48)*初始化表!B$31</f>
        <v>#DIV/0!</v>
      </c>
      <c r="BW23" s="544" t="e">
        <f>$BT23*(AL125-BW$25)/BW$26*初始化表!B$30</f>
        <v>#DIV/0!</v>
      </c>
      <c r="BX23" s="544" t="e">
        <f>$BT23*(AM125-BX$25)/BX$26*初始化表!B$33</f>
        <v>#DIV/0!</v>
      </c>
      <c r="BY23" s="544" t="e">
        <f>$BT23*(AN125-BY$25)/BY$26*初始化表!B$32</f>
        <v>#DIV/0!</v>
      </c>
      <c r="BZ23" s="544" t="e">
        <f>$BT23*(AP125-BZ$25)/BZ$26*初始化表!B$34</f>
        <v>#DIV/0!</v>
      </c>
      <c r="CA23" s="544" t="e">
        <f>$BT$5*(AW125-CA$25)/CA$26*初始化表!B$36</f>
        <v>#DIV/0!</v>
      </c>
      <c r="CB23" s="544" t="e">
        <f t="shared" si="4"/>
        <v>#DIV/0!</v>
      </c>
      <c r="CC23" s="77">
        <f t="shared" si="5"/>
        <v>0</v>
      </c>
      <c r="CD23" s="92" t="e">
        <f t="shared" si="6"/>
        <v>#DIV/0!</v>
      </c>
      <c r="CE23" s="92">
        <f t="shared" si="7"/>
        <v>0</v>
      </c>
      <c r="CF23" s="92">
        <f t="shared" si="8"/>
        <v>0</v>
      </c>
      <c r="CG23" s="453"/>
      <c r="CH23" s="453"/>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c r="DP23" s="228"/>
      <c r="DQ23" s="228"/>
    </row>
    <row r="24" s="543" customFormat="1" ht="16" customHeight="1" spans="1:121">
      <c r="A24" s="270"/>
      <c r="B24" s="583">
        <f>Q33</f>
        <v>0</v>
      </c>
      <c r="C24" s="583">
        <f>R35</f>
        <v>0</v>
      </c>
      <c r="D24" s="583">
        <f>O37</f>
        <v>0</v>
      </c>
      <c r="E24" s="583" t="e">
        <f>-C63</f>
        <v>#DIV/0!</v>
      </c>
      <c r="F24" s="261">
        <f>R45</f>
        <v>1</v>
      </c>
      <c r="G24" s="584"/>
      <c r="H24" s="270"/>
      <c r="I24" s="269" t="s">
        <v>103</v>
      </c>
      <c r="J24" s="269" t="s">
        <v>299</v>
      </c>
      <c r="K24" s="269" t="s">
        <v>104</v>
      </c>
      <c r="L24" s="269" t="s">
        <v>300</v>
      </c>
      <c r="M24" s="289"/>
      <c r="N24" s="269" t="s">
        <v>564</v>
      </c>
      <c r="O24" s="269" t="s">
        <v>565</v>
      </c>
      <c r="P24" s="269" t="s">
        <v>566</v>
      </c>
      <c r="Q24" s="269" t="s">
        <v>567</v>
      </c>
      <c r="R24" s="269" t="s">
        <v>568</v>
      </c>
      <c r="S24" s="614"/>
      <c r="T24" s="613"/>
      <c r="U24" s="68" t="s">
        <v>465</v>
      </c>
      <c r="V24" s="115">
        <f>初期!B50</f>
        <v>0</v>
      </c>
      <c r="W24" s="115">
        <f>初期!C50</f>
        <v>0</v>
      </c>
      <c r="X24" s="115">
        <f>初期!D50</f>
        <v>0</v>
      </c>
      <c r="Y24" s="115">
        <f>初期!E50</f>
        <v>0</v>
      </c>
      <c r="Z24" s="102">
        <f>初期!F50</f>
        <v>0</v>
      </c>
      <c r="AA24" s="307"/>
      <c r="AB24" s="151" t="s">
        <v>465</v>
      </c>
      <c r="AC24" s="157" t="e">
        <f>AC12/初始化表!$F$17</f>
        <v>#DIV/0!</v>
      </c>
      <c r="AD24" s="157" t="e">
        <f>AD12/初始化表!$F$17</f>
        <v>#DIV/0!</v>
      </c>
      <c r="AE24" s="157" t="e">
        <f>AE12/初始化表!$F$17</f>
        <v>#DIV/0!</v>
      </c>
      <c r="AF24" s="157" t="e">
        <f>AF12/初始化表!$F$17</f>
        <v>#DIV/0!</v>
      </c>
      <c r="AG24" s="74"/>
      <c r="AH24" s="307"/>
      <c r="AI24" s="528"/>
      <c r="AJ24" s="528"/>
      <c r="AK24" s="529"/>
      <c r="AL24" s="529">
        <f>Y45</f>
        <v>0</v>
      </c>
      <c r="AM24" s="530"/>
      <c r="AN24" s="531"/>
      <c r="AO24" s="529"/>
      <c r="AP24" s="529"/>
      <c r="AQ24" s="537"/>
      <c r="AR24" s="103">
        <f>SUM(AL21:AL24)</f>
        <v>0</v>
      </c>
      <c r="AS24" s="103">
        <f t="shared" si="15"/>
        <v>0</v>
      </c>
      <c r="AT24" s="103">
        <f>SUMIF(AS21:AS24,"&gt;=0",AS21:AS24)</f>
        <v>0</v>
      </c>
      <c r="AU24" s="103">
        <f>SUM(AO21:AO24)</f>
        <v>0</v>
      </c>
      <c r="AV24" s="103">
        <f>SUM(AP21:AP24)</f>
        <v>0</v>
      </c>
      <c r="AW24" s="103">
        <f>SUM(AQ21:AQ24)</f>
        <v>0</v>
      </c>
      <c r="AZ24" s="63"/>
      <c r="BA24" s="539">
        <f t="shared" si="13"/>
        <v>0</v>
      </c>
      <c r="BB24" s="632">
        <f t="shared" si="53"/>
        <v>0</v>
      </c>
      <c r="BC24" s="632">
        <f t="shared" si="53"/>
        <v>0</v>
      </c>
      <c r="BD24" s="632">
        <f t="shared" si="53"/>
        <v>0</v>
      </c>
      <c r="BE24" s="632">
        <f t="shared" si="53"/>
        <v>0</v>
      </c>
      <c r="BF24" s="632">
        <f t="shared" si="53"/>
        <v>0</v>
      </c>
      <c r="BG24" s="632">
        <f t="shared" si="53"/>
        <v>0</v>
      </c>
      <c r="BH24" s="632">
        <f t="shared" si="53"/>
        <v>0</v>
      </c>
      <c r="BI24" s="632">
        <f t="shared" si="53"/>
        <v>0</v>
      </c>
      <c r="BJ24" s="632">
        <f t="shared" si="53"/>
        <v>0</v>
      </c>
      <c r="BK24" s="632">
        <f t="shared" si="53"/>
        <v>0</v>
      </c>
      <c r="BL24" s="632">
        <f t="shared" si="53"/>
        <v>0</v>
      </c>
      <c r="BM24" s="632">
        <f t="shared" si="53"/>
        <v>0</v>
      </c>
      <c r="BN24" s="632">
        <f t="shared" si="53"/>
        <v>0</v>
      </c>
      <c r="BO24" s="632">
        <f t="shared" si="53"/>
        <v>0</v>
      </c>
      <c r="BP24" s="632">
        <f t="shared" si="53"/>
        <v>0</v>
      </c>
      <c r="BQ24" s="632">
        <f t="shared" si="39"/>
        <v>0</v>
      </c>
      <c r="BR24" s="62"/>
      <c r="BS24" s="270">
        <f t="shared" si="0"/>
        <v>0</v>
      </c>
      <c r="BT24" s="77">
        <f t="shared" si="1"/>
        <v>0</v>
      </c>
      <c r="BU24" s="77">
        <f>初期!I165*0.5</f>
        <v>0</v>
      </c>
      <c r="BV24" s="544" t="e">
        <f>AVERAGE(BT49:CI49)*初始化表!B$31</f>
        <v>#DIV/0!</v>
      </c>
      <c r="BW24" s="544" t="e">
        <f>$BT24*(AL126-BW$25)/BW$26*初始化表!B$30</f>
        <v>#DIV/0!</v>
      </c>
      <c r="BX24" s="544" t="e">
        <f>$BT24*(AM126-BX$25)/BX$26*初始化表!B$33</f>
        <v>#DIV/0!</v>
      </c>
      <c r="BY24" s="544" t="e">
        <f>$BT24*(AN126-BY$25)/BY$26*初始化表!B$32</f>
        <v>#DIV/0!</v>
      </c>
      <c r="BZ24" s="544" t="e">
        <f>$BT24*(AP126-BZ$25)/BZ$26*初始化表!B$34</f>
        <v>#DIV/0!</v>
      </c>
      <c r="CA24" s="544" t="e">
        <f>$BT$5*(AW126-CA$25)/CA$26*初始化表!B$36</f>
        <v>#DIV/0!</v>
      </c>
      <c r="CB24" s="544" t="e">
        <f t="shared" si="4"/>
        <v>#DIV/0!</v>
      </c>
      <c r="CC24" s="77">
        <f t="shared" si="5"/>
        <v>0</v>
      </c>
      <c r="CD24" s="92" t="e">
        <f t="shared" si="6"/>
        <v>#DIV/0!</v>
      </c>
      <c r="CE24" s="92">
        <f t="shared" si="7"/>
        <v>0</v>
      </c>
      <c r="CF24" s="92">
        <f t="shared" si="8"/>
        <v>0</v>
      </c>
      <c r="CG24" s="453"/>
      <c r="CH24" s="453"/>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c r="DP24" s="228"/>
      <c r="DQ24" s="228"/>
    </row>
    <row r="25" s="543" customFormat="1" ht="16" customHeight="1" spans="1:121">
      <c r="A25" s="91"/>
      <c r="B25" s="91"/>
      <c r="C25" s="91"/>
      <c r="D25" s="91"/>
      <c r="E25" s="91"/>
      <c r="F25" s="91"/>
      <c r="G25" s="584"/>
      <c r="H25" s="269" t="s">
        <v>521</v>
      </c>
      <c r="I25" s="601"/>
      <c r="J25" s="280"/>
      <c r="K25" s="601"/>
      <c r="L25" s="601"/>
      <c r="M25" s="98">
        <f>I25+J25+K25+L25</f>
        <v>0</v>
      </c>
      <c r="N25" s="269" t="s">
        <v>276</v>
      </c>
      <c r="O25" s="83" t="e">
        <f>INT(SUMPRODUCT(V42:Y42,B6:E6)*O6/1000+0.5)*1000</f>
        <v>#DIV/0!</v>
      </c>
      <c r="P25" s="83" t="e">
        <f>INT(SUMPRODUCT(V43:Y43,B7:E7)*P6/1000+0.5)*1000</f>
        <v>#DIV/0!</v>
      </c>
      <c r="Q25" s="83" t="e">
        <f>INT(SUMPRODUCT(V44:Y44,B8:E8)*Q6/1000+0.5)*1000</f>
        <v>#DIV/0!</v>
      </c>
      <c r="R25" s="83" t="e">
        <f>INT(SUMPRODUCT(V45:Y45,B9:E9)*R6/1000+0.5)*1000</f>
        <v>#DIV/0!</v>
      </c>
      <c r="S25" s="132"/>
      <c r="T25" s="613"/>
      <c r="U25" s="68" t="s">
        <v>466</v>
      </c>
      <c r="V25" s="115">
        <f>初期!B51</f>
        <v>0</v>
      </c>
      <c r="W25" s="115">
        <f>初期!C51</f>
        <v>0</v>
      </c>
      <c r="X25" s="115">
        <f>初期!D51</f>
        <v>0</v>
      </c>
      <c r="Y25" s="115">
        <f>初期!E51</f>
        <v>0</v>
      </c>
      <c r="Z25" s="102">
        <f>初期!F51</f>
        <v>0</v>
      </c>
      <c r="AA25" s="307"/>
      <c r="AB25" s="151" t="s">
        <v>466</v>
      </c>
      <c r="AC25" s="157" t="e">
        <f>AC13/初始化表!$G$17</f>
        <v>#DIV/0!</v>
      </c>
      <c r="AD25" s="157" t="e">
        <f>AD13/初始化表!$G$17</f>
        <v>#DIV/0!</v>
      </c>
      <c r="AE25" s="157" t="e">
        <f>AE13/初始化表!$G$17</f>
        <v>#DIV/0!</v>
      </c>
      <c r="AF25" s="157" t="e">
        <f>AF13/初始化表!$G$17</f>
        <v>#DIV/0!</v>
      </c>
      <c r="AG25" s="74"/>
      <c r="AH25" s="307"/>
      <c r="AI25" s="629"/>
      <c r="AJ25" s="629"/>
      <c r="AK25" s="629"/>
      <c r="AL25" s="629"/>
      <c r="AM25" s="629"/>
      <c r="AN25" s="629"/>
      <c r="AO25" s="370"/>
      <c r="AP25" s="370"/>
      <c r="AQ25" s="371"/>
      <c r="AR25" s="103"/>
      <c r="AS25" s="103"/>
      <c r="AT25" s="103"/>
      <c r="AU25" s="189">
        <f>(AU12*初始化表!E17+AU16*初始化表!F17+AU20*初始化表!G17+AU24*初始化表!H17)/1300</f>
        <v>0</v>
      </c>
      <c r="AV25" s="189">
        <f>(AV12*初始化表!E17+AV16*初始化表!F17+AV20*初始化表!G17+AV24*初始化表!H17)/1300</f>
        <v>0</v>
      </c>
      <c r="AW25" s="189">
        <f>(AW12*初始化表!E17+AW16*初始化表!F17+AW20*初始化表!G17+AW24*初始化表!H17)/1300</f>
        <v>0</v>
      </c>
      <c r="AZ25" s="63"/>
      <c r="BA25" s="539">
        <f t="shared" si="13"/>
        <v>0</v>
      </c>
      <c r="BB25" s="632">
        <f t="shared" si="53"/>
        <v>0</v>
      </c>
      <c r="BC25" s="632">
        <f t="shared" si="53"/>
        <v>0</v>
      </c>
      <c r="BD25" s="632">
        <f t="shared" si="53"/>
        <v>0</v>
      </c>
      <c r="BE25" s="632">
        <f t="shared" si="53"/>
        <v>0</v>
      </c>
      <c r="BF25" s="632">
        <f t="shared" si="53"/>
        <v>0</v>
      </c>
      <c r="BG25" s="632">
        <f t="shared" si="53"/>
        <v>0</v>
      </c>
      <c r="BH25" s="632">
        <f t="shared" si="53"/>
        <v>0</v>
      </c>
      <c r="BI25" s="632">
        <f t="shared" si="53"/>
        <v>0</v>
      </c>
      <c r="BJ25" s="632">
        <f t="shared" si="53"/>
        <v>0</v>
      </c>
      <c r="BK25" s="632">
        <f t="shared" si="53"/>
        <v>0</v>
      </c>
      <c r="BL25" s="632">
        <f t="shared" si="53"/>
        <v>0</v>
      </c>
      <c r="BM25" s="632">
        <f t="shared" si="53"/>
        <v>0</v>
      </c>
      <c r="BN25" s="632">
        <f t="shared" si="53"/>
        <v>0</v>
      </c>
      <c r="BO25" s="632">
        <f t="shared" si="53"/>
        <v>0</v>
      </c>
      <c r="BP25" s="632">
        <f t="shared" si="53"/>
        <v>0</v>
      </c>
      <c r="BQ25" s="632">
        <f t="shared" si="39"/>
        <v>0</v>
      </c>
      <c r="BR25" s="62"/>
      <c r="BS25" s="269" t="s">
        <v>569</v>
      </c>
      <c r="BT25" s="327"/>
      <c r="BU25" s="327"/>
      <c r="BV25" s="327"/>
      <c r="BW25" s="77" t="e">
        <f>SUM(AL107:AL126)/初始化表!$B5</f>
        <v>#DIV/0!</v>
      </c>
      <c r="BX25" s="77" t="e">
        <f>SUM(AM107:AM126)/初始化表!$B5</f>
        <v>#DIV/0!</v>
      </c>
      <c r="BY25" s="77" t="e">
        <f>SUM(AN107:AN126)/初始化表!$B5</f>
        <v>#DIV/0!</v>
      </c>
      <c r="BZ25" s="77" t="e">
        <f>SUM(AP107:AP126)/初始化表!$B5</f>
        <v>#DIV/0!</v>
      </c>
      <c r="CA25" s="77" t="e">
        <f>SUM(AW107:AW126)/初始化表!$B5</f>
        <v>#DIV/0!</v>
      </c>
      <c r="CB25" s="327"/>
      <c r="CC25" s="327"/>
      <c r="CD25" s="327"/>
      <c r="CE25" s="327"/>
      <c r="CF25" s="327"/>
      <c r="CG25" s="61"/>
      <c r="CH25" s="61"/>
      <c r="CI25" s="61"/>
      <c r="CJ25" s="453"/>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row>
    <row r="26" s="543" customFormat="1" ht="16" customHeight="1" spans="1:121">
      <c r="A26" s="269" t="s">
        <v>422</v>
      </c>
      <c r="B26" s="270"/>
      <c r="C26" s="270"/>
      <c r="D26" s="270"/>
      <c r="E26" s="270"/>
      <c r="F26" s="270"/>
      <c r="G26" s="307"/>
      <c r="H26" s="269" t="s">
        <v>522</v>
      </c>
      <c r="I26" s="601"/>
      <c r="J26" s="601"/>
      <c r="K26" s="280"/>
      <c r="L26" s="601"/>
      <c r="M26" s="98">
        <f t="shared" ref="M26:M28" si="54">I26+J26+K26+L26</f>
        <v>0</v>
      </c>
      <c r="N26" s="269" t="s">
        <v>280</v>
      </c>
      <c r="O26" s="83" t="e">
        <f>INT(SUMPRODUCT(V42:V45,B6:B9)*O8/1000+0.5)*1000</f>
        <v>#DIV/0!</v>
      </c>
      <c r="P26" s="83" t="e">
        <f>INT(SUMPRODUCT(W42:W45,C6:C9)*P8/1000+0.5)*1000</f>
        <v>#DIV/0!</v>
      </c>
      <c r="Q26" s="83" t="e">
        <f>INT(SUMPRODUCT(X42:X45,D6:D9)*Q8/1000+0.5)*1000</f>
        <v>#DIV/0!</v>
      </c>
      <c r="R26" s="83" t="e">
        <f>INT(SUMPRODUCT(Y42:Y45,E6:E9)*R8/1000+0.5)*1000</f>
        <v>#DIV/0!</v>
      </c>
      <c r="S26" s="132"/>
      <c r="T26" s="613"/>
      <c r="U26" s="68" t="s">
        <v>468</v>
      </c>
      <c r="V26" s="115">
        <f>初期!B52</f>
        <v>0</v>
      </c>
      <c r="W26" s="115">
        <f>初期!C52</f>
        <v>0</v>
      </c>
      <c r="X26" s="115">
        <f>初期!D52</f>
        <v>0</v>
      </c>
      <c r="Y26" s="115">
        <f>初期!E52</f>
        <v>0</v>
      </c>
      <c r="Z26" s="102">
        <f>初期!F52</f>
        <v>0</v>
      </c>
      <c r="AA26" s="307"/>
      <c r="AB26" s="151" t="s">
        <v>468</v>
      </c>
      <c r="AC26" s="157" t="e">
        <f>AC14/初始化表!$H$17</f>
        <v>#DIV/0!</v>
      </c>
      <c r="AD26" s="157" t="e">
        <f>AD14/初始化表!$H$17</f>
        <v>#DIV/0!</v>
      </c>
      <c r="AE26" s="157" t="e">
        <f>AE14/初始化表!$H$17</f>
        <v>#DIV/0!</v>
      </c>
      <c r="AF26" s="157" t="e">
        <f>AF14/初始化表!$H$17</f>
        <v>#DIV/0!</v>
      </c>
      <c r="AG26" s="74"/>
      <c r="AH26" s="307"/>
      <c r="AI26" s="528"/>
      <c r="AJ26" s="529">
        <f>I56</f>
        <v>0</v>
      </c>
      <c r="AK26" s="533"/>
      <c r="AL26" s="533"/>
      <c r="AM26" s="529"/>
      <c r="AN26" s="534">
        <f>O43</f>
        <v>0.95</v>
      </c>
      <c r="AO26" s="370"/>
      <c r="AP26" s="370"/>
      <c r="AQ26" s="371"/>
      <c r="AR26" s="103"/>
      <c r="AS26" s="190" t="s">
        <v>449</v>
      </c>
      <c r="AT26" s="189">
        <f>(SUM(AM9:AM12)*初始化表!E17+SUM(AM13:AM16)*初始化表!F17+SUM(AM17:AM20)*初始化表!G17+SUM(AM21:AM24)*初始化表!H17)/1300</f>
        <v>0</v>
      </c>
      <c r="AU26" s="103"/>
      <c r="AV26" s="103"/>
      <c r="AW26" s="103"/>
      <c r="AZ26" s="63"/>
      <c r="BA26" s="539">
        <f t="shared" si="13"/>
        <v>0</v>
      </c>
      <c r="BB26" s="632">
        <f t="shared" si="53"/>
        <v>0</v>
      </c>
      <c r="BC26" s="632">
        <f t="shared" si="53"/>
        <v>0</v>
      </c>
      <c r="BD26" s="632">
        <f t="shared" si="53"/>
        <v>0</v>
      </c>
      <c r="BE26" s="632">
        <f t="shared" si="53"/>
        <v>0</v>
      </c>
      <c r="BF26" s="632">
        <f t="shared" si="53"/>
        <v>0</v>
      </c>
      <c r="BG26" s="632">
        <f t="shared" si="53"/>
        <v>0</v>
      </c>
      <c r="BH26" s="632">
        <f t="shared" si="53"/>
        <v>0</v>
      </c>
      <c r="BI26" s="632">
        <f t="shared" si="53"/>
        <v>0</v>
      </c>
      <c r="BJ26" s="632">
        <f t="shared" si="53"/>
        <v>0</v>
      </c>
      <c r="BK26" s="632">
        <f t="shared" si="53"/>
        <v>0</v>
      </c>
      <c r="BL26" s="632">
        <f t="shared" si="53"/>
        <v>0</v>
      </c>
      <c r="BM26" s="632">
        <f t="shared" si="53"/>
        <v>0</v>
      </c>
      <c r="BN26" s="632">
        <f t="shared" si="53"/>
        <v>0</v>
      </c>
      <c r="BO26" s="632">
        <f t="shared" si="53"/>
        <v>0</v>
      </c>
      <c r="BP26" s="632">
        <f t="shared" si="53"/>
        <v>0</v>
      </c>
      <c r="BQ26" s="632">
        <f t="shared" si="39"/>
        <v>0</v>
      </c>
      <c r="BR26" s="62"/>
      <c r="BS26" s="269" t="s">
        <v>570</v>
      </c>
      <c r="BT26" s="327"/>
      <c r="BU26" s="327"/>
      <c r="BV26" s="327"/>
      <c r="BW26" s="323" t="e">
        <f>STDEV.P(AL107:AL126)</f>
        <v>#DIV/0!</v>
      </c>
      <c r="BX26" s="323" t="e">
        <f>STDEV.P(AM107:AM126)</f>
        <v>#DIV/0!</v>
      </c>
      <c r="BY26" s="323" t="e">
        <f>STDEV.P(AN107:AN126)</f>
        <v>#DIV/0!</v>
      </c>
      <c r="BZ26" s="323" t="e">
        <f>STDEV.P(AP107:AP126)</f>
        <v>#DIV/0!</v>
      </c>
      <c r="CA26" s="324" t="e">
        <f>STDEV.P(AW107:AW126)</f>
        <v>#DIV/0!</v>
      </c>
      <c r="CB26" s="327"/>
      <c r="CC26" s="327"/>
      <c r="CD26" s="327"/>
      <c r="CE26" s="327"/>
      <c r="CF26" s="327"/>
      <c r="CG26" s="61"/>
      <c r="CH26" s="61"/>
      <c r="CI26" s="61"/>
      <c r="CJ26" s="453"/>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row>
    <row r="27" s="543" customFormat="1" ht="16" customHeight="1" spans="1:121">
      <c r="A27" s="269" t="s">
        <v>571</v>
      </c>
      <c r="B27" s="270"/>
      <c r="C27" s="269" t="s">
        <v>572</v>
      </c>
      <c r="D27" s="269" t="s">
        <v>573</v>
      </c>
      <c r="E27" s="269" t="s">
        <v>574</v>
      </c>
      <c r="F27" s="269" t="s">
        <v>575</v>
      </c>
      <c r="G27" s="307"/>
      <c r="H27" s="269" t="s">
        <v>523</v>
      </c>
      <c r="I27" s="280"/>
      <c r="J27" s="601"/>
      <c r="K27" s="601"/>
      <c r="L27" s="601"/>
      <c r="M27" s="98">
        <f t="shared" si="54"/>
        <v>0</v>
      </c>
      <c r="N27" s="269" t="s">
        <v>576</v>
      </c>
      <c r="O27" s="269" t="s">
        <v>565</v>
      </c>
      <c r="P27" s="269" t="s">
        <v>566</v>
      </c>
      <c r="Q27" s="269" t="s">
        <v>567</v>
      </c>
      <c r="R27" s="269" t="s">
        <v>568</v>
      </c>
      <c r="S27" s="614"/>
      <c r="T27" s="613"/>
      <c r="U27" s="68" t="s">
        <v>280</v>
      </c>
      <c r="V27" s="102">
        <f>初期!B53</f>
        <v>0</v>
      </c>
      <c r="W27" s="102">
        <f>初期!C53</f>
        <v>0</v>
      </c>
      <c r="X27" s="102">
        <f>初期!D53</f>
        <v>0</v>
      </c>
      <c r="Y27" s="102">
        <f>初期!E53</f>
        <v>0</v>
      </c>
      <c r="Z27" s="115"/>
      <c r="AA27" s="307"/>
      <c r="AB27" s="155"/>
      <c r="AC27" s="155"/>
      <c r="AD27" s="155"/>
      <c r="AE27" s="155"/>
      <c r="AF27" s="155"/>
      <c r="AG27" s="155"/>
      <c r="AH27" s="307"/>
      <c r="AI27" s="528"/>
      <c r="AJ27" s="529">
        <f>J56</f>
        <v>0</v>
      </c>
      <c r="AK27" s="533"/>
      <c r="AL27" s="533"/>
      <c r="AM27" s="529"/>
      <c r="AN27" s="534">
        <f>P43</f>
        <v>0.95</v>
      </c>
      <c r="AO27" s="370"/>
      <c r="AP27" s="370"/>
      <c r="AQ27" s="371"/>
      <c r="AR27" s="103"/>
      <c r="AS27" s="190" t="s">
        <v>453</v>
      </c>
      <c r="AT27" s="189">
        <f>(AR12*初始化表!E17+AR16*初始化表!F17+AR20*初始化表!G17+AR24*初始化表!H17)/1300</f>
        <v>0</v>
      </c>
      <c r="AU27" s="103"/>
      <c r="AV27" s="103"/>
      <c r="AW27" s="103"/>
      <c r="AZ27" s="63"/>
      <c r="BA27" s="269" t="s">
        <v>577</v>
      </c>
      <c r="BB27" s="634">
        <f t="shared" ref="BB27:BQ27" si="55">INT(SUMPRODUCT(AJ37:AJ56,AJ61:AJ80))</f>
        <v>0</v>
      </c>
      <c r="BC27" s="634">
        <f t="shared" si="55"/>
        <v>0</v>
      </c>
      <c r="BD27" s="634">
        <f t="shared" si="55"/>
        <v>0</v>
      </c>
      <c r="BE27" s="634">
        <f t="shared" si="55"/>
        <v>0</v>
      </c>
      <c r="BF27" s="634">
        <f t="shared" si="55"/>
        <v>0</v>
      </c>
      <c r="BG27" s="634">
        <f t="shared" si="55"/>
        <v>0</v>
      </c>
      <c r="BH27" s="634">
        <f t="shared" si="55"/>
        <v>0</v>
      </c>
      <c r="BI27" s="634">
        <f t="shared" si="55"/>
        <v>0</v>
      </c>
      <c r="BJ27" s="634">
        <f t="shared" si="55"/>
        <v>0</v>
      </c>
      <c r="BK27" s="634">
        <f t="shared" si="55"/>
        <v>0</v>
      </c>
      <c r="BL27" s="634">
        <f t="shared" si="55"/>
        <v>0</v>
      </c>
      <c r="BM27" s="634">
        <f t="shared" si="55"/>
        <v>0</v>
      </c>
      <c r="BN27" s="634">
        <f t="shared" si="55"/>
        <v>0</v>
      </c>
      <c r="BO27" s="634">
        <f t="shared" si="55"/>
        <v>0</v>
      </c>
      <c r="BP27" s="634">
        <f t="shared" si="55"/>
        <v>0</v>
      </c>
      <c r="BQ27" s="634">
        <f t="shared" si="55"/>
        <v>0</v>
      </c>
      <c r="BR27" s="62"/>
      <c r="BS27" s="639" t="s">
        <v>578</v>
      </c>
      <c r="BT27" s="639"/>
      <c r="BU27" s="639"/>
      <c r="BV27" s="639"/>
      <c r="BW27" s="640" t="e">
        <f>100000/BW26*初始化表!B30</f>
        <v>#DIV/0!</v>
      </c>
      <c r="BX27" s="640" t="e">
        <f>100000/BX26*初始化表!B33</f>
        <v>#DIV/0!</v>
      </c>
      <c r="BY27" s="640" t="e">
        <f>100000/BY26*初始化表!B32</f>
        <v>#DIV/0!</v>
      </c>
      <c r="BZ27" s="640" t="e">
        <f>100000/BZ26*初始化表!B34</f>
        <v>#DIV/0!</v>
      </c>
      <c r="CA27" s="62"/>
      <c r="CB27" s="62"/>
      <c r="CC27" s="62"/>
      <c r="CD27" s="62"/>
      <c r="CE27" s="62"/>
      <c r="CF27" s="62"/>
      <c r="CG27" s="62"/>
      <c r="CH27" s="62"/>
      <c r="CI27" s="62"/>
      <c r="CJ27" s="453"/>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row>
    <row r="28" s="543" customFormat="1" ht="16" customHeight="1" spans="1:121">
      <c r="A28" s="269" t="s">
        <v>361</v>
      </c>
      <c r="B28" s="270"/>
      <c r="C28" s="586">
        <f>初期!E42</f>
        <v>0</v>
      </c>
      <c r="D28" s="586"/>
      <c r="E28" s="586"/>
      <c r="F28" s="586"/>
      <c r="G28" s="307"/>
      <c r="H28" s="269" t="s">
        <v>524</v>
      </c>
      <c r="I28" s="280"/>
      <c r="J28" s="601"/>
      <c r="K28" s="601"/>
      <c r="L28" s="280"/>
      <c r="M28" s="98">
        <f t="shared" si="54"/>
        <v>0</v>
      </c>
      <c r="N28" s="269" t="s">
        <v>276</v>
      </c>
      <c r="O28" s="597" t="e">
        <f>O25</f>
        <v>#DIV/0!</v>
      </c>
      <c r="P28" s="597" t="e">
        <f t="shared" ref="P28:R29" si="56">P25</f>
        <v>#DIV/0!</v>
      </c>
      <c r="Q28" s="597" t="e">
        <f t="shared" si="56"/>
        <v>#DIV/0!</v>
      </c>
      <c r="R28" s="597" t="e">
        <f t="shared" si="56"/>
        <v>#DIV/0!</v>
      </c>
      <c r="S28" s="132"/>
      <c r="T28" s="613"/>
      <c r="U28" s="123"/>
      <c r="V28" s="91"/>
      <c r="W28" s="91"/>
      <c r="X28" s="91"/>
      <c r="Y28" s="91"/>
      <c r="Z28" s="91"/>
      <c r="AA28" s="307"/>
      <c r="AB28" s="151" t="s">
        <v>579</v>
      </c>
      <c r="AC28" s="151" t="s">
        <v>459</v>
      </c>
      <c r="AD28" s="151" t="s">
        <v>460</v>
      </c>
      <c r="AE28" s="151" t="s">
        <v>461</v>
      </c>
      <c r="AF28" s="151" t="s">
        <v>462</v>
      </c>
      <c r="AG28" s="74"/>
      <c r="AH28" s="307"/>
      <c r="AI28" s="528"/>
      <c r="AJ28" s="529">
        <f>K56</f>
        <v>0</v>
      </c>
      <c r="AK28" s="533"/>
      <c r="AL28" s="533"/>
      <c r="AM28" s="529"/>
      <c r="AN28" s="534">
        <f>Q43</f>
        <v>0.95</v>
      </c>
      <c r="AO28" s="370"/>
      <c r="AP28" s="370"/>
      <c r="AQ28" s="371"/>
      <c r="AR28" s="103"/>
      <c r="AS28" s="190" t="s">
        <v>454</v>
      </c>
      <c r="AT28" s="189">
        <f>(AT12*初始化表!E17+AT16*初始化表!F17+AT20*初始化表!G17+AT24*初始化表!H17)/1300</f>
        <v>0</v>
      </c>
      <c r="AU28" s="103"/>
      <c r="AV28" s="190" t="s">
        <v>580</v>
      </c>
      <c r="AW28" s="189">
        <f>(SUM(I25:L25)*初始化表!E17+SUM(I26:L26)*初始化表!F17+SUM(I27:L27)*初始化表!G17+SUM(I28:L28)*初始化表!H17)/1300</f>
        <v>0</v>
      </c>
      <c r="AZ28" s="63"/>
      <c r="BA28" s="269" t="s">
        <v>581</v>
      </c>
      <c r="BB28" s="635">
        <f>IF(ISERROR(AM9/AN9),0,AM9/AN9)</f>
        <v>0</v>
      </c>
      <c r="BC28" s="635">
        <f>IF(ISERROR($AM$10/$AN$10),0,$AM$10/$AN$10)</f>
        <v>0</v>
      </c>
      <c r="BD28" s="635">
        <f>IF(ISERROR($AM$11/$AN$11),0,$AM$11/$AN$11)</f>
        <v>0</v>
      </c>
      <c r="BE28" s="635">
        <f>IF(ISERROR($AM$12/$AN$12),0,$AM$12/$AN$12)</f>
        <v>0</v>
      </c>
      <c r="BF28" s="635">
        <f>IF(ISERROR($AM$13/$AN$13),0,$AM$13/$AN$13)</f>
        <v>0</v>
      </c>
      <c r="BG28" s="635">
        <f>IF(ISERROR($AM$14/$AN$14),0,$AM$14/$AN$14)</f>
        <v>0</v>
      </c>
      <c r="BH28" s="635">
        <f>IF(ISERROR($AM$15/$AN$15),0,$AM$15/$AN$15)</f>
        <v>0</v>
      </c>
      <c r="BI28" s="635">
        <f>IF(ISERROR($AM$16/$AN$16),0,$AM$16/$AN$16)</f>
        <v>0</v>
      </c>
      <c r="BJ28" s="635">
        <f>IF(ISERROR($AM$17/$AN$17),0,$AM$17/$AN$17)</f>
        <v>0</v>
      </c>
      <c r="BK28" s="635">
        <f>IF(ISERROR($AM$18/$AN$18),0,$AM$18/$AN$18)</f>
        <v>0</v>
      </c>
      <c r="BL28" s="635">
        <f>IF(ISERROR($AM$19/$AN$19),0,$AM$19/$AN$19)</f>
        <v>0</v>
      </c>
      <c r="BM28" s="635">
        <f>IF(ISERROR($AM$20/$AN$20),0,$AM$20/$AN$20)</f>
        <v>0</v>
      </c>
      <c r="BN28" s="635">
        <f>IF(ISERROR($AM$21/$AN$21),0,$AM$21/$AN$21)</f>
        <v>0</v>
      </c>
      <c r="BO28" s="635">
        <f>IF(ISERROR($AM$22/$AN$22),0,$AM$22/$AN$22)</f>
        <v>0</v>
      </c>
      <c r="BP28" s="635">
        <f>IF(ISERROR($AM$23/$AN$23),0,$AM$23/$AN$23)</f>
        <v>0</v>
      </c>
      <c r="BQ28" s="635">
        <f>IF(ISERROR($AM$24/$AN$24),0,$AM$24/$AN$24)</f>
        <v>0</v>
      </c>
      <c r="BR28" s="62"/>
      <c r="BS28" s="269" t="s">
        <v>37</v>
      </c>
      <c r="BT28" s="269" t="s">
        <v>521</v>
      </c>
      <c r="BU28" s="270"/>
      <c r="BV28" s="270"/>
      <c r="BW28" s="270"/>
      <c r="BX28" s="269" t="s">
        <v>522</v>
      </c>
      <c r="BY28" s="270"/>
      <c r="BZ28" s="270"/>
      <c r="CA28" s="270"/>
      <c r="CB28" s="269" t="s">
        <v>523</v>
      </c>
      <c r="CC28" s="270"/>
      <c r="CD28" s="270"/>
      <c r="CE28" s="270"/>
      <c r="CF28" s="269" t="s">
        <v>524</v>
      </c>
      <c r="CG28" s="270"/>
      <c r="CH28" s="270"/>
      <c r="CI28" s="270"/>
      <c r="CJ28" s="453"/>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row>
    <row r="29" s="543" customFormat="1" ht="16" customHeight="1" spans="1:121">
      <c r="A29" s="269" t="s">
        <v>309</v>
      </c>
      <c r="B29" s="270"/>
      <c r="C29" s="261">
        <f>B24</f>
        <v>0</v>
      </c>
      <c r="D29" s="586"/>
      <c r="E29" s="586"/>
      <c r="F29" s="586">
        <f>C28+C29</f>
        <v>0</v>
      </c>
      <c r="G29" s="307"/>
      <c r="H29" s="354" t="s">
        <v>582</v>
      </c>
      <c r="I29" s="81">
        <f>(H17-C22+初始化表!H4*B22)-((B17+D17)*初始化表!E18+(B18+D18)*初始化表!F18+(B19+D19)*初始化表!G18+(B20+D20)*初始化表!H18)/520</f>
        <v>0</v>
      </c>
      <c r="J29" s="354" t="s">
        <v>583</v>
      </c>
      <c r="K29" s="602">
        <f>H43-(SUM(B17:E17)*初始化表!E19+SUM(B18:E18)*初始化表!F19+SUM(B19:E19)*初始化表!G19+SUM(B20:E20)*初始化表!H19)</f>
        <v>0</v>
      </c>
      <c r="L29" s="602"/>
      <c r="M29" s="587"/>
      <c r="N29" s="269" t="s">
        <v>280</v>
      </c>
      <c r="O29" s="597" t="e">
        <f>O26</f>
        <v>#DIV/0!</v>
      </c>
      <c r="P29" s="597" t="e">
        <f t="shared" si="56"/>
        <v>#DIV/0!</v>
      </c>
      <c r="Q29" s="597" t="e">
        <f t="shared" si="56"/>
        <v>#DIV/0!</v>
      </c>
      <c r="R29" s="597" t="e">
        <f t="shared" si="56"/>
        <v>#DIV/0!</v>
      </c>
      <c r="S29" s="132"/>
      <c r="T29" s="613"/>
      <c r="U29" s="68" t="s">
        <v>584</v>
      </c>
      <c r="V29" s="68" t="s">
        <v>459</v>
      </c>
      <c r="W29" s="68" t="s">
        <v>460</v>
      </c>
      <c r="X29" s="68" t="s">
        <v>461</v>
      </c>
      <c r="Y29" s="68" t="s">
        <v>462</v>
      </c>
      <c r="Z29" s="91"/>
      <c r="AA29" s="307"/>
      <c r="AB29" s="151" t="s">
        <v>198</v>
      </c>
      <c r="AC29" s="156" t="e">
        <f t="shared" ref="AC29:AF32" si="57">AC11/AD5</f>
        <v>#DIV/0!</v>
      </c>
      <c r="AD29" s="156" t="e">
        <f t="shared" si="57"/>
        <v>#DIV/0!</v>
      </c>
      <c r="AE29" s="156" t="e">
        <f t="shared" si="57"/>
        <v>#DIV/0!</v>
      </c>
      <c r="AF29" s="156" t="e">
        <f t="shared" si="57"/>
        <v>#DIV/0!</v>
      </c>
      <c r="AG29" s="74"/>
      <c r="AH29" s="307"/>
      <c r="AI29" s="528"/>
      <c r="AJ29" s="529">
        <f>L56</f>
        <v>0</v>
      </c>
      <c r="AK29" s="533"/>
      <c r="AL29" s="533"/>
      <c r="AM29" s="529"/>
      <c r="AN29" s="534">
        <f>R43</f>
        <v>0.95</v>
      </c>
      <c r="AO29" s="370"/>
      <c r="AP29" s="370"/>
      <c r="AQ29" s="371"/>
      <c r="AR29" s="103"/>
      <c r="AS29" s="190" t="s">
        <v>455</v>
      </c>
      <c r="AT29" s="189">
        <f>(SUM(AK9:AK12)*初始化表!E17+SUM(AK13:AK16)*初始化表!F17+SUM(AK17:AK20)*初始化表!G17+SUM(AK21:AK24)*初始化表!H17)/1300</f>
        <v>0</v>
      </c>
      <c r="AU29" s="103"/>
      <c r="AV29" s="190"/>
      <c r="AW29" s="189"/>
      <c r="AZ29" s="63"/>
      <c r="BA29" s="328" t="s">
        <v>585</v>
      </c>
      <c r="BB29" s="546" t="e">
        <f>B6</f>
        <v>#DIV/0!</v>
      </c>
      <c r="BC29" s="546" t="e">
        <f>C6</f>
        <v>#DIV/0!</v>
      </c>
      <c r="BD29" s="546" t="e">
        <f>D6</f>
        <v>#DIV/0!</v>
      </c>
      <c r="BE29" s="546" t="e">
        <f>E6</f>
        <v>#DIV/0!</v>
      </c>
      <c r="BF29" s="546" t="e">
        <f>B7</f>
        <v>#DIV/0!</v>
      </c>
      <c r="BG29" s="546" t="e">
        <f>C7</f>
        <v>#DIV/0!</v>
      </c>
      <c r="BH29" s="546" t="e">
        <f>D7</f>
        <v>#DIV/0!</v>
      </c>
      <c r="BI29" s="546" t="e">
        <f>E7</f>
        <v>#DIV/0!</v>
      </c>
      <c r="BJ29" s="546" t="e">
        <f>B8</f>
        <v>#DIV/0!</v>
      </c>
      <c r="BK29" s="546" t="e">
        <f>C8</f>
        <v>#DIV/0!</v>
      </c>
      <c r="BL29" s="546" t="e">
        <f>D8</f>
        <v>#DIV/0!</v>
      </c>
      <c r="BM29" s="546" t="e">
        <f>E8</f>
        <v>#DIV/0!</v>
      </c>
      <c r="BN29" s="546" t="e">
        <f>B9</f>
        <v>#DIV/0!</v>
      </c>
      <c r="BO29" s="546" t="e">
        <f>C9</f>
        <v>#DIV/0!</v>
      </c>
      <c r="BP29" s="546" t="e">
        <f>D9</f>
        <v>#DIV/0!</v>
      </c>
      <c r="BQ29" s="546" t="e">
        <f>E9</f>
        <v>#DIV/0!</v>
      </c>
      <c r="BR29" s="62"/>
      <c r="BS29" s="270"/>
      <c r="BT29" s="269" t="s">
        <v>513</v>
      </c>
      <c r="BU29" s="269" t="s">
        <v>514</v>
      </c>
      <c r="BV29" s="269" t="s">
        <v>515</v>
      </c>
      <c r="BW29" s="269" t="s">
        <v>516</v>
      </c>
      <c r="BX29" s="269" t="s">
        <v>513</v>
      </c>
      <c r="BY29" s="269" t="s">
        <v>514</v>
      </c>
      <c r="BZ29" s="269" t="s">
        <v>515</v>
      </c>
      <c r="CA29" s="269" t="s">
        <v>516</v>
      </c>
      <c r="CB29" s="269" t="s">
        <v>513</v>
      </c>
      <c r="CC29" s="269" t="s">
        <v>514</v>
      </c>
      <c r="CD29" s="269" t="s">
        <v>515</v>
      </c>
      <c r="CE29" s="269" t="s">
        <v>516</v>
      </c>
      <c r="CF29" s="269" t="s">
        <v>513</v>
      </c>
      <c r="CG29" s="269" t="s">
        <v>514</v>
      </c>
      <c r="CH29" s="269" t="s">
        <v>515</v>
      </c>
      <c r="CI29" s="269" t="s">
        <v>516</v>
      </c>
      <c r="CJ29" s="453"/>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row>
    <row r="30" s="543" customFormat="1" ht="16" customHeight="1" spans="1:121">
      <c r="A30" s="269" t="s">
        <v>362</v>
      </c>
      <c r="B30" s="270"/>
      <c r="C30" s="261">
        <f>C24</f>
        <v>0</v>
      </c>
      <c r="D30" s="586"/>
      <c r="E30" s="586"/>
      <c r="F30" s="586">
        <f t="shared" ref="F30:F38" si="58">F29+C30</f>
        <v>0</v>
      </c>
      <c r="G30" s="307"/>
      <c r="H30" s="354" t="s">
        <v>586</v>
      </c>
      <c r="I30" s="354" t="s">
        <v>587</v>
      </c>
      <c r="J30" s="354" t="s">
        <v>588</v>
      </c>
      <c r="K30" s="354" t="s">
        <v>589</v>
      </c>
      <c r="L30" s="354" t="s">
        <v>590</v>
      </c>
      <c r="M30" s="587"/>
      <c r="N30" s="91"/>
      <c r="O30" s="91"/>
      <c r="P30" s="91"/>
      <c r="Q30" s="91"/>
      <c r="R30" s="91"/>
      <c r="S30" s="91"/>
      <c r="T30" s="613"/>
      <c r="U30" s="68" t="s">
        <v>464</v>
      </c>
      <c r="V30" s="115">
        <f>IF(初期!B193=0,V23,初期!B193)</f>
        <v>0</v>
      </c>
      <c r="W30" s="115">
        <f>IF(初期!C193=0,W23,初期!C193)</f>
        <v>0</v>
      </c>
      <c r="X30" s="115">
        <f>IF(初期!D193=0,X23,初期!D193)</f>
        <v>0</v>
      </c>
      <c r="Y30" s="115">
        <f>IF(初期!E193=0,Y23,初期!E193)</f>
        <v>0</v>
      </c>
      <c r="Z30" s="91"/>
      <c r="AA30" s="307"/>
      <c r="AB30" s="151" t="s">
        <v>202</v>
      </c>
      <c r="AC30" s="156" t="e">
        <f t="shared" si="57"/>
        <v>#DIV/0!</v>
      </c>
      <c r="AD30" s="156" t="e">
        <f t="shared" si="57"/>
        <v>#DIV/0!</v>
      </c>
      <c r="AE30" s="156" t="e">
        <f t="shared" si="57"/>
        <v>#DIV/0!</v>
      </c>
      <c r="AF30" s="156" t="e">
        <f t="shared" si="57"/>
        <v>#DIV/0!</v>
      </c>
      <c r="AG30" s="74"/>
      <c r="AH30" s="307"/>
      <c r="AR30" s="103"/>
      <c r="AS30" s="190" t="s">
        <v>456</v>
      </c>
      <c r="AT30" s="189">
        <f>(AJ26*初始化表!E17+AJ27*初始化表!F17+AJ28*初始化表!G17+AJ29*初始化表!H17)/1300</f>
        <v>0</v>
      </c>
      <c r="AU30" s="103"/>
      <c r="AV30" s="103"/>
      <c r="AW30" s="103"/>
      <c r="AZ30" s="63"/>
      <c r="BA30" s="269" t="s">
        <v>37</v>
      </c>
      <c r="BB30" s="269" t="s">
        <v>591</v>
      </c>
      <c r="BC30" s="269" t="s">
        <v>592</v>
      </c>
      <c r="BD30" s="269" t="s">
        <v>593</v>
      </c>
      <c r="BE30" s="269" t="s">
        <v>594</v>
      </c>
      <c r="BF30" s="269" t="s">
        <v>595</v>
      </c>
      <c r="BG30" s="269" t="s">
        <v>596</v>
      </c>
      <c r="BH30" s="269" t="s">
        <v>597</v>
      </c>
      <c r="BI30" s="372" t="s">
        <v>598</v>
      </c>
      <c r="BJ30" s="269" t="s">
        <v>599</v>
      </c>
      <c r="BK30" s="269" t="s">
        <v>600</v>
      </c>
      <c r="BL30" s="61"/>
      <c r="BM30" s="269" t="s">
        <v>601</v>
      </c>
      <c r="BN30" s="269"/>
      <c r="BO30" s="269"/>
      <c r="BP30" s="269"/>
      <c r="BQ30" s="269"/>
      <c r="BR30" s="62"/>
      <c r="BS30" s="539">
        <f t="shared" ref="BS30:BS49" si="59">BS5</f>
        <v>0</v>
      </c>
      <c r="BT30" s="552" t="e">
        <f t="shared" ref="BT30:CI35" si="60">$BT5*(AJ61-BT$50)/BT$51</f>
        <v>#DIV/0!</v>
      </c>
      <c r="BU30" s="552" t="e">
        <f t="shared" si="60"/>
        <v>#DIV/0!</v>
      </c>
      <c r="BV30" s="552" t="e">
        <f t="shared" si="60"/>
        <v>#DIV/0!</v>
      </c>
      <c r="BW30" s="552" t="e">
        <f t="shared" si="60"/>
        <v>#DIV/0!</v>
      </c>
      <c r="BX30" s="552" t="e">
        <f t="shared" si="60"/>
        <v>#DIV/0!</v>
      </c>
      <c r="BY30" s="552" t="e">
        <f t="shared" si="60"/>
        <v>#DIV/0!</v>
      </c>
      <c r="BZ30" s="552" t="e">
        <f t="shared" si="60"/>
        <v>#DIV/0!</v>
      </c>
      <c r="CA30" s="552" t="e">
        <f t="shared" si="60"/>
        <v>#DIV/0!</v>
      </c>
      <c r="CB30" s="552" t="e">
        <f t="shared" si="60"/>
        <v>#DIV/0!</v>
      </c>
      <c r="CC30" s="552" t="e">
        <f t="shared" si="60"/>
        <v>#DIV/0!</v>
      </c>
      <c r="CD30" s="552" t="e">
        <f t="shared" si="60"/>
        <v>#DIV/0!</v>
      </c>
      <c r="CE30" s="552" t="e">
        <f t="shared" si="60"/>
        <v>#DIV/0!</v>
      </c>
      <c r="CF30" s="552" t="e">
        <f t="shared" si="60"/>
        <v>#DIV/0!</v>
      </c>
      <c r="CG30" s="552" t="e">
        <f t="shared" si="60"/>
        <v>#DIV/0!</v>
      </c>
      <c r="CH30" s="552" t="e">
        <f t="shared" si="60"/>
        <v>#DIV/0!</v>
      </c>
      <c r="CI30" s="552" t="e">
        <f t="shared" si="60"/>
        <v>#DIV/0!</v>
      </c>
      <c r="CJ30" s="453"/>
      <c r="CK30" s="228"/>
      <c r="CL30" s="228"/>
      <c r="CM30" s="228"/>
      <c r="CN30" s="228"/>
      <c r="CO30" s="228"/>
      <c r="CP30" s="228"/>
      <c r="CQ30" s="228"/>
      <c r="CR30" s="228"/>
      <c r="CS30" s="228"/>
      <c r="CT30" s="228"/>
      <c r="CU30" s="228"/>
      <c r="CV30" s="228"/>
      <c r="CW30" s="228"/>
      <c r="CX30" s="228"/>
      <c r="CY30" s="228"/>
      <c r="CZ30" s="228"/>
      <c r="DA30" s="228"/>
      <c r="DB30" s="228"/>
      <c r="DC30" s="228"/>
      <c r="DD30" s="228"/>
      <c r="DE30" s="228"/>
      <c r="DF30" s="228"/>
      <c r="DG30" s="228"/>
      <c r="DH30" s="228"/>
      <c r="DI30" s="228"/>
      <c r="DJ30" s="228"/>
      <c r="DK30" s="228"/>
      <c r="DL30" s="228"/>
      <c r="DM30" s="228"/>
      <c r="DN30" s="228"/>
      <c r="DO30" s="228"/>
      <c r="DP30" s="228"/>
      <c r="DQ30" s="228"/>
    </row>
    <row r="31" s="543" customFormat="1" ht="16" customHeight="1" spans="1:121">
      <c r="A31" s="269" t="s">
        <v>363</v>
      </c>
      <c r="B31" s="270"/>
      <c r="C31" s="261">
        <f>-N35*5%</f>
        <v>0</v>
      </c>
      <c r="D31" s="586"/>
      <c r="E31" s="586"/>
      <c r="F31" s="586">
        <f t="shared" si="58"/>
        <v>0</v>
      </c>
      <c r="G31" s="307"/>
      <c r="H31" s="81">
        <f>N49-(B17*初始化表!E17+B18*初始化表!F17+B19*初始化表!G17+B20*初始化表!H17)/520</f>
        <v>0</v>
      </c>
      <c r="I31" s="81">
        <f>N49-(D17*初始化表!E17+D18*初始化表!F17+D19*初始化表!G17+D20*初始化表!H17)/520-(C17*初始化表!E17+C18*初始化表!F17+C19*初始化表!G17+C20*初始化表!H17)/260</f>
        <v>0</v>
      </c>
      <c r="J31" s="81">
        <f>N49-(E17*初始化表!E17+E18*初始化表!F17+E19*初始化表!G17+E20*初始化表!H17)/260</f>
        <v>0</v>
      </c>
      <c r="K31" s="81">
        <f>((D17-2*E17)*初始化表!E18+(D18-2*E18)*初始化表!F18+(D19-2*E19)*初始化表!G18+(D20-2*E20)*初始化表!H18)/520</f>
        <v>0</v>
      </c>
      <c r="L31" s="81">
        <f>((B17-2*C17)*初始化表!E18+(B18-2*C18)*初始化表!F18+(B19-2*C19)*初始化表!G18+(B20-2*C20)*初始化表!H18)/520</f>
        <v>0</v>
      </c>
      <c r="M31" s="587"/>
      <c r="N31" s="269" t="s">
        <v>602</v>
      </c>
      <c r="O31" s="270"/>
      <c r="P31" s="270"/>
      <c r="Q31" s="270"/>
      <c r="R31" s="270"/>
      <c r="S31" s="91"/>
      <c r="T31" s="613"/>
      <c r="U31" s="68" t="s">
        <v>465</v>
      </c>
      <c r="V31" s="115">
        <f>IF(初期!B194=0,V24,初期!B194)</f>
        <v>0</v>
      </c>
      <c r="W31" s="115">
        <f>IF(初期!C194=0,W24,初期!C194)</f>
        <v>0</v>
      </c>
      <c r="X31" s="115">
        <f>IF(初期!D194=0,X24,初期!D194)</f>
        <v>0</v>
      </c>
      <c r="Y31" s="115">
        <f>IF(初期!E194=0,Y24,初期!E194)</f>
        <v>0</v>
      </c>
      <c r="Z31" s="91"/>
      <c r="AA31" s="307"/>
      <c r="AB31" s="151" t="s">
        <v>206</v>
      </c>
      <c r="AC31" s="156" t="e">
        <f t="shared" si="57"/>
        <v>#DIV/0!</v>
      </c>
      <c r="AD31" s="156" t="e">
        <f t="shared" si="57"/>
        <v>#DIV/0!</v>
      </c>
      <c r="AE31" s="156" t="e">
        <f t="shared" si="57"/>
        <v>#DIV/0!</v>
      </c>
      <c r="AF31" s="156" t="e">
        <f t="shared" si="57"/>
        <v>#DIV/0!</v>
      </c>
      <c r="AG31" s="74"/>
      <c r="AH31" s="307"/>
      <c r="AI31" s="68" t="s">
        <v>603</v>
      </c>
      <c r="AJ31" s="69"/>
      <c r="AK31" s="69"/>
      <c r="AL31" s="69"/>
      <c r="AM31" s="69"/>
      <c r="AN31" s="69"/>
      <c r="AO31" s="69"/>
      <c r="AP31" s="69"/>
      <c r="AQ31" s="69"/>
      <c r="AR31" s="69"/>
      <c r="AS31" s="69"/>
      <c r="AT31" s="69"/>
      <c r="AU31" s="69"/>
      <c r="AV31" s="69"/>
      <c r="AW31" s="69"/>
      <c r="AX31" s="69"/>
      <c r="AY31" s="69"/>
      <c r="AZ31" s="63"/>
      <c r="BA31" s="539">
        <f t="shared" ref="BA31:BA50" si="61">BA7</f>
        <v>0</v>
      </c>
      <c r="BB31" s="546">
        <f t="shared" ref="BB31:BB50" si="62">SUM(BB7:BE7)</f>
        <v>0</v>
      </c>
      <c r="BC31" s="546">
        <f t="shared" ref="BC31:BC50" si="63">SUM(BF7:BI7)</f>
        <v>0</v>
      </c>
      <c r="BD31" s="546">
        <f t="shared" ref="BD31:BD50" si="64">SUM(BJ7:BM7)</f>
        <v>0</v>
      </c>
      <c r="BE31" s="546">
        <f t="shared" ref="BE31:BE50" si="65">SUM(BN7:BQ7)</f>
        <v>0</v>
      </c>
      <c r="BF31" s="636">
        <f>(BB31*初始化表!E$17+BC31*初始化表!F$17+BD31*初始化表!G$17+BE31*初始化表!H$17)/1300</f>
        <v>0</v>
      </c>
      <c r="BG31" s="637">
        <f t="shared" ref="BG31:BG50" si="66">IF(BF31=0,0,AL107/BF31)</f>
        <v>0</v>
      </c>
      <c r="BH31" s="637">
        <f t="shared" ref="BH31:BH50" si="67">IF(BF31=0,0,AJ107/BF31)</f>
        <v>0</v>
      </c>
      <c r="BI31" s="638">
        <f>$BI$51-BF31</f>
        <v>0</v>
      </c>
      <c r="BJ31" s="546" t="str">
        <f t="shared" ref="BJ31:BJ50" si="68">IF(BA31=0,"",RANK(BG31,$BG$31:$BG$50))</f>
        <v/>
      </c>
      <c r="BK31" s="546" t="str">
        <f t="shared" ref="BK31:BK50" si="69">IF(BA31=0,"",RANK(BH31,$BH$31:$BH$50))</f>
        <v/>
      </c>
      <c r="BL31" s="61"/>
      <c r="BM31" s="270"/>
      <c r="BN31" s="269" t="s">
        <v>513</v>
      </c>
      <c r="BO31" s="269" t="s">
        <v>514</v>
      </c>
      <c r="BP31" s="269" t="s">
        <v>515</v>
      </c>
      <c r="BQ31" s="269" t="s">
        <v>516</v>
      </c>
      <c r="BR31" s="62"/>
      <c r="BS31" s="539">
        <f t="shared" si="59"/>
        <v>0</v>
      </c>
      <c r="BT31" s="552" t="e">
        <f t="shared" si="60"/>
        <v>#DIV/0!</v>
      </c>
      <c r="BU31" s="552" t="e">
        <f t="shared" si="60"/>
        <v>#DIV/0!</v>
      </c>
      <c r="BV31" s="552" t="e">
        <f t="shared" si="60"/>
        <v>#DIV/0!</v>
      </c>
      <c r="BW31" s="552" t="e">
        <f t="shared" si="60"/>
        <v>#DIV/0!</v>
      </c>
      <c r="BX31" s="552" t="e">
        <f t="shared" si="60"/>
        <v>#DIV/0!</v>
      </c>
      <c r="BY31" s="552" t="e">
        <f t="shared" si="60"/>
        <v>#DIV/0!</v>
      </c>
      <c r="BZ31" s="552" t="e">
        <f t="shared" si="60"/>
        <v>#DIV/0!</v>
      </c>
      <c r="CA31" s="552" t="e">
        <f t="shared" si="60"/>
        <v>#DIV/0!</v>
      </c>
      <c r="CB31" s="552" t="e">
        <f t="shared" si="60"/>
        <v>#DIV/0!</v>
      </c>
      <c r="CC31" s="552" t="e">
        <f t="shared" si="60"/>
        <v>#DIV/0!</v>
      </c>
      <c r="CD31" s="552" t="e">
        <f t="shared" si="60"/>
        <v>#DIV/0!</v>
      </c>
      <c r="CE31" s="552" t="e">
        <f t="shared" si="60"/>
        <v>#DIV/0!</v>
      </c>
      <c r="CF31" s="552" t="e">
        <f t="shared" si="60"/>
        <v>#DIV/0!</v>
      </c>
      <c r="CG31" s="552" t="e">
        <f t="shared" si="60"/>
        <v>#DIV/0!</v>
      </c>
      <c r="CH31" s="552" t="e">
        <f t="shared" si="60"/>
        <v>#DIV/0!</v>
      </c>
      <c r="CI31" s="552" t="e">
        <f t="shared" si="60"/>
        <v>#DIV/0!</v>
      </c>
      <c r="CJ31" s="453"/>
      <c r="CK31" s="228"/>
      <c r="CL31" s="228"/>
      <c r="CM31" s="228"/>
      <c r="CN31" s="228"/>
      <c r="CO31" s="228"/>
      <c r="CP31" s="228"/>
      <c r="CQ31" s="228"/>
      <c r="CR31" s="228"/>
      <c r="CS31" s="228"/>
      <c r="CT31" s="228"/>
      <c r="CU31" s="228"/>
      <c r="CV31" s="228"/>
      <c r="CW31" s="228"/>
      <c r="CX31" s="228"/>
      <c r="CY31" s="228"/>
      <c r="CZ31" s="228"/>
      <c r="DA31" s="228"/>
      <c r="DB31" s="228"/>
      <c r="DC31" s="228"/>
      <c r="DD31" s="228"/>
      <c r="DE31" s="228"/>
      <c r="DF31" s="228"/>
      <c r="DG31" s="228"/>
      <c r="DH31" s="228"/>
      <c r="DI31" s="228"/>
      <c r="DJ31" s="228"/>
      <c r="DK31" s="228"/>
      <c r="DL31" s="228"/>
      <c r="DM31" s="228"/>
      <c r="DN31" s="228"/>
      <c r="DO31" s="228"/>
      <c r="DP31" s="228"/>
      <c r="DQ31" s="228"/>
    </row>
    <row r="32" s="543" customFormat="1" ht="16" customHeight="1" spans="1:121">
      <c r="A32" s="269" t="s">
        <v>364</v>
      </c>
      <c r="B32" s="270"/>
      <c r="C32" s="261">
        <f>-O35*初始化表!B24/4</f>
        <v>0</v>
      </c>
      <c r="D32" s="586"/>
      <c r="E32" s="586">
        <f>-C32</f>
        <v>0</v>
      </c>
      <c r="F32" s="586">
        <f t="shared" si="58"/>
        <v>0</v>
      </c>
      <c r="G32" s="307"/>
      <c r="H32" s="354" t="s">
        <v>604</v>
      </c>
      <c r="I32" s="354" t="s">
        <v>605</v>
      </c>
      <c r="J32" s="354" t="s">
        <v>606</v>
      </c>
      <c r="K32" s="354" t="s">
        <v>607</v>
      </c>
      <c r="L32" s="101"/>
      <c r="M32" s="587"/>
      <c r="N32" s="269" t="s">
        <v>608</v>
      </c>
      <c r="O32" s="269" t="s">
        <v>609</v>
      </c>
      <c r="P32" s="269" t="s">
        <v>610</v>
      </c>
      <c r="Q32" s="269" t="s">
        <v>611</v>
      </c>
      <c r="R32" s="269" t="s">
        <v>612</v>
      </c>
      <c r="S32" s="614"/>
      <c r="T32" s="613"/>
      <c r="U32" s="68" t="s">
        <v>466</v>
      </c>
      <c r="V32" s="115">
        <f>IF(初期!B195=0,V25,初期!B195)</f>
        <v>0</v>
      </c>
      <c r="W32" s="115">
        <f>IF(初期!C195=0,W25,初期!C195)</f>
        <v>0</v>
      </c>
      <c r="X32" s="115">
        <f>IF(初期!D195=0,X25,初期!D195)</f>
        <v>0</v>
      </c>
      <c r="Y32" s="115">
        <f>IF(初期!E195=0,Y25,初期!E195)</f>
        <v>0</v>
      </c>
      <c r="Z32" s="91"/>
      <c r="AA32" s="307"/>
      <c r="AB32" s="151" t="s">
        <v>208</v>
      </c>
      <c r="AC32" s="156" t="e">
        <f t="shared" si="57"/>
        <v>#DIV/0!</v>
      </c>
      <c r="AD32" s="156" t="e">
        <f t="shared" si="57"/>
        <v>#DIV/0!</v>
      </c>
      <c r="AE32" s="156" t="e">
        <f t="shared" si="57"/>
        <v>#DIV/0!</v>
      </c>
      <c r="AF32" s="156" t="e">
        <f t="shared" si="57"/>
        <v>#DIV/0!</v>
      </c>
      <c r="AG32" s="74"/>
      <c r="AH32" s="307"/>
      <c r="AI32" s="69"/>
      <c r="AJ32" s="69"/>
      <c r="AK32" s="69"/>
      <c r="AL32" s="69"/>
      <c r="AM32" s="69"/>
      <c r="AN32" s="69"/>
      <c r="AO32" s="69"/>
      <c r="AP32" s="69"/>
      <c r="AQ32" s="69"/>
      <c r="AR32" s="69"/>
      <c r="AS32" s="69"/>
      <c r="AT32" s="69"/>
      <c r="AU32" s="69"/>
      <c r="AV32" s="69"/>
      <c r="AW32" s="69"/>
      <c r="AX32" s="69"/>
      <c r="AY32" s="69"/>
      <c r="AZ32" s="63"/>
      <c r="BA32" s="539">
        <f t="shared" si="61"/>
        <v>0</v>
      </c>
      <c r="BB32" s="546">
        <f t="shared" si="62"/>
        <v>0</v>
      </c>
      <c r="BC32" s="546">
        <f t="shared" si="63"/>
        <v>0</v>
      </c>
      <c r="BD32" s="546">
        <f t="shared" si="64"/>
        <v>0</v>
      </c>
      <c r="BE32" s="546">
        <f t="shared" si="65"/>
        <v>0</v>
      </c>
      <c r="BF32" s="636">
        <f>(BB32*初始化表!E$17+BC32*初始化表!F$17+BD32*初始化表!G$17+BE32*初始化表!H$17)/1300</f>
        <v>0</v>
      </c>
      <c r="BG32" s="637">
        <f t="shared" si="66"/>
        <v>0</v>
      </c>
      <c r="BH32" s="637">
        <f t="shared" si="67"/>
        <v>0</v>
      </c>
      <c r="BI32" s="638">
        <f t="shared" ref="BI32:BI50" si="70">$BI$51-BF32</f>
        <v>0</v>
      </c>
      <c r="BJ32" s="546" t="str">
        <f t="shared" si="68"/>
        <v/>
      </c>
      <c r="BK32" s="546" t="str">
        <f t="shared" si="69"/>
        <v/>
      </c>
      <c r="BL32" s="61"/>
      <c r="BM32" s="269" t="s">
        <v>521</v>
      </c>
      <c r="BN32" s="77">
        <f>COUNTIF(BB7:BB26,"&gt;0")</f>
        <v>0</v>
      </c>
      <c r="BO32" s="77">
        <f>COUNTIF(BC7:BC26,"&gt;0")</f>
        <v>0</v>
      </c>
      <c r="BP32" s="77">
        <f>COUNTIF(BD7:BD26,"&gt;0")</f>
        <v>0</v>
      </c>
      <c r="BQ32" s="77">
        <f>COUNTIF(BE7:BE26,"&gt;0")</f>
        <v>0</v>
      </c>
      <c r="BR32" s="62"/>
      <c r="BS32" s="539">
        <f t="shared" si="59"/>
        <v>0</v>
      </c>
      <c r="BT32" s="552" t="e">
        <f t="shared" si="60"/>
        <v>#DIV/0!</v>
      </c>
      <c r="BU32" s="552" t="e">
        <f t="shared" si="60"/>
        <v>#DIV/0!</v>
      </c>
      <c r="BV32" s="552" t="e">
        <f t="shared" si="60"/>
        <v>#DIV/0!</v>
      </c>
      <c r="BW32" s="552" t="e">
        <f t="shared" si="60"/>
        <v>#DIV/0!</v>
      </c>
      <c r="BX32" s="552" t="e">
        <f t="shared" si="60"/>
        <v>#DIV/0!</v>
      </c>
      <c r="BY32" s="552" t="e">
        <f t="shared" si="60"/>
        <v>#DIV/0!</v>
      </c>
      <c r="BZ32" s="552" t="e">
        <f t="shared" si="60"/>
        <v>#DIV/0!</v>
      </c>
      <c r="CA32" s="552" t="e">
        <f t="shared" si="60"/>
        <v>#DIV/0!</v>
      </c>
      <c r="CB32" s="552" t="e">
        <f t="shared" si="60"/>
        <v>#DIV/0!</v>
      </c>
      <c r="CC32" s="552" t="e">
        <f t="shared" si="60"/>
        <v>#DIV/0!</v>
      </c>
      <c r="CD32" s="552" t="e">
        <f t="shared" si="60"/>
        <v>#DIV/0!</v>
      </c>
      <c r="CE32" s="552" t="e">
        <f t="shared" si="60"/>
        <v>#DIV/0!</v>
      </c>
      <c r="CF32" s="552" t="e">
        <f t="shared" si="60"/>
        <v>#DIV/0!</v>
      </c>
      <c r="CG32" s="552" t="e">
        <f t="shared" si="60"/>
        <v>#DIV/0!</v>
      </c>
      <c r="CH32" s="552" t="e">
        <f t="shared" si="60"/>
        <v>#DIV/0!</v>
      </c>
      <c r="CI32" s="552" t="e">
        <f t="shared" si="60"/>
        <v>#DIV/0!</v>
      </c>
      <c r="CJ32" s="453"/>
      <c r="CK32" s="228"/>
      <c r="CL32" s="228"/>
      <c r="CM32" s="228"/>
      <c r="CN32" s="228"/>
      <c r="CO32" s="228"/>
      <c r="CP32" s="228"/>
      <c r="CQ32" s="228"/>
      <c r="CR32" s="228"/>
      <c r="CS32" s="228"/>
      <c r="CT32" s="228"/>
      <c r="CU32" s="228"/>
      <c r="CV32" s="228"/>
      <c r="CW32" s="228"/>
      <c r="CX32" s="228"/>
      <c r="CY32" s="228"/>
      <c r="CZ32" s="228"/>
      <c r="DA32" s="228"/>
      <c r="DB32" s="228"/>
      <c r="DC32" s="228"/>
      <c r="DD32" s="228"/>
      <c r="DE32" s="228"/>
      <c r="DF32" s="228"/>
      <c r="DG32" s="228"/>
      <c r="DH32" s="228"/>
      <c r="DI32" s="228"/>
      <c r="DJ32" s="228"/>
      <c r="DK32" s="228"/>
      <c r="DL32" s="228"/>
      <c r="DM32" s="228"/>
      <c r="DN32" s="228"/>
      <c r="DO32" s="228"/>
      <c r="DP32" s="228"/>
      <c r="DQ32" s="228"/>
    </row>
    <row r="33" s="543" customFormat="1" ht="16" customHeight="1" spans="1:121">
      <c r="A33" s="269" t="s">
        <v>365</v>
      </c>
      <c r="B33" s="270"/>
      <c r="C33" s="261">
        <f>-B22*初始化表!B13</f>
        <v>0</v>
      </c>
      <c r="D33" s="586"/>
      <c r="E33" s="586">
        <f>E32-C33</f>
        <v>0</v>
      </c>
      <c r="F33" s="586">
        <f t="shared" si="58"/>
        <v>0</v>
      </c>
      <c r="G33" s="307"/>
      <c r="H33" s="82">
        <f>520*H31</f>
        <v>0</v>
      </c>
      <c r="I33" s="82">
        <f>520*I31</f>
        <v>0</v>
      </c>
      <c r="J33" s="391">
        <f>260*J31</f>
        <v>0</v>
      </c>
      <c r="K33" s="391">
        <f>I29*520</f>
        <v>0</v>
      </c>
      <c r="L33" s="91"/>
      <c r="M33" s="587"/>
      <c r="N33" s="102">
        <f>INT(IF(C28&lt;初始化表!B21,MIN((初始化表!B21-C28),P33),0)+1)</f>
        <v>1</v>
      </c>
      <c r="O33" s="102" t="e">
        <f>MAX(N33,IF(F48&lt;0,INT(-F48+1),0))</f>
        <v>#DIV/0!</v>
      </c>
      <c r="P33" s="102">
        <f>初期!H30</f>
        <v>0</v>
      </c>
      <c r="Q33" s="589">
        <v>0</v>
      </c>
      <c r="R33" s="83">
        <f>初期!B15</f>
        <v>0</v>
      </c>
      <c r="S33" s="132"/>
      <c r="T33" s="613"/>
      <c r="U33" s="68" t="s">
        <v>468</v>
      </c>
      <c r="V33" s="115">
        <f>IF(初期!B196=0,V26,初期!B196)</f>
        <v>0</v>
      </c>
      <c r="W33" s="115">
        <f>IF(初期!C196=0,W26,初期!C196)</f>
        <v>0</v>
      </c>
      <c r="X33" s="115">
        <f>IF(初期!D196=0,X26,初期!D196)</f>
        <v>0</v>
      </c>
      <c r="Y33" s="115">
        <f>IF(初期!E196=0,Y26,初期!E196)</f>
        <v>0</v>
      </c>
      <c r="Z33" s="91"/>
      <c r="AA33" s="307"/>
      <c r="AB33" s="155"/>
      <c r="AC33" s="155"/>
      <c r="AD33" s="155"/>
      <c r="AE33" s="155"/>
      <c r="AF33" s="155"/>
      <c r="AG33" s="155"/>
      <c r="AH33" s="307"/>
      <c r="AZ33" s="63"/>
      <c r="BA33" s="539">
        <f t="shared" si="61"/>
        <v>0</v>
      </c>
      <c r="BB33" s="546">
        <f t="shared" si="62"/>
        <v>0</v>
      </c>
      <c r="BC33" s="546">
        <f t="shared" si="63"/>
        <v>0</v>
      </c>
      <c r="BD33" s="546">
        <f t="shared" si="64"/>
        <v>0</v>
      </c>
      <c r="BE33" s="546">
        <f t="shared" si="65"/>
        <v>0</v>
      </c>
      <c r="BF33" s="636">
        <f>(BB33*初始化表!E$17+BC33*初始化表!F$17+BD33*初始化表!G$17+BE33*初始化表!H$17)/1300</f>
        <v>0</v>
      </c>
      <c r="BG33" s="637">
        <f t="shared" si="66"/>
        <v>0</v>
      </c>
      <c r="BH33" s="637">
        <f t="shared" si="67"/>
        <v>0</v>
      </c>
      <c r="BI33" s="638">
        <f t="shared" si="70"/>
        <v>0</v>
      </c>
      <c r="BJ33" s="546" t="str">
        <f t="shared" si="68"/>
        <v/>
      </c>
      <c r="BK33" s="546" t="str">
        <f t="shared" si="69"/>
        <v/>
      </c>
      <c r="BL33" s="61"/>
      <c r="BM33" s="269" t="s">
        <v>522</v>
      </c>
      <c r="BN33" s="77">
        <f>COUNTIF(BF7:BF26,"&gt;0")</f>
        <v>0</v>
      </c>
      <c r="BO33" s="77">
        <f>COUNTIF(BG7:BG26,"&gt;0")</f>
        <v>0</v>
      </c>
      <c r="BP33" s="77">
        <f>COUNTIF(BH7:BH26,"&gt;0")</f>
        <v>0</v>
      </c>
      <c r="BQ33" s="77">
        <f>COUNTIF(BI7:BI26,"&gt;0")</f>
        <v>0</v>
      </c>
      <c r="BR33" s="62"/>
      <c r="BS33" s="539">
        <f t="shared" si="59"/>
        <v>0</v>
      </c>
      <c r="BT33" s="552" t="e">
        <f t="shared" si="60"/>
        <v>#DIV/0!</v>
      </c>
      <c r="BU33" s="552" t="e">
        <f t="shared" si="60"/>
        <v>#DIV/0!</v>
      </c>
      <c r="BV33" s="552" t="e">
        <f t="shared" si="60"/>
        <v>#DIV/0!</v>
      </c>
      <c r="BW33" s="552" t="e">
        <f t="shared" si="60"/>
        <v>#DIV/0!</v>
      </c>
      <c r="BX33" s="552" t="e">
        <f t="shared" si="60"/>
        <v>#DIV/0!</v>
      </c>
      <c r="BY33" s="552" t="e">
        <f t="shared" si="60"/>
        <v>#DIV/0!</v>
      </c>
      <c r="BZ33" s="552" t="e">
        <f t="shared" si="60"/>
        <v>#DIV/0!</v>
      </c>
      <c r="CA33" s="552" t="e">
        <f t="shared" si="60"/>
        <v>#DIV/0!</v>
      </c>
      <c r="CB33" s="552" t="e">
        <f t="shared" si="60"/>
        <v>#DIV/0!</v>
      </c>
      <c r="CC33" s="552" t="e">
        <f t="shared" si="60"/>
        <v>#DIV/0!</v>
      </c>
      <c r="CD33" s="552" t="e">
        <f t="shared" si="60"/>
        <v>#DIV/0!</v>
      </c>
      <c r="CE33" s="552" t="e">
        <f t="shared" si="60"/>
        <v>#DIV/0!</v>
      </c>
      <c r="CF33" s="552" t="e">
        <f t="shared" si="60"/>
        <v>#DIV/0!</v>
      </c>
      <c r="CG33" s="552" t="e">
        <f t="shared" si="60"/>
        <v>#DIV/0!</v>
      </c>
      <c r="CH33" s="552" t="e">
        <f t="shared" si="60"/>
        <v>#DIV/0!</v>
      </c>
      <c r="CI33" s="552" t="e">
        <f t="shared" si="60"/>
        <v>#DIV/0!</v>
      </c>
      <c r="CJ33" s="453"/>
      <c r="CK33" s="228"/>
      <c r="CL33" s="228"/>
      <c r="CM33" s="228"/>
      <c r="CN33" s="228"/>
      <c r="CO33" s="228"/>
      <c r="CP33" s="228"/>
      <c r="CQ33" s="228"/>
      <c r="CR33" s="228"/>
      <c r="CS33" s="228"/>
      <c r="CT33" s="228"/>
      <c r="CU33" s="228"/>
      <c r="CV33" s="228"/>
      <c r="CW33" s="228"/>
      <c r="CX33" s="228"/>
      <c r="CY33" s="228"/>
      <c r="CZ33" s="228"/>
      <c r="DA33" s="228"/>
      <c r="DB33" s="228"/>
      <c r="DC33" s="228"/>
      <c r="DD33" s="228"/>
      <c r="DE33" s="228"/>
      <c r="DF33" s="228"/>
      <c r="DG33" s="228"/>
      <c r="DH33" s="228"/>
      <c r="DI33" s="228"/>
      <c r="DJ33" s="228"/>
      <c r="DK33" s="228"/>
      <c r="DL33" s="228"/>
      <c r="DM33" s="228"/>
      <c r="DN33" s="228"/>
      <c r="DO33" s="228"/>
      <c r="DP33" s="228"/>
      <c r="DQ33" s="228"/>
    </row>
    <row r="34" s="543" customFormat="1" ht="16" customHeight="1" spans="1:121">
      <c r="A34" s="269" t="s">
        <v>366</v>
      </c>
      <c r="B34" s="270"/>
      <c r="C34" s="261">
        <f>-C22*初始化表!B14</f>
        <v>0</v>
      </c>
      <c r="D34" s="586"/>
      <c r="E34" s="586">
        <f>E33-C34</f>
        <v>0</v>
      </c>
      <c r="F34" s="586">
        <f t="shared" si="58"/>
        <v>0</v>
      </c>
      <c r="G34" s="307"/>
      <c r="H34" s="354" t="s">
        <v>244</v>
      </c>
      <c r="I34" s="248">
        <f>-C43</f>
        <v>0</v>
      </c>
      <c r="J34" s="419" t="s">
        <v>613</v>
      </c>
      <c r="K34" s="603" t="s">
        <v>614</v>
      </c>
      <c r="L34" s="357"/>
      <c r="M34" s="587"/>
      <c r="N34" s="269" t="s">
        <v>615</v>
      </c>
      <c r="O34" s="269" t="s">
        <v>616</v>
      </c>
      <c r="P34" s="269" t="s">
        <v>617</v>
      </c>
      <c r="Q34" s="269" t="s">
        <v>618</v>
      </c>
      <c r="R34" s="269" t="s">
        <v>619</v>
      </c>
      <c r="S34" s="614"/>
      <c r="T34" s="613"/>
      <c r="U34" s="123"/>
      <c r="V34" s="91"/>
      <c r="W34" s="91"/>
      <c r="X34" s="91"/>
      <c r="Y34" s="91"/>
      <c r="Z34" s="91"/>
      <c r="AA34" s="307"/>
      <c r="AB34" s="151" t="s">
        <v>500</v>
      </c>
      <c r="AC34" s="151" t="s">
        <v>499</v>
      </c>
      <c r="AD34" s="151" t="s">
        <v>38</v>
      </c>
      <c r="AE34" s="151" t="s">
        <v>39</v>
      </c>
      <c r="AF34" s="151" t="s">
        <v>40</v>
      </c>
      <c r="AG34" s="151" t="s">
        <v>41</v>
      </c>
      <c r="AH34" s="307"/>
      <c r="AI34" s="68" t="s">
        <v>480</v>
      </c>
      <c r="AJ34" s="69"/>
      <c r="AK34" s="69"/>
      <c r="AL34" s="69"/>
      <c r="AM34" s="69"/>
      <c r="AN34" s="69"/>
      <c r="AO34" s="69"/>
      <c r="AP34" s="69"/>
      <c r="AQ34" s="69"/>
      <c r="AR34" s="69"/>
      <c r="AS34" s="69"/>
      <c r="AT34" s="69"/>
      <c r="AU34" s="69"/>
      <c r="AV34" s="69"/>
      <c r="AW34" s="69"/>
      <c r="AX34" s="69"/>
      <c r="AY34" s="69"/>
      <c r="AZ34" s="63"/>
      <c r="BA34" s="539">
        <f t="shared" si="61"/>
        <v>0</v>
      </c>
      <c r="BB34" s="546">
        <f t="shared" si="62"/>
        <v>0</v>
      </c>
      <c r="BC34" s="546">
        <f t="shared" si="63"/>
        <v>0</v>
      </c>
      <c r="BD34" s="546">
        <f t="shared" si="64"/>
        <v>0</v>
      </c>
      <c r="BE34" s="546">
        <f t="shared" si="65"/>
        <v>0</v>
      </c>
      <c r="BF34" s="636">
        <f>(BB34*初始化表!E$17+BC34*初始化表!F$17+BD34*初始化表!G$17+BE34*初始化表!H$17)/1300</f>
        <v>0</v>
      </c>
      <c r="BG34" s="637">
        <f t="shared" si="66"/>
        <v>0</v>
      </c>
      <c r="BH34" s="637">
        <f t="shared" si="67"/>
        <v>0</v>
      </c>
      <c r="BI34" s="638">
        <f t="shared" si="70"/>
        <v>0</v>
      </c>
      <c r="BJ34" s="546" t="str">
        <f t="shared" si="68"/>
        <v/>
      </c>
      <c r="BK34" s="546" t="str">
        <f t="shared" si="69"/>
        <v/>
      </c>
      <c r="BL34" s="61"/>
      <c r="BM34" s="269" t="s">
        <v>523</v>
      </c>
      <c r="BN34" s="77">
        <f>COUNTIF(BJ7:BJ26,"&gt;0")</f>
        <v>0</v>
      </c>
      <c r="BO34" s="77">
        <f>COUNTIF(BK7:BK26,"&gt;0")</f>
        <v>0</v>
      </c>
      <c r="BP34" s="77">
        <f>COUNTIF(BL7:BL26,"&gt;0")</f>
        <v>0</v>
      </c>
      <c r="BQ34" s="77">
        <f>COUNTIF(BM7:BM26,"&gt;0")</f>
        <v>0</v>
      </c>
      <c r="BR34" s="62"/>
      <c r="BS34" s="539">
        <f t="shared" si="59"/>
        <v>0</v>
      </c>
      <c r="BT34" s="552" t="e">
        <f t="shared" si="60"/>
        <v>#DIV/0!</v>
      </c>
      <c r="BU34" s="552" t="e">
        <f t="shared" si="60"/>
        <v>#DIV/0!</v>
      </c>
      <c r="BV34" s="552" t="e">
        <f t="shared" si="60"/>
        <v>#DIV/0!</v>
      </c>
      <c r="BW34" s="552" t="e">
        <f t="shared" si="60"/>
        <v>#DIV/0!</v>
      </c>
      <c r="BX34" s="552" t="e">
        <f t="shared" si="60"/>
        <v>#DIV/0!</v>
      </c>
      <c r="BY34" s="552" t="e">
        <f t="shared" si="60"/>
        <v>#DIV/0!</v>
      </c>
      <c r="BZ34" s="552" t="e">
        <f t="shared" si="60"/>
        <v>#DIV/0!</v>
      </c>
      <c r="CA34" s="552" t="e">
        <f t="shared" si="60"/>
        <v>#DIV/0!</v>
      </c>
      <c r="CB34" s="552" t="e">
        <f t="shared" si="60"/>
        <v>#DIV/0!</v>
      </c>
      <c r="CC34" s="552" t="e">
        <f t="shared" si="60"/>
        <v>#DIV/0!</v>
      </c>
      <c r="CD34" s="552" t="e">
        <f t="shared" si="60"/>
        <v>#DIV/0!</v>
      </c>
      <c r="CE34" s="552" t="e">
        <f t="shared" si="60"/>
        <v>#DIV/0!</v>
      </c>
      <c r="CF34" s="552" t="e">
        <f t="shared" si="60"/>
        <v>#DIV/0!</v>
      </c>
      <c r="CG34" s="552" t="e">
        <f t="shared" si="60"/>
        <v>#DIV/0!</v>
      </c>
      <c r="CH34" s="552" t="e">
        <f t="shared" si="60"/>
        <v>#DIV/0!</v>
      </c>
      <c r="CI34" s="552" t="e">
        <f t="shared" si="60"/>
        <v>#DIV/0!</v>
      </c>
      <c r="CJ34" s="453"/>
      <c r="CK34" s="228"/>
      <c r="CL34" s="228"/>
      <c r="CM34" s="228"/>
      <c r="CN34" s="228"/>
      <c r="CO34" s="228"/>
      <c r="CP34" s="228"/>
      <c r="CQ34" s="228"/>
      <c r="CR34" s="228"/>
      <c r="CS34" s="228"/>
      <c r="CT34" s="228"/>
      <c r="CU34" s="228"/>
      <c r="CV34" s="228"/>
      <c r="CW34" s="228"/>
      <c r="CX34" s="228"/>
      <c r="CY34" s="228"/>
      <c r="CZ34" s="228"/>
      <c r="DA34" s="228"/>
      <c r="DB34" s="228"/>
      <c r="DC34" s="228"/>
      <c r="DD34" s="228"/>
      <c r="DE34" s="228"/>
      <c r="DF34" s="228"/>
      <c r="DG34" s="228"/>
      <c r="DH34" s="228"/>
      <c r="DI34" s="228"/>
      <c r="DJ34" s="228"/>
      <c r="DK34" s="228"/>
      <c r="DL34" s="228"/>
      <c r="DM34" s="228"/>
      <c r="DN34" s="228"/>
      <c r="DO34" s="228"/>
      <c r="DP34" s="228"/>
      <c r="DQ34" s="228"/>
    </row>
    <row r="35" s="543" customFormat="1" ht="16" customHeight="1" spans="1:121">
      <c r="A35" s="269" t="s">
        <v>367</v>
      </c>
      <c r="B35" s="270"/>
      <c r="C35" s="261">
        <f>-(H17-C22+B22*初始化表!H4)*初始化表!B15*520*F24</f>
        <v>0</v>
      </c>
      <c r="D35" s="586"/>
      <c r="E35" s="586">
        <f>E34-C35</f>
        <v>0</v>
      </c>
      <c r="F35" s="586">
        <f t="shared" si="58"/>
        <v>0</v>
      </c>
      <c r="G35" s="307"/>
      <c r="H35" s="354" t="s">
        <v>223</v>
      </c>
      <c r="I35" s="248">
        <f>-C33</f>
        <v>0</v>
      </c>
      <c r="J35" s="106" t="e">
        <f>INT(($N$49*1300-SUMPRODUCT($L$177:$L$180,$H$177:$H$180))/H177)</f>
        <v>#DIV/0!</v>
      </c>
      <c r="K35" s="269" t="s">
        <v>198</v>
      </c>
      <c r="L35" s="158"/>
      <c r="M35" s="587"/>
      <c r="N35" s="102">
        <f>-20*初期!B9+初期!B8</f>
        <v>0</v>
      </c>
      <c r="O35" s="102">
        <f>初期!H32</f>
        <v>0</v>
      </c>
      <c r="P35" s="102">
        <f>INT(Q35)</f>
        <v>0</v>
      </c>
      <c r="Q35" s="133">
        <f>0.5*初期!H18-O35</f>
        <v>0</v>
      </c>
      <c r="R35" s="589">
        <v>0</v>
      </c>
      <c r="S35" s="132"/>
      <c r="T35" s="613"/>
      <c r="U35" s="68" t="s">
        <v>620</v>
      </c>
      <c r="V35" s="68" t="s">
        <v>459</v>
      </c>
      <c r="W35" s="68" t="s">
        <v>460</v>
      </c>
      <c r="X35" s="68" t="s">
        <v>461</v>
      </c>
      <c r="Y35" s="68" t="s">
        <v>462</v>
      </c>
      <c r="Z35" s="91"/>
      <c r="AA35" s="307"/>
      <c r="AB35" s="151" t="s">
        <v>198</v>
      </c>
      <c r="AC35" s="152" t="e">
        <f>初始化表!$E$22-AC5</f>
        <v>#DIV/0!</v>
      </c>
      <c r="AD35" s="152" t="e">
        <f>初始化表!$E$22-AD5</f>
        <v>#DIV/0!</v>
      </c>
      <c r="AE35" s="152" t="e">
        <f>初始化表!$E$22-AE5</f>
        <v>#DIV/0!</v>
      </c>
      <c r="AF35" s="152" t="e">
        <f>初始化表!$E$22-AF5</f>
        <v>#DIV/0!</v>
      </c>
      <c r="AG35" s="152" t="e">
        <f>初始化表!$E$22-AG5</f>
        <v>#DIV/0!</v>
      </c>
      <c r="AH35" s="307"/>
      <c r="AI35" s="68" t="s">
        <v>37</v>
      </c>
      <c r="AJ35" s="68" t="s">
        <v>35</v>
      </c>
      <c r="AK35" s="69"/>
      <c r="AL35" s="69"/>
      <c r="AM35" s="69"/>
      <c r="AN35" s="68" t="s">
        <v>465</v>
      </c>
      <c r="AO35" s="69"/>
      <c r="AP35" s="69"/>
      <c r="AQ35" s="69"/>
      <c r="AR35" s="68" t="s">
        <v>466</v>
      </c>
      <c r="AS35" s="69"/>
      <c r="AT35" s="69"/>
      <c r="AU35" s="69"/>
      <c r="AV35" s="68" t="s">
        <v>468</v>
      </c>
      <c r="AW35" s="69"/>
      <c r="AX35" s="69"/>
      <c r="AY35" s="69"/>
      <c r="AZ35" s="63"/>
      <c r="BA35" s="539">
        <f t="shared" si="61"/>
        <v>0</v>
      </c>
      <c r="BB35" s="546">
        <f t="shared" si="62"/>
        <v>0</v>
      </c>
      <c r="BC35" s="546">
        <f t="shared" si="63"/>
        <v>0</v>
      </c>
      <c r="BD35" s="546">
        <f t="shared" si="64"/>
        <v>0</v>
      </c>
      <c r="BE35" s="546">
        <f t="shared" si="65"/>
        <v>0</v>
      </c>
      <c r="BF35" s="636">
        <f>(BB35*初始化表!E$17+BC35*初始化表!F$17+BD35*初始化表!G$17+BE35*初始化表!H$17)/1300</f>
        <v>0</v>
      </c>
      <c r="BG35" s="637">
        <f t="shared" si="66"/>
        <v>0</v>
      </c>
      <c r="BH35" s="637">
        <f t="shared" si="67"/>
        <v>0</v>
      </c>
      <c r="BI35" s="638">
        <f t="shared" si="70"/>
        <v>0</v>
      </c>
      <c r="BJ35" s="546" t="str">
        <f t="shared" si="68"/>
        <v/>
      </c>
      <c r="BK35" s="546" t="str">
        <f t="shared" si="69"/>
        <v/>
      </c>
      <c r="BL35" s="61"/>
      <c r="BM35" s="269" t="s">
        <v>524</v>
      </c>
      <c r="BN35" s="77">
        <f>COUNTIF(BN7:BN26,"&gt;0")</f>
        <v>0</v>
      </c>
      <c r="BO35" s="77">
        <f>COUNTIF(BO7:BO26,"&gt;0")</f>
        <v>0</v>
      </c>
      <c r="BP35" s="77">
        <f>COUNTIF(BP7:BP26,"&gt;0")</f>
        <v>0</v>
      </c>
      <c r="BQ35" s="77">
        <f>COUNTIF(BQ7:BQ26,"&gt;0")</f>
        <v>0</v>
      </c>
      <c r="BR35" s="62"/>
      <c r="BS35" s="539">
        <f t="shared" si="59"/>
        <v>0</v>
      </c>
      <c r="BT35" s="552" t="e">
        <f t="shared" si="60"/>
        <v>#DIV/0!</v>
      </c>
      <c r="BU35" s="552" t="e">
        <f t="shared" si="60"/>
        <v>#DIV/0!</v>
      </c>
      <c r="BV35" s="552" t="e">
        <f t="shared" si="60"/>
        <v>#DIV/0!</v>
      </c>
      <c r="BW35" s="552" t="e">
        <f t="shared" si="60"/>
        <v>#DIV/0!</v>
      </c>
      <c r="BX35" s="552" t="e">
        <f t="shared" si="60"/>
        <v>#DIV/0!</v>
      </c>
      <c r="BY35" s="552" t="e">
        <f t="shared" si="60"/>
        <v>#DIV/0!</v>
      </c>
      <c r="BZ35" s="552" t="e">
        <f t="shared" si="60"/>
        <v>#DIV/0!</v>
      </c>
      <c r="CA35" s="552" t="e">
        <f t="shared" si="60"/>
        <v>#DIV/0!</v>
      </c>
      <c r="CB35" s="552" t="e">
        <f t="shared" si="60"/>
        <v>#DIV/0!</v>
      </c>
      <c r="CC35" s="552" t="e">
        <f t="shared" si="60"/>
        <v>#DIV/0!</v>
      </c>
      <c r="CD35" s="552" t="e">
        <f t="shared" si="60"/>
        <v>#DIV/0!</v>
      </c>
      <c r="CE35" s="552" t="e">
        <f t="shared" si="60"/>
        <v>#DIV/0!</v>
      </c>
      <c r="CF35" s="552" t="e">
        <f t="shared" si="60"/>
        <v>#DIV/0!</v>
      </c>
      <c r="CG35" s="552" t="e">
        <f t="shared" si="60"/>
        <v>#DIV/0!</v>
      </c>
      <c r="CH35" s="552" t="e">
        <f t="shared" si="60"/>
        <v>#DIV/0!</v>
      </c>
      <c r="CI35" s="552" t="e">
        <f t="shared" si="60"/>
        <v>#DIV/0!</v>
      </c>
      <c r="CJ35" s="453"/>
      <c r="CK35" s="228"/>
      <c r="CL35" s="228"/>
      <c r="CM35" s="228"/>
      <c r="CN35" s="228"/>
      <c r="CO35" s="228"/>
      <c r="CP35" s="228"/>
      <c r="CQ35" s="228"/>
      <c r="CR35" s="228"/>
      <c r="CS35" s="228"/>
      <c r="CT35" s="228"/>
      <c r="CU35" s="228"/>
      <c r="CV35" s="228"/>
      <c r="CW35" s="228"/>
      <c r="CX35" s="228"/>
      <c r="CY35" s="228"/>
      <c r="CZ35" s="228"/>
      <c r="DA35" s="228"/>
      <c r="DB35" s="228"/>
      <c r="DC35" s="228"/>
      <c r="DD35" s="228"/>
      <c r="DE35" s="228"/>
      <c r="DF35" s="228"/>
      <c r="DG35" s="228"/>
      <c r="DH35" s="228"/>
      <c r="DI35" s="228"/>
      <c r="DJ35" s="228"/>
      <c r="DK35" s="228"/>
      <c r="DL35" s="228"/>
      <c r="DM35" s="228"/>
      <c r="DN35" s="228"/>
      <c r="DO35" s="228"/>
      <c r="DP35" s="228"/>
      <c r="DQ35" s="228"/>
    </row>
    <row r="36" s="543" customFormat="1" ht="16" customHeight="1" spans="1:121">
      <c r="A36" s="269" t="s">
        <v>368</v>
      </c>
      <c r="B36" s="270"/>
      <c r="C36" s="261">
        <f>-N49*初始化表!B12</f>
        <v>0</v>
      </c>
      <c r="D36" s="586"/>
      <c r="E36" s="586">
        <f>E35-C36</f>
        <v>0</v>
      </c>
      <c r="F36" s="586">
        <f t="shared" si="58"/>
        <v>0</v>
      </c>
      <c r="G36" s="307"/>
      <c r="H36" s="354" t="s">
        <v>621</v>
      </c>
      <c r="I36" s="248">
        <f>-C34</f>
        <v>0</v>
      </c>
      <c r="J36" s="106" t="e">
        <f>INT(($N$49*1300-SUMPRODUCT($L$177:$L$180,$H$177:$H$180))/H178)</f>
        <v>#DIV/0!</v>
      </c>
      <c r="K36" s="269" t="s">
        <v>202</v>
      </c>
      <c r="L36" s="158"/>
      <c r="M36" s="587"/>
      <c r="N36" s="269" t="s">
        <v>622</v>
      </c>
      <c r="O36" s="269" t="s">
        <v>623</v>
      </c>
      <c r="P36" s="269" t="s">
        <v>624</v>
      </c>
      <c r="Q36" s="269" t="s">
        <v>625</v>
      </c>
      <c r="R36" s="269" t="s">
        <v>626</v>
      </c>
      <c r="S36" s="614"/>
      <c r="T36" s="613"/>
      <c r="U36" s="68" t="s">
        <v>464</v>
      </c>
      <c r="V36" s="115">
        <f>初期!V30</f>
        <v>0</v>
      </c>
      <c r="W36" s="115">
        <f>初期!W30</f>
        <v>0</v>
      </c>
      <c r="X36" s="115">
        <f>初期!X30</f>
        <v>0</v>
      </c>
      <c r="Y36" s="115">
        <f>初期!Y30</f>
        <v>0</v>
      </c>
      <c r="Z36" s="91"/>
      <c r="AA36" s="307"/>
      <c r="AB36" s="151" t="s">
        <v>202</v>
      </c>
      <c r="AC36" s="152" t="e">
        <f>初始化表!$F$22-AC6</f>
        <v>#DIV/0!</v>
      </c>
      <c r="AD36" s="152" t="e">
        <f>初始化表!$F$22-AD6</f>
        <v>#DIV/0!</v>
      </c>
      <c r="AE36" s="152" t="e">
        <f>初始化表!$F$22-AE6</f>
        <v>#DIV/0!</v>
      </c>
      <c r="AF36" s="152" t="e">
        <f>初始化表!$F$22-AF6</f>
        <v>#DIV/0!</v>
      </c>
      <c r="AG36" s="152" t="e">
        <f>初始化表!$F$22-AG6</f>
        <v>#DIV/0!</v>
      </c>
      <c r="AH36" s="307"/>
      <c r="AI36" s="69"/>
      <c r="AJ36" s="68" t="s">
        <v>320</v>
      </c>
      <c r="AK36" s="68" t="s">
        <v>321</v>
      </c>
      <c r="AL36" s="68" t="s">
        <v>322</v>
      </c>
      <c r="AM36" s="68" t="s">
        <v>319</v>
      </c>
      <c r="AN36" s="68" t="s">
        <v>320</v>
      </c>
      <c r="AO36" s="68" t="s">
        <v>321</v>
      </c>
      <c r="AP36" s="68" t="s">
        <v>322</v>
      </c>
      <c r="AQ36" s="68" t="s">
        <v>319</v>
      </c>
      <c r="AR36" s="68" t="s">
        <v>320</v>
      </c>
      <c r="AS36" s="68" t="s">
        <v>321</v>
      </c>
      <c r="AT36" s="68" t="s">
        <v>322</v>
      </c>
      <c r="AU36" s="68" t="s">
        <v>319</v>
      </c>
      <c r="AV36" s="68" t="s">
        <v>320</v>
      </c>
      <c r="AW36" s="68" t="s">
        <v>321</v>
      </c>
      <c r="AX36" s="68" t="s">
        <v>322</v>
      </c>
      <c r="AY36" s="68" t="s">
        <v>41</v>
      </c>
      <c r="AZ36" s="63"/>
      <c r="BA36" s="539">
        <f t="shared" si="61"/>
        <v>0</v>
      </c>
      <c r="BB36" s="546">
        <f t="shared" si="62"/>
        <v>0</v>
      </c>
      <c r="BC36" s="546">
        <f t="shared" si="63"/>
        <v>0</v>
      </c>
      <c r="BD36" s="546">
        <f t="shared" si="64"/>
        <v>0</v>
      </c>
      <c r="BE36" s="546">
        <f t="shared" si="65"/>
        <v>0</v>
      </c>
      <c r="BF36" s="636">
        <f>(BB36*初始化表!E$17+BC36*初始化表!F$17+BD36*初始化表!G$17+BE36*初始化表!H$17)/1300</f>
        <v>0</v>
      </c>
      <c r="BG36" s="637">
        <f t="shared" si="66"/>
        <v>0</v>
      </c>
      <c r="BH36" s="637">
        <f t="shared" si="67"/>
        <v>0</v>
      </c>
      <c r="BI36" s="638">
        <f t="shared" si="70"/>
        <v>0</v>
      </c>
      <c r="BJ36" s="546" t="str">
        <f t="shared" si="68"/>
        <v/>
      </c>
      <c r="BK36" s="546" t="str">
        <f t="shared" si="69"/>
        <v/>
      </c>
      <c r="BL36" s="61"/>
      <c r="BM36" s="270"/>
      <c r="BN36" s="269" t="s">
        <v>513</v>
      </c>
      <c r="BO36" s="269" t="s">
        <v>514</v>
      </c>
      <c r="BP36" s="269" t="s">
        <v>515</v>
      </c>
      <c r="BQ36" s="269" t="s">
        <v>516</v>
      </c>
      <c r="BR36" s="62"/>
      <c r="BS36" s="539">
        <f t="shared" si="59"/>
        <v>0</v>
      </c>
      <c r="BT36" s="552" t="e">
        <f t="shared" ref="BT36:BT45" si="71">$BT11*(AJ67-BT$50)/BT$51</f>
        <v>#DIV/0!</v>
      </c>
      <c r="BU36" s="552" t="e">
        <f t="shared" ref="BU36:BU45" si="72">$BT11*(AK67-BU$50)/BU$51</f>
        <v>#DIV/0!</v>
      </c>
      <c r="BV36" s="552" t="e">
        <f t="shared" ref="BV36:BV45" si="73">$BT11*(AL67-BV$50)/BV$51</f>
        <v>#DIV/0!</v>
      </c>
      <c r="BW36" s="552" t="e">
        <f t="shared" ref="BW36:BW45" si="74">$BT11*(AM67-BW$50)/BW$51</f>
        <v>#DIV/0!</v>
      </c>
      <c r="BX36" s="552" t="e">
        <f t="shared" ref="BX36:BX45" si="75">$BT11*(AN67-BX$50)/BX$51</f>
        <v>#DIV/0!</v>
      </c>
      <c r="BY36" s="552" t="e">
        <f t="shared" ref="BY36:BY45" si="76">$BT11*(AO67-BY$50)/BY$51</f>
        <v>#DIV/0!</v>
      </c>
      <c r="BZ36" s="552" t="e">
        <f t="shared" ref="BZ36:BZ45" si="77">$BT11*(AP67-BZ$50)/BZ$51</f>
        <v>#DIV/0!</v>
      </c>
      <c r="CA36" s="552" t="e">
        <f t="shared" ref="CA36:CA45" si="78">$BT11*(AQ67-CA$50)/CA$51</f>
        <v>#DIV/0!</v>
      </c>
      <c r="CB36" s="552" t="e">
        <f t="shared" ref="CB36:CB45" si="79">$BT11*(AR67-CB$50)/CB$51</f>
        <v>#DIV/0!</v>
      </c>
      <c r="CC36" s="552" t="e">
        <f t="shared" ref="CC36:CC45" si="80">$BT11*(AS67-CC$50)/CC$51</f>
        <v>#DIV/0!</v>
      </c>
      <c r="CD36" s="552" t="e">
        <f t="shared" ref="CD36:CD45" si="81">$BT11*(AT67-CD$50)/CD$51</f>
        <v>#DIV/0!</v>
      </c>
      <c r="CE36" s="552" t="e">
        <f t="shared" ref="CE36:CE45" si="82">$BT11*(AU67-CE$50)/CE$51</f>
        <v>#DIV/0!</v>
      </c>
      <c r="CF36" s="552" t="e">
        <f t="shared" ref="CF36:CF45" si="83">$BT11*(AV67-CF$50)/CF$51</f>
        <v>#DIV/0!</v>
      </c>
      <c r="CG36" s="552" t="e">
        <f t="shared" ref="CG36:CG45" si="84">$BT11*(AW67-CG$50)/CG$51</f>
        <v>#DIV/0!</v>
      </c>
      <c r="CH36" s="552" t="e">
        <f t="shared" ref="CH36:CH45" si="85">$BT11*(AX67-CH$50)/CH$51</f>
        <v>#DIV/0!</v>
      </c>
      <c r="CI36" s="552" t="e">
        <f t="shared" ref="CI36:CI49" si="86">$BT11*(AY67-CI$50)/CI$51</f>
        <v>#DIV/0!</v>
      </c>
      <c r="CJ36" s="453"/>
      <c r="CK36" s="228"/>
      <c r="CL36" s="228"/>
      <c r="CM36" s="228"/>
      <c r="CN36" s="228"/>
      <c r="CO36" s="228"/>
      <c r="CP36" s="228"/>
      <c r="CQ36" s="228"/>
      <c r="CR36" s="228"/>
      <c r="CS36" s="228"/>
      <c r="CT36" s="228"/>
      <c r="CU36" s="228"/>
      <c r="CV36" s="228"/>
      <c r="CW36" s="228"/>
      <c r="CX36" s="228"/>
      <c r="CY36" s="228"/>
      <c r="CZ36" s="228"/>
      <c r="DA36" s="228"/>
      <c r="DB36" s="228"/>
      <c r="DC36" s="228"/>
      <c r="DD36" s="228"/>
      <c r="DE36" s="228"/>
      <c r="DF36" s="228"/>
      <c r="DG36" s="228"/>
      <c r="DH36" s="228"/>
      <c r="DI36" s="228"/>
      <c r="DJ36" s="228"/>
      <c r="DK36" s="228"/>
      <c r="DL36" s="228"/>
      <c r="DM36" s="228"/>
      <c r="DN36" s="228"/>
      <c r="DO36" s="228"/>
      <c r="DP36" s="228"/>
      <c r="DQ36" s="228"/>
    </row>
    <row r="37" s="543" customFormat="1" ht="16" customHeight="1" spans="1:121">
      <c r="A37" s="269" t="s">
        <v>369</v>
      </c>
      <c r="B37" s="270"/>
      <c r="C37" s="261">
        <f>IF(F36&lt;0,INT(1-F36),0)</f>
        <v>0</v>
      </c>
      <c r="D37" s="586"/>
      <c r="E37" s="586"/>
      <c r="F37" s="586">
        <f t="shared" si="58"/>
        <v>0</v>
      </c>
      <c r="G37" s="307"/>
      <c r="H37" s="354" t="s">
        <v>225</v>
      </c>
      <c r="I37" s="248">
        <f>-C35</f>
        <v>0</v>
      </c>
      <c r="J37" s="106" t="e">
        <f>INT(($N$49*1300-SUMPRODUCT($L$177:$L$180,$H$177:$H$180))/H179)</f>
        <v>#DIV/0!</v>
      </c>
      <c r="K37" s="269" t="s">
        <v>206</v>
      </c>
      <c r="L37" s="158"/>
      <c r="M37" s="587"/>
      <c r="N37" s="102">
        <f>初期!H31</f>
        <v>0</v>
      </c>
      <c r="O37" s="86">
        <v>0</v>
      </c>
      <c r="P37" s="102" t="e">
        <f>MAX(0,INT(MIN(D56-E60+C61,F62-初始化表!B21)))</f>
        <v>#DIV/0!</v>
      </c>
      <c r="Q37" s="102" t="e">
        <f>MAX(0,INT(MIN(F62-MAX(E60,C28),F62+第2期!Q35+第2期!P33-F30+F48,P37)))</f>
        <v>#DIV/0!</v>
      </c>
      <c r="R37" s="589">
        <v>0</v>
      </c>
      <c r="S37" s="132"/>
      <c r="T37" s="613"/>
      <c r="U37" s="68" t="s">
        <v>465</v>
      </c>
      <c r="V37" s="115">
        <f>初期!V31</f>
        <v>0</v>
      </c>
      <c r="W37" s="115">
        <f>初期!W31</f>
        <v>0</v>
      </c>
      <c r="X37" s="115">
        <f>初期!X31</f>
        <v>0</v>
      </c>
      <c r="Y37" s="115">
        <f>初期!Y31</f>
        <v>0</v>
      </c>
      <c r="Z37" s="91"/>
      <c r="AA37" s="307"/>
      <c r="AB37" s="151" t="s">
        <v>206</v>
      </c>
      <c r="AC37" s="152" t="e">
        <f>初始化表!$G$22-AC7</f>
        <v>#DIV/0!</v>
      </c>
      <c r="AD37" s="152" t="e">
        <f>初始化表!$G$22-AD7</f>
        <v>#DIV/0!</v>
      </c>
      <c r="AE37" s="152" t="e">
        <f>初始化表!$G$22-AE7</f>
        <v>#DIV/0!</v>
      </c>
      <c r="AF37" s="152" t="e">
        <f>初始化表!$G$22-AF7</f>
        <v>#DIV/0!</v>
      </c>
      <c r="AG37" s="152" t="e">
        <f>初始化表!$G$22-AG7</f>
        <v>#DIV/0!</v>
      </c>
      <c r="AH37" s="307"/>
      <c r="AI37" s="535"/>
      <c r="AJ37" s="536"/>
      <c r="AK37" s="536"/>
      <c r="AL37" s="536"/>
      <c r="AM37" s="536"/>
      <c r="AN37" s="536"/>
      <c r="AO37" s="536"/>
      <c r="AP37" s="536"/>
      <c r="AQ37" s="536"/>
      <c r="AR37" s="536"/>
      <c r="AS37" s="536"/>
      <c r="AT37" s="536"/>
      <c r="AU37" s="536"/>
      <c r="AV37" s="536"/>
      <c r="AW37" s="536"/>
      <c r="AX37" s="536"/>
      <c r="AY37" s="536"/>
      <c r="AZ37" s="63"/>
      <c r="BA37" s="539">
        <f t="shared" si="61"/>
        <v>0</v>
      </c>
      <c r="BB37" s="546">
        <f t="shared" si="62"/>
        <v>0</v>
      </c>
      <c r="BC37" s="546">
        <f t="shared" si="63"/>
        <v>0</v>
      </c>
      <c r="BD37" s="546">
        <f t="shared" si="64"/>
        <v>0</v>
      </c>
      <c r="BE37" s="546">
        <f t="shared" si="65"/>
        <v>0</v>
      </c>
      <c r="BF37" s="636">
        <f>(BB37*初始化表!E$17+BC37*初始化表!F$17+BD37*初始化表!G$17+BE37*初始化表!H$17)/1300</f>
        <v>0</v>
      </c>
      <c r="BG37" s="637">
        <f t="shared" si="66"/>
        <v>0</v>
      </c>
      <c r="BH37" s="637">
        <f t="shared" si="67"/>
        <v>0</v>
      </c>
      <c r="BI37" s="638">
        <f t="shared" si="70"/>
        <v>0</v>
      </c>
      <c r="BJ37" s="546" t="str">
        <f t="shared" si="68"/>
        <v/>
      </c>
      <c r="BK37" s="546" t="str">
        <f t="shared" si="69"/>
        <v/>
      </c>
      <c r="BL37" s="61"/>
      <c r="BM37" s="269" t="s">
        <v>521</v>
      </c>
      <c r="BN37" s="77">
        <f>BB28</f>
        <v>0</v>
      </c>
      <c r="BO37" s="77">
        <f>BC28</f>
        <v>0</v>
      </c>
      <c r="BP37" s="77">
        <f>BD28</f>
        <v>0</v>
      </c>
      <c r="BQ37" s="77">
        <f>BE28</f>
        <v>0</v>
      </c>
      <c r="BR37" s="62"/>
      <c r="BS37" s="539">
        <f t="shared" si="59"/>
        <v>0</v>
      </c>
      <c r="BT37" s="552" t="e">
        <f t="shared" si="71"/>
        <v>#DIV/0!</v>
      </c>
      <c r="BU37" s="552" t="e">
        <f t="shared" si="72"/>
        <v>#DIV/0!</v>
      </c>
      <c r="BV37" s="552" t="e">
        <f t="shared" si="73"/>
        <v>#DIV/0!</v>
      </c>
      <c r="BW37" s="552" t="e">
        <f t="shared" si="74"/>
        <v>#DIV/0!</v>
      </c>
      <c r="BX37" s="552" t="e">
        <f t="shared" si="75"/>
        <v>#DIV/0!</v>
      </c>
      <c r="BY37" s="552" t="e">
        <f t="shared" si="76"/>
        <v>#DIV/0!</v>
      </c>
      <c r="BZ37" s="552" t="e">
        <f t="shared" si="77"/>
        <v>#DIV/0!</v>
      </c>
      <c r="CA37" s="552" t="e">
        <f t="shared" si="78"/>
        <v>#DIV/0!</v>
      </c>
      <c r="CB37" s="552" t="e">
        <f t="shared" si="79"/>
        <v>#DIV/0!</v>
      </c>
      <c r="CC37" s="552" t="e">
        <f t="shared" si="80"/>
        <v>#DIV/0!</v>
      </c>
      <c r="CD37" s="552" t="e">
        <f t="shared" si="81"/>
        <v>#DIV/0!</v>
      </c>
      <c r="CE37" s="552" t="e">
        <f t="shared" si="82"/>
        <v>#DIV/0!</v>
      </c>
      <c r="CF37" s="552" t="e">
        <f t="shared" si="83"/>
        <v>#DIV/0!</v>
      </c>
      <c r="CG37" s="552" t="e">
        <f t="shared" si="84"/>
        <v>#DIV/0!</v>
      </c>
      <c r="CH37" s="552" t="e">
        <f t="shared" si="85"/>
        <v>#DIV/0!</v>
      </c>
      <c r="CI37" s="552" t="e">
        <f t="shared" si="86"/>
        <v>#DIV/0!</v>
      </c>
      <c r="CJ37" s="453"/>
      <c r="CK37" s="228"/>
      <c r="CL37" s="228"/>
      <c r="CM37" s="228"/>
      <c r="CN37" s="228"/>
      <c r="CO37" s="228"/>
      <c r="CP37" s="228"/>
      <c r="CQ37" s="228"/>
      <c r="CR37" s="228"/>
      <c r="CS37" s="228"/>
      <c r="CT37" s="228"/>
      <c r="CU37" s="228"/>
      <c r="CV37" s="228"/>
      <c r="CW37" s="228"/>
      <c r="CX37" s="228"/>
      <c r="CY37" s="228"/>
      <c r="CZ37" s="228"/>
      <c r="DA37" s="228"/>
      <c r="DB37" s="228"/>
      <c r="DC37" s="228"/>
      <c r="DD37" s="228"/>
      <c r="DE37" s="228"/>
      <c r="DF37" s="228"/>
      <c r="DG37" s="228"/>
      <c r="DH37" s="228"/>
      <c r="DI37" s="228"/>
      <c r="DJ37" s="228"/>
      <c r="DK37" s="228"/>
      <c r="DL37" s="228"/>
      <c r="DM37" s="228"/>
      <c r="DN37" s="228"/>
      <c r="DO37" s="228"/>
      <c r="DP37" s="228"/>
      <c r="DQ37" s="228"/>
    </row>
    <row r="38" s="543" customFormat="1" ht="16" customHeight="1" spans="1:121">
      <c r="A38" s="269" t="s">
        <v>370</v>
      </c>
      <c r="B38" s="270"/>
      <c r="C38" s="261">
        <f>-SUM(F17:F20)</f>
        <v>0</v>
      </c>
      <c r="D38" s="586"/>
      <c r="E38" s="586"/>
      <c r="F38" s="586">
        <f t="shared" si="58"/>
        <v>0</v>
      </c>
      <c r="G38" s="307"/>
      <c r="H38" s="354" t="s">
        <v>627</v>
      </c>
      <c r="I38" s="248">
        <f>-C44</f>
        <v>0</v>
      </c>
      <c r="J38" s="106" t="e">
        <f>INT(($N$49*1300-SUMPRODUCT($L$177:$L$180,$H$177:$H$180))/H180)</f>
        <v>#DIV/0!</v>
      </c>
      <c r="K38" s="269" t="s">
        <v>208</v>
      </c>
      <c r="L38" s="158"/>
      <c r="M38" s="587"/>
      <c r="N38" s="116" t="s">
        <v>628</v>
      </c>
      <c r="O38" s="108"/>
      <c r="P38" s="604" t="e">
        <f>F48</f>
        <v>#DIV/0!</v>
      </c>
      <c r="Q38" s="269" t="s">
        <v>629</v>
      </c>
      <c r="R38" s="292" t="e">
        <f>F64-MAX(E60,初期!E42)</f>
        <v>#DIV/0!</v>
      </c>
      <c r="S38" s="619"/>
      <c r="T38" s="613"/>
      <c r="U38" s="68" t="s">
        <v>466</v>
      </c>
      <c r="V38" s="115">
        <f>初期!V32</f>
        <v>0</v>
      </c>
      <c r="W38" s="115">
        <f>初期!W32</f>
        <v>0</v>
      </c>
      <c r="X38" s="115">
        <f>初期!X32</f>
        <v>0</v>
      </c>
      <c r="Y38" s="115">
        <f>初期!Y32</f>
        <v>0</v>
      </c>
      <c r="Z38" s="91"/>
      <c r="AA38" s="307"/>
      <c r="AB38" s="151" t="s">
        <v>208</v>
      </c>
      <c r="AC38" s="152" t="e">
        <f>初始化表!$H$22-AC8</f>
        <v>#DIV/0!</v>
      </c>
      <c r="AD38" s="152" t="e">
        <f>初始化表!$H$22-AD8</f>
        <v>#DIV/0!</v>
      </c>
      <c r="AE38" s="152" t="e">
        <f>初始化表!$H$22-AE8</f>
        <v>#DIV/0!</v>
      </c>
      <c r="AF38" s="152" t="e">
        <f>初始化表!$H$22-AF8</f>
        <v>#DIV/0!</v>
      </c>
      <c r="AG38" s="152" t="e">
        <f>初始化表!$H$22-AG8</f>
        <v>#DIV/0!</v>
      </c>
      <c r="AH38" s="307"/>
      <c r="AI38" s="535"/>
      <c r="AJ38" s="536"/>
      <c r="AK38" s="536"/>
      <c r="AL38" s="536"/>
      <c r="AM38" s="536"/>
      <c r="AN38" s="536"/>
      <c r="AO38" s="536"/>
      <c r="AP38" s="536"/>
      <c r="AQ38" s="536"/>
      <c r="AR38" s="536"/>
      <c r="AS38" s="536"/>
      <c r="AT38" s="536"/>
      <c r="AU38" s="536"/>
      <c r="AV38" s="536"/>
      <c r="AW38" s="536"/>
      <c r="AX38" s="536"/>
      <c r="AY38" s="536"/>
      <c r="AZ38" s="63"/>
      <c r="BA38" s="539">
        <f t="shared" si="61"/>
        <v>0</v>
      </c>
      <c r="BB38" s="546">
        <f t="shared" si="62"/>
        <v>0</v>
      </c>
      <c r="BC38" s="546">
        <f t="shared" si="63"/>
        <v>0</v>
      </c>
      <c r="BD38" s="546">
        <f t="shared" si="64"/>
        <v>0</v>
      </c>
      <c r="BE38" s="546">
        <f t="shared" si="65"/>
        <v>0</v>
      </c>
      <c r="BF38" s="636">
        <f>(BB38*初始化表!E$17+BC38*初始化表!F$17+BD38*初始化表!G$17+BE38*初始化表!H$17)/1300</f>
        <v>0</v>
      </c>
      <c r="BG38" s="637">
        <f t="shared" si="66"/>
        <v>0</v>
      </c>
      <c r="BH38" s="637">
        <f t="shared" si="67"/>
        <v>0</v>
      </c>
      <c r="BI38" s="638">
        <f t="shared" si="70"/>
        <v>0</v>
      </c>
      <c r="BJ38" s="546" t="str">
        <f t="shared" si="68"/>
        <v/>
      </c>
      <c r="BK38" s="546" t="str">
        <f t="shared" si="69"/>
        <v/>
      </c>
      <c r="BL38" s="61"/>
      <c r="BM38" s="269" t="s">
        <v>522</v>
      </c>
      <c r="BN38" s="77">
        <f>BF28</f>
        <v>0</v>
      </c>
      <c r="BO38" s="77">
        <f>BG28</f>
        <v>0</v>
      </c>
      <c r="BP38" s="77">
        <f>BH28</f>
        <v>0</v>
      </c>
      <c r="BQ38" s="77">
        <f>BI28</f>
        <v>0</v>
      </c>
      <c r="BR38" s="62"/>
      <c r="BS38" s="539">
        <f t="shared" si="59"/>
        <v>0</v>
      </c>
      <c r="BT38" s="552" t="e">
        <f t="shared" si="71"/>
        <v>#DIV/0!</v>
      </c>
      <c r="BU38" s="552" t="e">
        <f t="shared" si="72"/>
        <v>#DIV/0!</v>
      </c>
      <c r="BV38" s="552" t="e">
        <f t="shared" si="73"/>
        <v>#DIV/0!</v>
      </c>
      <c r="BW38" s="552" t="e">
        <f t="shared" si="74"/>
        <v>#DIV/0!</v>
      </c>
      <c r="BX38" s="552" t="e">
        <f t="shared" si="75"/>
        <v>#DIV/0!</v>
      </c>
      <c r="BY38" s="552" t="e">
        <f t="shared" si="76"/>
        <v>#DIV/0!</v>
      </c>
      <c r="BZ38" s="552" t="e">
        <f t="shared" si="77"/>
        <v>#DIV/0!</v>
      </c>
      <c r="CA38" s="552" t="e">
        <f t="shared" si="78"/>
        <v>#DIV/0!</v>
      </c>
      <c r="CB38" s="552" t="e">
        <f t="shared" si="79"/>
        <v>#DIV/0!</v>
      </c>
      <c r="CC38" s="552" t="e">
        <f t="shared" si="80"/>
        <v>#DIV/0!</v>
      </c>
      <c r="CD38" s="552" t="e">
        <f t="shared" si="81"/>
        <v>#DIV/0!</v>
      </c>
      <c r="CE38" s="552" t="e">
        <f t="shared" si="82"/>
        <v>#DIV/0!</v>
      </c>
      <c r="CF38" s="552" t="e">
        <f t="shared" si="83"/>
        <v>#DIV/0!</v>
      </c>
      <c r="CG38" s="552" t="e">
        <f t="shared" si="84"/>
        <v>#DIV/0!</v>
      </c>
      <c r="CH38" s="552" t="e">
        <f t="shared" si="85"/>
        <v>#DIV/0!</v>
      </c>
      <c r="CI38" s="552" t="e">
        <f t="shared" si="86"/>
        <v>#DIV/0!</v>
      </c>
      <c r="CJ38" s="453"/>
      <c r="CK38" s="228"/>
      <c r="CL38" s="228"/>
      <c r="CM38" s="228"/>
      <c r="CN38" s="228"/>
      <c r="CO38" s="228"/>
      <c r="CP38" s="228"/>
      <c r="CQ38" s="228"/>
      <c r="CR38" s="228"/>
      <c r="CS38" s="228"/>
      <c r="CT38" s="228"/>
      <c r="CU38" s="228"/>
      <c r="CV38" s="228"/>
      <c r="CW38" s="228"/>
      <c r="CX38" s="228"/>
      <c r="CY38" s="228"/>
      <c r="CZ38" s="228"/>
      <c r="DA38" s="228"/>
      <c r="DB38" s="228"/>
      <c r="DC38" s="228"/>
      <c r="DD38" s="228"/>
      <c r="DE38" s="228"/>
      <c r="DF38" s="228"/>
      <c r="DG38" s="228"/>
      <c r="DH38" s="228"/>
      <c r="DI38" s="228"/>
      <c r="DJ38" s="228"/>
      <c r="DK38" s="228"/>
      <c r="DL38" s="228"/>
      <c r="DM38" s="228"/>
      <c r="DN38" s="228"/>
      <c r="DO38" s="228"/>
      <c r="DP38" s="228"/>
      <c r="DQ38" s="228"/>
    </row>
    <row r="39" s="543" customFormat="1" ht="16" customHeight="1" spans="1:121">
      <c r="A39" s="269" t="s">
        <v>371</v>
      </c>
      <c r="B39" s="270"/>
      <c r="C39" s="261">
        <f>(C38+初期!B16)/2</f>
        <v>0</v>
      </c>
      <c r="D39" s="586"/>
      <c r="E39" s="586">
        <f>E36-C39</f>
        <v>0</v>
      </c>
      <c r="F39" s="586"/>
      <c r="G39" s="307"/>
      <c r="H39" s="354" t="s">
        <v>241</v>
      </c>
      <c r="I39" s="248">
        <f>SUM(I34:I38)</f>
        <v>0</v>
      </c>
      <c r="J39" s="605" t="s">
        <v>630</v>
      </c>
      <c r="K39" s="606"/>
      <c r="L39" s="606"/>
      <c r="M39" s="587"/>
      <c r="N39" s="269" t="s">
        <v>631</v>
      </c>
      <c r="O39" s="270"/>
      <c r="P39" s="270"/>
      <c r="Q39" s="270"/>
      <c r="R39" s="270"/>
      <c r="S39" s="91"/>
      <c r="T39" s="613"/>
      <c r="U39" s="68" t="s">
        <v>468</v>
      </c>
      <c r="V39" s="115">
        <f>初期!V33</f>
        <v>0</v>
      </c>
      <c r="W39" s="115">
        <f>初期!W33</f>
        <v>0</v>
      </c>
      <c r="X39" s="115">
        <f>初期!X33</f>
        <v>0</v>
      </c>
      <c r="Y39" s="115">
        <f>初期!Y33</f>
        <v>0</v>
      </c>
      <c r="Z39" s="91"/>
      <c r="AA39" s="307"/>
      <c r="AB39" s="74"/>
      <c r="AC39" s="74"/>
      <c r="AD39" s="74"/>
      <c r="AE39" s="74"/>
      <c r="AF39" s="74"/>
      <c r="AG39" s="74"/>
      <c r="AH39" s="307"/>
      <c r="AI39" s="535"/>
      <c r="AJ39" s="536"/>
      <c r="AK39" s="536"/>
      <c r="AL39" s="536"/>
      <c r="AM39" s="536"/>
      <c r="AN39" s="536"/>
      <c r="AO39" s="536"/>
      <c r="AP39" s="536"/>
      <c r="AQ39" s="536"/>
      <c r="AR39" s="536"/>
      <c r="AS39" s="536"/>
      <c r="AT39" s="536"/>
      <c r="AU39" s="536"/>
      <c r="AV39" s="536"/>
      <c r="AW39" s="536"/>
      <c r="AX39" s="536"/>
      <c r="AY39" s="536"/>
      <c r="AZ39" s="63"/>
      <c r="BA39" s="539">
        <f t="shared" si="61"/>
        <v>0</v>
      </c>
      <c r="BB39" s="546">
        <f t="shared" si="62"/>
        <v>0</v>
      </c>
      <c r="BC39" s="546">
        <f t="shared" si="63"/>
        <v>0</v>
      </c>
      <c r="BD39" s="546">
        <f t="shared" si="64"/>
        <v>0</v>
      </c>
      <c r="BE39" s="546">
        <f t="shared" si="65"/>
        <v>0</v>
      </c>
      <c r="BF39" s="636">
        <f>(BB39*初始化表!E$17+BC39*初始化表!F$17+BD39*初始化表!G$17+BE39*初始化表!H$17)/1300</f>
        <v>0</v>
      </c>
      <c r="BG39" s="637">
        <f t="shared" si="66"/>
        <v>0</v>
      </c>
      <c r="BH39" s="637">
        <f t="shared" si="67"/>
        <v>0</v>
      </c>
      <c r="BI39" s="638">
        <f t="shared" si="70"/>
        <v>0</v>
      </c>
      <c r="BJ39" s="546" t="str">
        <f t="shared" si="68"/>
        <v/>
      </c>
      <c r="BK39" s="546" t="str">
        <f t="shared" si="69"/>
        <v/>
      </c>
      <c r="BL39" s="61"/>
      <c r="BM39" s="269" t="s">
        <v>523</v>
      </c>
      <c r="BN39" s="77">
        <f>BJ28</f>
        <v>0</v>
      </c>
      <c r="BO39" s="77">
        <f>BK28</f>
        <v>0</v>
      </c>
      <c r="BP39" s="77">
        <f>BL28</f>
        <v>0</v>
      </c>
      <c r="BQ39" s="77">
        <f>BM28</f>
        <v>0</v>
      </c>
      <c r="BR39" s="62"/>
      <c r="BS39" s="539">
        <f t="shared" si="59"/>
        <v>0</v>
      </c>
      <c r="BT39" s="552" t="e">
        <f t="shared" si="71"/>
        <v>#DIV/0!</v>
      </c>
      <c r="BU39" s="552" t="e">
        <f t="shared" si="72"/>
        <v>#DIV/0!</v>
      </c>
      <c r="BV39" s="552" t="e">
        <f t="shared" si="73"/>
        <v>#DIV/0!</v>
      </c>
      <c r="BW39" s="552" t="e">
        <f t="shared" si="74"/>
        <v>#DIV/0!</v>
      </c>
      <c r="BX39" s="552" t="e">
        <f t="shared" si="75"/>
        <v>#DIV/0!</v>
      </c>
      <c r="BY39" s="552" t="e">
        <f t="shared" si="76"/>
        <v>#DIV/0!</v>
      </c>
      <c r="BZ39" s="552" t="e">
        <f t="shared" si="77"/>
        <v>#DIV/0!</v>
      </c>
      <c r="CA39" s="552" t="e">
        <f t="shared" si="78"/>
        <v>#DIV/0!</v>
      </c>
      <c r="CB39" s="552" t="e">
        <f t="shared" si="79"/>
        <v>#DIV/0!</v>
      </c>
      <c r="CC39" s="552" t="e">
        <f t="shared" si="80"/>
        <v>#DIV/0!</v>
      </c>
      <c r="CD39" s="552" t="e">
        <f t="shared" si="81"/>
        <v>#DIV/0!</v>
      </c>
      <c r="CE39" s="552" t="e">
        <f t="shared" si="82"/>
        <v>#DIV/0!</v>
      </c>
      <c r="CF39" s="552" t="e">
        <f t="shared" si="83"/>
        <v>#DIV/0!</v>
      </c>
      <c r="CG39" s="552" t="e">
        <f t="shared" si="84"/>
        <v>#DIV/0!</v>
      </c>
      <c r="CH39" s="552" t="e">
        <f t="shared" si="85"/>
        <v>#DIV/0!</v>
      </c>
      <c r="CI39" s="552" t="e">
        <f t="shared" si="86"/>
        <v>#DIV/0!</v>
      </c>
      <c r="CJ39" s="453"/>
      <c r="CK39" s="228"/>
      <c r="CL39" s="228"/>
      <c r="CM39" s="228"/>
      <c r="CN39" s="228"/>
      <c r="CO39" s="228"/>
      <c r="CP39" s="228"/>
      <c r="CQ39" s="228"/>
      <c r="CR39" s="228"/>
      <c r="CS39" s="228"/>
      <c r="CT39" s="228"/>
      <c r="CU39" s="228"/>
      <c r="CV39" s="228"/>
      <c r="CW39" s="228"/>
      <c r="CX39" s="228"/>
      <c r="CY39" s="228"/>
      <c r="CZ39" s="228"/>
      <c r="DA39" s="228"/>
      <c r="DB39" s="228"/>
      <c r="DC39" s="228"/>
      <c r="DD39" s="228"/>
      <c r="DE39" s="228"/>
      <c r="DF39" s="228"/>
      <c r="DG39" s="228"/>
      <c r="DH39" s="228"/>
      <c r="DI39" s="228"/>
      <c r="DJ39" s="228"/>
      <c r="DK39" s="228"/>
      <c r="DL39" s="228"/>
      <c r="DM39" s="228"/>
      <c r="DN39" s="228"/>
      <c r="DO39" s="228"/>
      <c r="DP39" s="228"/>
      <c r="DQ39" s="228"/>
    </row>
    <row r="40" s="543" customFormat="1" ht="16" customHeight="1" spans="1:121">
      <c r="A40" s="269" t="s">
        <v>372</v>
      </c>
      <c r="B40" s="270"/>
      <c r="C40" s="261">
        <f>-E22</f>
        <v>0</v>
      </c>
      <c r="D40" s="586"/>
      <c r="E40" s="586"/>
      <c r="F40" s="586">
        <f>F38+C40</f>
        <v>0</v>
      </c>
      <c r="G40" s="307"/>
      <c r="H40" s="91"/>
      <c r="I40" s="91"/>
      <c r="J40" s="91"/>
      <c r="K40" s="91"/>
      <c r="L40" s="91"/>
      <c r="M40" s="587"/>
      <c r="N40" s="269" t="s">
        <v>632</v>
      </c>
      <c r="O40" s="269" t="s">
        <v>521</v>
      </c>
      <c r="P40" s="269" t="s">
        <v>522</v>
      </c>
      <c r="Q40" s="269" t="s">
        <v>523</v>
      </c>
      <c r="R40" s="269" t="s">
        <v>524</v>
      </c>
      <c r="S40" s="614"/>
      <c r="T40" s="613"/>
      <c r="U40" s="123"/>
      <c r="V40" s="91"/>
      <c r="W40" s="91"/>
      <c r="X40" s="91"/>
      <c r="Y40" s="91"/>
      <c r="Z40" s="91"/>
      <c r="AA40" s="307"/>
      <c r="AB40" s="159" t="s">
        <v>633</v>
      </c>
      <c r="AC40" s="160"/>
      <c r="AD40" s="161" t="e">
        <f>F77/AD41</f>
        <v>#DIV/0!</v>
      </c>
      <c r="AE40" s="161"/>
      <c r="AF40" s="74"/>
      <c r="AG40" s="74"/>
      <c r="AH40" s="307"/>
      <c r="AI40" s="535"/>
      <c r="AJ40" s="536"/>
      <c r="AK40" s="536"/>
      <c r="AL40" s="536"/>
      <c r="AM40" s="536"/>
      <c r="AN40" s="536"/>
      <c r="AO40" s="536"/>
      <c r="AP40" s="536"/>
      <c r="AQ40" s="536"/>
      <c r="AR40" s="536"/>
      <c r="AS40" s="536"/>
      <c r="AT40" s="536"/>
      <c r="AU40" s="536"/>
      <c r="AV40" s="536"/>
      <c r="AW40" s="536"/>
      <c r="AX40" s="536"/>
      <c r="AY40" s="536"/>
      <c r="AZ40" s="63"/>
      <c r="BA40" s="539">
        <f t="shared" si="61"/>
        <v>0</v>
      </c>
      <c r="BB40" s="546">
        <f t="shared" si="62"/>
        <v>0</v>
      </c>
      <c r="BC40" s="546">
        <f t="shared" si="63"/>
        <v>0</v>
      </c>
      <c r="BD40" s="546">
        <f t="shared" si="64"/>
        <v>0</v>
      </c>
      <c r="BE40" s="546">
        <f t="shared" si="65"/>
        <v>0</v>
      </c>
      <c r="BF40" s="636">
        <f>(BB40*初始化表!E$17+BC40*初始化表!F$17+BD40*初始化表!G$17+BE40*初始化表!H$17)/1300</f>
        <v>0</v>
      </c>
      <c r="BG40" s="637">
        <f t="shared" si="66"/>
        <v>0</v>
      </c>
      <c r="BH40" s="637">
        <f t="shared" si="67"/>
        <v>0</v>
      </c>
      <c r="BI40" s="638">
        <f t="shared" si="70"/>
        <v>0</v>
      </c>
      <c r="BJ40" s="546" t="str">
        <f t="shared" si="68"/>
        <v/>
      </c>
      <c r="BK40" s="546" t="str">
        <f t="shared" si="69"/>
        <v/>
      </c>
      <c r="BL40" s="61"/>
      <c r="BM40" s="269" t="s">
        <v>524</v>
      </c>
      <c r="BN40" s="77">
        <f>BN28</f>
        <v>0</v>
      </c>
      <c r="BO40" s="77">
        <f>BO28</f>
        <v>0</v>
      </c>
      <c r="BP40" s="77">
        <f>BP28</f>
        <v>0</v>
      </c>
      <c r="BQ40" s="77">
        <f>BQ28</f>
        <v>0</v>
      </c>
      <c r="BR40" s="62"/>
      <c r="BS40" s="539">
        <f t="shared" si="59"/>
        <v>0</v>
      </c>
      <c r="BT40" s="552" t="e">
        <f t="shared" si="71"/>
        <v>#DIV/0!</v>
      </c>
      <c r="BU40" s="552" t="e">
        <f t="shared" si="72"/>
        <v>#DIV/0!</v>
      </c>
      <c r="BV40" s="552" t="e">
        <f t="shared" si="73"/>
        <v>#DIV/0!</v>
      </c>
      <c r="BW40" s="552" t="e">
        <f t="shared" si="74"/>
        <v>#DIV/0!</v>
      </c>
      <c r="BX40" s="552" t="e">
        <f t="shared" si="75"/>
        <v>#DIV/0!</v>
      </c>
      <c r="BY40" s="552" t="e">
        <f t="shared" si="76"/>
        <v>#DIV/0!</v>
      </c>
      <c r="BZ40" s="552" t="e">
        <f t="shared" si="77"/>
        <v>#DIV/0!</v>
      </c>
      <c r="CA40" s="552" t="e">
        <f t="shared" si="78"/>
        <v>#DIV/0!</v>
      </c>
      <c r="CB40" s="552" t="e">
        <f t="shared" si="79"/>
        <v>#DIV/0!</v>
      </c>
      <c r="CC40" s="552" t="e">
        <f t="shared" si="80"/>
        <v>#DIV/0!</v>
      </c>
      <c r="CD40" s="552" t="e">
        <f t="shared" si="81"/>
        <v>#DIV/0!</v>
      </c>
      <c r="CE40" s="552" t="e">
        <f t="shared" si="82"/>
        <v>#DIV/0!</v>
      </c>
      <c r="CF40" s="552" t="e">
        <f t="shared" si="83"/>
        <v>#DIV/0!</v>
      </c>
      <c r="CG40" s="552" t="e">
        <f t="shared" si="84"/>
        <v>#DIV/0!</v>
      </c>
      <c r="CH40" s="552" t="e">
        <f t="shared" si="85"/>
        <v>#DIV/0!</v>
      </c>
      <c r="CI40" s="552" t="e">
        <f t="shared" si="86"/>
        <v>#DIV/0!</v>
      </c>
      <c r="CJ40" s="453"/>
      <c r="CK40" s="228"/>
      <c r="CL40" s="228"/>
      <c r="CM40" s="228"/>
      <c r="CN40" s="228"/>
      <c r="CO40" s="228"/>
      <c r="CP40" s="228"/>
      <c r="CQ40" s="228"/>
      <c r="CR40" s="228"/>
      <c r="CS40" s="228"/>
      <c r="CT40" s="228"/>
      <c r="CU40" s="228"/>
      <c r="CV40" s="228"/>
      <c r="CW40" s="228"/>
      <c r="CX40" s="228"/>
      <c r="CY40" s="228"/>
      <c r="CZ40" s="228"/>
      <c r="DA40" s="228"/>
      <c r="DB40" s="228"/>
      <c r="DC40" s="228"/>
      <c r="DD40" s="228"/>
      <c r="DE40" s="228"/>
      <c r="DF40" s="228"/>
      <c r="DG40" s="228"/>
      <c r="DH40" s="228"/>
      <c r="DI40" s="228"/>
      <c r="DJ40" s="228"/>
      <c r="DK40" s="228"/>
      <c r="DL40" s="228"/>
      <c r="DM40" s="228"/>
      <c r="DN40" s="228"/>
      <c r="DO40" s="228"/>
      <c r="DP40" s="228"/>
      <c r="DQ40" s="228"/>
    </row>
    <row r="41" s="543" customFormat="1" ht="16" customHeight="1" spans="1:121">
      <c r="A41" s="269" t="s">
        <v>373</v>
      </c>
      <c r="B41" s="270"/>
      <c r="C41" s="261">
        <f>IF(E22&gt;=初始化表!K30,E22*(1-初始化表!L30),IF(E22&gt;=初始化表!K31,E22*(1-初始化表!L31),IF(E22&gt;=初始化表!K32,E22*(1-初始化表!L32),0)))</f>
        <v>0</v>
      </c>
      <c r="D41" s="586">
        <f>C41</f>
        <v>0</v>
      </c>
      <c r="E41" s="586"/>
      <c r="F41" s="586">
        <f>F40+C41</f>
        <v>0</v>
      </c>
      <c r="G41" s="307"/>
      <c r="H41" s="269" t="s">
        <v>634</v>
      </c>
      <c r="I41" s="270"/>
      <c r="J41" s="270"/>
      <c r="K41" s="270"/>
      <c r="L41" s="270"/>
      <c r="M41" s="587"/>
      <c r="N41" s="269" t="s">
        <v>635</v>
      </c>
      <c r="O41" s="111">
        <f>初期!Q23</f>
        <v>0</v>
      </c>
      <c r="P41" s="111">
        <f>初期!Q24</f>
        <v>0</v>
      </c>
      <c r="Q41" s="111">
        <f>初期!Q25</f>
        <v>0</v>
      </c>
      <c r="R41" s="111">
        <f>初期!Q26</f>
        <v>0</v>
      </c>
      <c r="S41" s="138"/>
      <c r="T41" s="613"/>
      <c r="U41" s="68" t="s">
        <v>636</v>
      </c>
      <c r="V41" s="68" t="s">
        <v>459</v>
      </c>
      <c r="W41" s="68" t="s">
        <v>460</v>
      </c>
      <c r="X41" s="68" t="s">
        <v>461</v>
      </c>
      <c r="Y41" s="68" t="s">
        <v>462</v>
      </c>
      <c r="Z41" s="68" t="s">
        <v>563</v>
      </c>
      <c r="AA41" s="307"/>
      <c r="AB41" s="159" t="s">
        <v>637</v>
      </c>
      <c r="AC41" s="160"/>
      <c r="AD41" s="162">
        <f>((SUM(V42:Y42,V11:Y11))*初始化表!E17+(SUM(V43:Y43,V12:Y12))*初始化表!F17+(SUM(V44:Y44,V13:Y13))*初始化表!G17+(SUM(V45:Y45,V14:Y14))*初始化表!H17)/1300</f>
        <v>0</v>
      </c>
      <c r="AE41" s="162"/>
      <c r="AF41" s="74"/>
      <c r="AG41" s="74"/>
      <c r="AH41" s="307"/>
      <c r="AI41" s="535"/>
      <c r="AJ41" s="536"/>
      <c r="AK41" s="536"/>
      <c r="AL41" s="536"/>
      <c r="AM41" s="536"/>
      <c r="AN41" s="536"/>
      <c r="AO41" s="536"/>
      <c r="AP41" s="536"/>
      <c r="AQ41" s="536"/>
      <c r="AR41" s="536"/>
      <c r="AS41" s="536"/>
      <c r="AT41" s="536"/>
      <c r="AU41" s="536"/>
      <c r="AV41" s="536"/>
      <c r="AW41" s="536"/>
      <c r="AX41" s="536"/>
      <c r="AY41" s="536"/>
      <c r="AZ41" s="63"/>
      <c r="BA41" s="539">
        <f t="shared" si="61"/>
        <v>0</v>
      </c>
      <c r="BB41" s="546">
        <f t="shared" si="62"/>
        <v>0</v>
      </c>
      <c r="BC41" s="546">
        <f t="shared" si="63"/>
        <v>0</v>
      </c>
      <c r="BD41" s="546">
        <f t="shared" si="64"/>
        <v>0</v>
      </c>
      <c r="BE41" s="546">
        <f t="shared" si="65"/>
        <v>0</v>
      </c>
      <c r="BF41" s="636">
        <f>(BB41*初始化表!E$17+BC41*初始化表!F$17+BD41*初始化表!G$17+BE41*初始化表!H$17)/1300</f>
        <v>0</v>
      </c>
      <c r="BG41" s="637">
        <f t="shared" si="66"/>
        <v>0</v>
      </c>
      <c r="BH41" s="637">
        <f t="shared" si="67"/>
        <v>0</v>
      </c>
      <c r="BI41" s="638">
        <f t="shared" si="70"/>
        <v>0</v>
      </c>
      <c r="BJ41" s="546" t="str">
        <f t="shared" si="68"/>
        <v/>
      </c>
      <c r="BK41" s="546" t="str">
        <f t="shared" si="69"/>
        <v/>
      </c>
      <c r="BL41" s="61"/>
      <c r="BM41" s="217" t="s">
        <v>638</v>
      </c>
      <c r="BN41" s="269" t="s">
        <v>513</v>
      </c>
      <c r="BO41" s="269" t="s">
        <v>514</v>
      </c>
      <c r="BP41" s="269" t="s">
        <v>515</v>
      </c>
      <c r="BQ41" s="269" t="s">
        <v>516</v>
      </c>
      <c r="BR41" s="62"/>
      <c r="BS41" s="539">
        <f t="shared" si="59"/>
        <v>0</v>
      </c>
      <c r="BT41" s="552" t="e">
        <f t="shared" si="71"/>
        <v>#DIV/0!</v>
      </c>
      <c r="BU41" s="552" t="e">
        <f t="shared" si="72"/>
        <v>#DIV/0!</v>
      </c>
      <c r="BV41" s="552" t="e">
        <f t="shared" si="73"/>
        <v>#DIV/0!</v>
      </c>
      <c r="BW41" s="552" t="e">
        <f t="shared" si="74"/>
        <v>#DIV/0!</v>
      </c>
      <c r="BX41" s="552" t="e">
        <f t="shared" si="75"/>
        <v>#DIV/0!</v>
      </c>
      <c r="BY41" s="552" t="e">
        <f t="shared" si="76"/>
        <v>#DIV/0!</v>
      </c>
      <c r="BZ41" s="552" t="e">
        <f t="shared" si="77"/>
        <v>#DIV/0!</v>
      </c>
      <c r="CA41" s="552" t="e">
        <f t="shared" si="78"/>
        <v>#DIV/0!</v>
      </c>
      <c r="CB41" s="552" t="e">
        <f t="shared" si="79"/>
        <v>#DIV/0!</v>
      </c>
      <c r="CC41" s="552" t="e">
        <f t="shared" si="80"/>
        <v>#DIV/0!</v>
      </c>
      <c r="CD41" s="552" t="e">
        <f t="shared" si="81"/>
        <v>#DIV/0!</v>
      </c>
      <c r="CE41" s="552" t="e">
        <f t="shared" si="82"/>
        <v>#DIV/0!</v>
      </c>
      <c r="CF41" s="552" t="e">
        <f t="shared" si="83"/>
        <v>#DIV/0!</v>
      </c>
      <c r="CG41" s="552" t="e">
        <f t="shared" si="84"/>
        <v>#DIV/0!</v>
      </c>
      <c r="CH41" s="552" t="e">
        <f t="shared" si="85"/>
        <v>#DIV/0!</v>
      </c>
      <c r="CI41" s="552" t="e">
        <f t="shared" si="86"/>
        <v>#DIV/0!</v>
      </c>
      <c r="CJ41" s="453"/>
      <c r="CK41" s="228"/>
      <c r="CL41" s="228"/>
      <c r="CM41" s="228"/>
      <c r="CN41" s="228"/>
      <c r="CO41" s="228"/>
      <c r="CP41" s="228"/>
      <c r="CQ41" s="228"/>
      <c r="CR41" s="228"/>
      <c r="CS41" s="228"/>
      <c r="CT41" s="228"/>
      <c r="CU41" s="228"/>
      <c r="CV41" s="228"/>
      <c r="CW41" s="228"/>
      <c r="CX41" s="228"/>
      <c r="CY41" s="228"/>
      <c r="CZ41" s="228"/>
      <c r="DA41" s="228"/>
      <c r="DB41" s="228"/>
      <c r="DC41" s="228"/>
      <c r="DD41" s="228"/>
      <c r="DE41" s="228"/>
      <c r="DF41" s="228"/>
      <c r="DG41" s="228"/>
      <c r="DH41" s="228"/>
      <c r="DI41" s="228"/>
      <c r="DJ41" s="228"/>
      <c r="DK41" s="228"/>
      <c r="DL41" s="228"/>
      <c r="DM41" s="228"/>
      <c r="DN41" s="228"/>
      <c r="DO41" s="228"/>
      <c r="DP41" s="228"/>
      <c r="DQ41" s="228"/>
    </row>
    <row r="42" s="543" customFormat="1" ht="16" customHeight="1" spans="1:121">
      <c r="A42" s="269" t="s">
        <v>374</v>
      </c>
      <c r="B42" s="270"/>
      <c r="C42" s="261">
        <f>IF(E22&gt;0,-初始化表!B9-初始化表!B10*E22,0)</f>
        <v>0</v>
      </c>
      <c r="D42" s="586"/>
      <c r="E42" s="586">
        <f>E39-C42</f>
        <v>0</v>
      </c>
      <c r="F42" s="586">
        <f>F41+C42</f>
        <v>0</v>
      </c>
      <c r="G42" s="307"/>
      <c r="H42" s="269" t="s">
        <v>639</v>
      </c>
      <c r="I42" s="269" t="s">
        <v>640</v>
      </c>
      <c r="J42" s="269" t="s">
        <v>641</v>
      </c>
      <c r="K42" s="269" t="s">
        <v>642</v>
      </c>
      <c r="L42" s="269" t="s">
        <v>643</v>
      </c>
      <c r="M42" s="587"/>
      <c r="N42" s="269" t="s">
        <v>644</v>
      </c>
      <c r="O42" s="111" t="e">
        <f>1-0.5/MAX(B12:E12)</f>
        <v>#DIV/0!</v>
      </c>
      <c r="P42" s="111" t="e">
        <f>1-0.5/MAX(B13:E13)</f>
        <v>#DIV/0!</v>
      </c>
      <c r="Q42" s="111" t="e">
        <f>1-0.5/MAX(B14:E14)</f>
        <v>#DIV/0!</v>
      </c>
      <c r="R42" s="111" t="e">
        <f>1-0.5/MAX(B15:E15)</f>
        <v>#DIV/0!</v>
      </c>
      <c r="S42" s="138"/>
      <c r="T42" s="613"/>
      <c r="U42" s="68" t="s">
        <v>464</v>
      </c>
      <c r="V42" s="115">
        <f t="shared" ref="V42:Y45" si="87">MAX(B12+V5-V11-V66,0)</f>
        <v>0</v>
      </c>
      <c r="W42" s="115">
        <f t="shared" si="87"/>
        <v>0</v>
      </c>
      <c r="X42" s="115">
        <f t="shared" si="87"/>
        <v>0</v>
      </c>
      <c r="Y42" s="115">
        <f t="shared" si="87"/>
        <v>0</v>
      </c>
      <c r="Z42" s="402">
        <f>SUM(V42:Y42)</f>
        <v>0</v>
      </c>
      <c r="AA42" s="307"/>
      <c r="AB42" s="68" t="s">
        <v>645</v>
      </c>
      <c r="AC42" s="69"/>
      <c r="AD42" s="71" t="e">
        <f>C49/AD41</f>
        <v>#DIV/0!</v>
      </c>
      <c r="AE42" s="71"/>
      <c r="AF42" s="74"/>
      <c r="AG42" s="74"/>
      <c r="AH42" s="307"/>
      <c r="AI42" s="535"/>
      <c r="AJ42" s="536"/>
      <c r="AK42" s="536"/>
      <c r="AL42" s="536"/>
      <c r="AM42" s="536"/>
      <c r="AN42" s="536"/>
      <c r="AO42" s="536"/>
      <c r="AP42" s="536"/>
      <c r="AQ42" s="536"/>
      <c r="AR42" s="536"/>
      <c r="AS42" s="536"/>
      <c r="AT42" s="536"/>
      <c r="AU42" s="536"/>
      <c r="AV42" s="536"/>
      <c r="AW42" s="536"/>
      <c r="AX42" s="536"/>
      <c r="AY42" s="536"/>
      <c r="AZ42" s="63"/>
      <c r="BA42" s="539">
        <f t="shared" si="61"/>
        <v>0</v>
      </c>
      <c r="BB42" s="546">
        <f t="shared" si="62"/>
        <v>0</v>
      </c>
      <c r="BC42" s="546">
        <f t="shared" si="63"/>
        <v>0</v>
      </c>
      <c r="BD42" s="546">
        <f t="shared" si="64"/>
        <v>0</v>
      </c>
      <c r="BE42" s="546">
        <f t="shared" si="65"/>
        <v>0</v>
      </c>
      <c r="BF42" s="636">
        <f>(BB42*初始化表!E$17+BC42*初始化表!F$17+BD42*初始化表!G$17+BE42*初始化表!H$17)/1300</f>
        <v>0</v>
      </c>
      <c r="BG42" s="637">
        <f t="shared" si="66"/>
        <v>0</v>
      </c>
      <c r="BH42" s="637">
        <f t="shared" si="67"/>
        <v>0</v>
      </c>
      <c r="BI42" s="638">
        <f t="shared" si="70"/>
        <v>0</v>
      </c>
      <c r="BJ42" s="546" t="str">
        <f t="shared" si="68"/>
        <v/>
      </c>
      <c r="BK42" s="546" t="str">
        <f t="shared" si="69"/>
        <v/>
      </c>
      <c r="BL42" s="61"/>
      <c r="BM42" s="269" t="s">
        <v>521</v>
      </c>
      <c r="BN42" s="77" t="e">
        <f>INT(1/BN32*BN37)</f>
        <v>#DIV/0!</v>
      </c>
      <c r="BO42" s="77" t="e">
        <f t="shared" ref="BN42:BQ45" si="88">INT(1/BO32*BO37)</f>
        <v>#DIV/0!</v>
      </c>
      <c r="BP42" s="77" t="e">
        <f t="shared" si="88"/>
        <v>#DIV/0!</v>
      </c>
      <c r="BQ42" s="77" t="e">
        <f t="shared" si="88"/>
        <v>#DIV/0!</v>
      </c>
      <c r="BR42" s="62"/>
      <c r="BS42" s="539">
        <f t="shared" si="59"/>
        <v>0</v>
      </c>
      <c r="BT42" s="552" t="e">
        <f t="shared" si="71"/>
        <v>#DIV/0!</v>
      </c>
      <c r="BU42" s="552" t="e">
        <f t="shared" si="72"/>
        <v>#DIV/0!</v>
      </c>
      <c r="BV42" s="552" t="e">
        <f t="shared" si="73"/>
        <v>#DIV/0!</v>
      </c>
      <c r="BW42" s="552" t="e">
        <f t="shared" si="74"/>
        <v>#DIV/0!</v>
      </c>
      <c r="BX42" s="552" t="e">
        <f t="shared" si="75"/>
        <v>#DIV/0!</v>
      </c>
      <c r="BY42" s="552" t="e">
        <f t="shared" si="76"/>
        <v>#DIV/0!</v>
      </c>
      <c r="BZ42" s="552" t="e">
        <f t="shared" si="77"/>
        <v>#DIV/0!</v>
      </c>
      <c r="CA42" s="552" t="e">
        <f t="shared" si="78"/>
        <v>#DIV/0!</v>
      </c>
      <c r="CB42" s="552" t="e">
        <f t="shared" si="79"/>
        <v>#DIV/0!</v>
      </c>
      <c r="CC42" s="552" t="e">
        <f t="shared" si="80"/>
        <v>#DIV/0!</v>
      </c>
      <c r="CD42" s="552" t="e">
        <f t="shared" si="81"/>
        <v>#DIV/0!</v>
      </c>
      <c r="CE42" s="552" t="e">
        <f t="shared" si="82"/>
        <v>#DIV/0!</v>
      </c>
      <c r="CF42" s="552" t="e">
        <f t="shared" si="83"/>
        <v>#DIV/0!</v>
      </c>
      <c r="CG42" s="552" t="e">
        <f t="shared" si="84"/>
        <v>#DIV/0!</v>
      </c>
      <c r="CH42" s="552" t="e">
        <f t="shared" si="85"/>
        <v>#DIV/0!</v>
      </c>
      <c r="CI42" s="552" t="e">
        <f t="shared" si="86"/>
        <v>#DIV/0!</v>
      </c>
      <c r="CJ42" s="453"/>
      <c r="CK42" s="228"/>
      <c r="CL42" s="228"/>
      <c r="CM42" s="228"/>
      <c r="CN42" s="228"/>
      <c r="CO42" s="228"/>
      <c r="CP42" s="228"/>
      <c r="CQ42" s="228"/>
      <c r="CR42" s="228"/>
      <c r="CS42" s="228"/>
      <c r="CT42" s="228"/>
      <c r="CU42" s="228"/>
      <c r="CV42" s="228"/>
      <c r="CW42" s="228"/>
      <c r="CX42" s="228"/>
      <c r="CY42" s="228"/>
      <c r="CZ42" s="228"/>
      <c r="DA42" s="228"/>
      <c r="DB42" s="228"/>
      <c r="DC42" s="228"/>
      <c r="DD42" s="228"/>
      <c r="DE42" s="228"/>
      <c r="DF42" s="228"/>
      <c r="DG42" s="228"/>
      <c r="DH42" s="228"/>
      <c r="DI42" s="228"/>
      <c r="DJ42" s="228"/>
      <c r="DK42" s="228"/>
      <c r="DL42" s="228"/>
      <c r="DM42" s="228"/>
      <c r="DN42" s="228"/>
      <c r="DO42" s="228"/>
      <c r="DP42" s="228"/>
      <c r="DQ42" s="228"/>
    </row>
    <row r="43" s="543" customFormat="1" ht="16" customHeight="1" spans="1:121">
      <c r="A43" s="269" t="s">
        <v>244</v>
      </c>
      <c r="B43" s="270"/>
      <c r="C43" s="261">
        <f>-(IF(SUM(B17:C17)=0,0,初始化表!H25)+IF(SUM(B18:C18)=0,0,初始化表!H26)+IF(SUM(B19:C19)=0,0,初始化表!H27)+IF(SUM(B20:C20)=0,0,初始化表!H28)+IF(SUM(D17:E17)=0,0,初始化表!I25)+IF(SUM(D18:E18)=0,0,初始化表!I26)+IF(SUM(D19:E19)=0,0,初始化表!I27)+IF(SUM(D20:E20)=0,0,初始化表!I28))</f>
        <v>0</v>
      </c>
      <c r="D43" s="586"/>
      <c r="E43" s="586">
        <f t="shared" ref="E43:E48" si="89">E42-C43</f>
        <v>0</v>
      </c>
      <c r="F43" s="586">
        <f>F42+C43</f>
        <v>0</v>
      </c>
      <c r="G43" s="307"/>
      <c r="H43" s="416">
        <f>初期!H27</f>
        <v>0</v>
      </c>
      <c r="I43" s="416" t="e">
        <f>ROUNDUP(MAX(-K29/初始化表!B11,0),0)</f>
        <v>#DIV/0!</v>
      </c>
      <c r="J43" s="416" t="e">
        <f>IF(I43&lt;=0,0,IF(I43&lt;初始化表!K32,初始化表!K32,IF(I43&lt;初始化表!K31,初始化表!K31,IF(I43&lt;初始化表!K30,初始化表!K30,I43))))</f>
        <v>#DIV/0!</v>
      </c>
      <c r="K43" s="607"/>
      <c r="L43" s="416">
        <f>E22+H43-(SUM(B17:E17)*初始化表!E19+SUM(B18:E18)*初始化表!F19+SUM(B19:E19)*初始化表!G19+SUM(B20:E20)*初始化表!H19)</f>
        <v>0</v>
      </c>
      <c r="M43" s="587"/>
      <c r="N43" s="269" t="s">
        <v>646</v>
      </c>
      <c r="O43" s="111">
        <f>工资系数初始化!D19</f>
        <v>0.95</v>
      </c>
      <c r="P43" s="111">
        <f>工资系数初始化!E19</f>
        <v>0.95</v>
      </c>
      <c r="Q43" s="111">
        <f>工资系数初始化!F19</f>
        <v>0.95</v>
      </c>
      <c r="R43" s="111">
        <f>工资系数初始化!G19</f>
        <v>0.95</v>
      </c>
      <c r="S43" s="138"/>
      <c r="T43" s="613"/>
      <c r="U43" s="68" t="s">
        <v>465</v>
      </c>
      <c r="V43" s="115">
        <f t="shared" si="87"/>
        <v>0</v>
      </c>
      <c r="W43" s="115">
        <f t="shared" si="87"/>
        <v>0</v>
      </c>
      <c r="X43" s="115">
        <f t="shared" si="87"/>
        <v>0</v>
      </c>
      <c r="Y43" s="115">
        <f t="shared" si="87"/>
        <v>0</v>
      </c>
      <c r="Z43" s="402">
        <f>SUM(V43:Y43)</f>
        <v>0</v>
      </c>
      <c r="AA43" s="307"/>
      <c r="AB43" s="91"/>
      <c r="AC43" s="91"/>
      <c r="AD43" s="91"/>
      <c r="AE43" s="91"/>
      <c r="AF43" s="91"/>
      <c r="AG43" s="91"/>
      <c r="AH43" s="307"/>
      <c r="AI43" s="535"/>
      <c r="AJ43" s="536"/>
      <c r="AK43" s="536"/>
      <c r="AL43" s="536"/>
      <c r="AM43" s="536"/>
      <c r="AN43" s="536"/>
      <c r="AO43" s="536"/>
      <c r="AP43" s="536"/>
      <c r="AQ43" s="536"/>
      <c r="AR43" s="536"/>
      <c r="AS43" s="536"/>
      <c r="AT43" s="536"/>
      <c r="AU43" s="536"/>
      <c r="AV43" s="536"/>
      <c r="AW43" s="536"/>
      <c r="AX43" s="536"/>
      <c r="AY43" s="536"/>
      <c r="AZ43" s="63"/>
      <c r="BA43" s="539">
        <f t="shared" si="61"/>
        <v>0</v>
      </c>
      <c r="BB43" s="546">
        <f t="shared" si="62"/>
        <v>0</v>
      </c>
      <c r="BC43" s="546">
        <f t="shared" si="63"/>
        <v>0</v>
      </c>
      <c r="BD43" s="546">
        <f t="shared" si="64"/>
        <v>0</v>
      </c>
      <c r="BE43" s="546">
        <f t="shared" si="65"/>
        <v>0</v>
      </c>
      <c r="BF43" s="636">
        <f>(BB43*初始化表!E$17+BC43*初始化表!F$17+BD43*初始化表!G$17+BE43*初始化表!H$17)/1300</f>
        <v>0</v>
      </c>
      <c r="BG43" s="637">
        <f t="shared" si="66"/>
        <v>0</v>
      </c>
      <c r="BH43" s="637">
        <f t="shared" si="67"/>
        <v>0</v>
      </c>
      <c r="BI43" s="638">
        <f t="shared" si="70"/>
        <v>0</v>
      </c>
      <c r="BJ43" s="546" t="str">
        <f t="shared" si="68"/>
        <v/>
      </c>
      <c r="BK43" s="546" t="str">
        <f t="shared" si="69"/>
        <v/>
      </c>
      <c r="BL43" s="61"/>
      <c r="BM43" s="269" t="s">
        <v>522</v>
      </c>
      <c r="BN43" s="77" t="e">
        <f t="shared" si="88"/>
        <v>#DIV/0!</v>
      </c>
      <c r="BO43" s="77" t="e">
        <f t="shared" si="88"/>
        <v>#DIV/0!</v>
      </c>
      <c r="BP43" s="77" t="e">
        <f t="shared" si="88"/>
        <v>#DIV/0!</v>
      </c>
      <c r="BQ43" s="77" t="e">
        <f t="shared" si="88"/>
        <v>#DIV/0!</v>
      </c>
      <c r="BR43" s="62"/>
      <c r="BS43" s="539">
        <f t="shared" si="59"/>
        <v>0</v>
      </c>
      <c r="BT43" s="552" t="e">
        <f t="shared" si="71"/>
        <v>#DIV/0!</v>
      </c>
      <c r="BU43" s="552" t="e">
        <f t="shared" si="72"/>
        <v>#DIV/0!</v>
      </c>
      <c r="BV43" s="552" t="e">
        <f t="shared" si="73"/>
        <v>#DIV/0!</v>
      </c>
      <c r="BW43" s="552" t="e">
        <f t="shared" si="74"/>
        <v>#DIV/0!</v>
      </c>
      <c r="BX43" s="552" t="e">
        <f t="shared" si="75"/>
        <v>#DIV/0!</v>
      </c>
      <c r="BY43" s="552" t="e">
        <f t="shared" si="76"/>
        <v>#DIV/0!</v>
      </c>
      <c r="BZ43" s="552" t="e">
        <f t="shared" si="77"/>
        <v>#DIV/0!</v>
      </c>
      <c r="CA43" s="552" t="e">
        <f t="shared" si="78"/>
        <v>#DIV/0!</v>
      </c>
      <c r="CB43" s="552" t="e">
        <f t="shared" si="79"/>
        <v>#DIV/0!</v>
      </c>
      <c r="CC43" s="552" t="e">
        <f t="shared" si="80"/>
        <v>#DIV/0!</v>
      </c>
      <c r="CD43" s="552" t="e">
        <f t="shared" si="81"/>
        <v>#DIV/0!</v>
      </c>
      <c r="CE43" s="552" t="e">
        <f t="shared" si="82"/>
        <v>#DIV/0!</v>
      </c>
      <c r="CF43" s="552" t="e">
        <f t="shared" si="83"/>
        <v>#DIV/0!</v>
      </c>
      <c r="CG43" s="552" t="e">
        <f t="shared" si="84"/>
        <v>#DIV/0!</v>
      </c>
      <c r="CH43" s="552" t="e">
        <f t="shared" si="85"/>
        <v>#DIV/0!</v>
      </c>
      <c r="CI43" s="552" t="e">
        <f t="shared" si="86"/>
        <v>#DIV/0!</v>
      </c>
      <c r="CJ43" s="453"/>
      <c r="CK43" s="228"/>
      <c r="CL43" s="228"/>
      <c r="CM43" s="228"/>
      <c r="CN43" s="228"/>
      <c r="CO43" s="228"/>
      <c r="CP43" s="228"/>
      <c r="CQ43" s="228"/>
      <c r="CR43" s="228"/>
      <c r="CS43" s="228"/>
      <c r="CT43" s="228"/>
      <c r="CU43" s="228"/>
      <c r="CV43" s="228"/>
      <c r="CW43" s="228"/>
      <c r="CX43" s="228"/>
      <c r="CY43" s="228"/>
      <c r="CZ43" s="228"/>
      <c r="DA43" s="228"/>
      <c r="DB43" s="228"/>
      <c r="DC43" s="228"/>
      <c r="DD43" s="228"/>
      <c r="DE43" s="228"/>
      <c r="DF43" s="228"/>
      <c r="DG43" s="228"/>
      <c r="DH43" s="228"/>
      <c r="DI43" s="228"/>
      <c r="DJ43" s="228"/>
      <c r="DK43" s="228"/>
      <c r="DL43" s="228"/>
      <c r="DM43" s="228"/>
      <c r="DN43" s="228"/>
      <c r="DO43" s="228"/>
      <c r="DP43" s="228"/>
      <c r="DQ43" s="228"/>
    </row>
    <row r="44" s="543" customFormat="1" ht="16" customHeight="1" spans="1:121">
      <c r="A44" s="269" t="s">
        <v>375</v>
      </c>
      <c r="B44" s="270"/>
      <c r="C44" s="261">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0</v>
      </c>
      <c r="D44" s="586"/>
      <c r="E44" s="586">
        <f t="shared" si="89"/>
        <v>0</v>
      </c>
      <c r="F44" s="586">
        <f>F43+C44</f>
        <v>0</v>
      </c>
      <c r="G44" s="307"/>
      <c r="H44" s="91"/>
      <c r="I44" s="91"/>
      <c r="J44" s="91"/>
      <c r="K44" s="113" t="s">
        <v>255</v>
      </c>
      <c r="L44" s="608" t="e">
        <f>F77</f>
        <v>#DIV/0!</v>
      </c>
      <c r="M44" s="587"/>
      <c r="N44" s="269" t="s">
        <v>647</v>
      </c>
      <c r="O44" s="269" t="s">
        <v>648</v>
      </c>
      <c r="P44" s="269" t="s">
        <v>649</v>
      </c>
      <c r="Q44" s="269" t="s">
        <v>650</v>
      </c>
      <c r="R44" s="269" t="s">
        <v>313</v>
      </c>
      <c r="S44" s="614"/>
      <c r="T44" s="613"/>
      <c r="U44" s="68" t="s">
        <v>466</v>
      </c>
      <c r="V44" s="115">
        <f t="shared" si="87"/>
        <v>0</v>
      </c>
      <c r="W44" s="115">
        <f t="shared" si="87"/>
        <v>0</v>
      </c>
      <c r="X44" s="115">
        <f t="shared" si="87"/>
        <v>0</v>
      </c>
      <c r="Y44" s="115">
        <f t="shared" si="87"/>
        <v>0</v>
      </c>
      <c r="Z44" s="402">
        <f>SUM(V44:Y44)</f>
        <v>0</v>
      </c>
      <c r="AA44" s="307"/>
      <c r="AB44" s="91"/>
      <c r="AC44" s="91"/>
      <c r="AD44" s="91"/>
      <c r="AE44" s="91"/>
      <c r="AF44" s="91"/>
      <c r="AG44" s="91"/>
      <c r="AH44" s="307"/>
      <c r="AI44" s="535"/>
      <c r="AJ44" s="536"/>
      <c r="AK44" s="536"/>
      <c r="AL44" s="536"/>
      <c r="AM44" s="536"/>
      <c r="AN44" s="536"/>
      <c r="AO44" s="536"/>
      <c r="AP44" s="536"/>
      <c r="AQ44" s="536"/>
      <c r="AR44" s="536"/>
      <c r="AS44" s="536"/>
      <c r="AT44" s="536"/>
      <c r="AU44" s="536"/>
      <c r="AV44" s="536"/>
      <c r="AW44" s="536"/>
      <c r="AX44" s="536"/>
      <c r="AY44" s="536"/>
      <c r="AZ44" s="63"/>
      <c r="BA44" s="539">
        <f t="shared" si="61"/>
        <v>0</v>
      </c>
      <c r="BB44" s="546">
        <f t="shared" si="62"/>
        <v>0</v>
      </c>
      <c r="BC44" s="546">
        <f t="shared" si="63"/>
        <v>0</v>
      </c>
      <c r="BD44" s="546">
        <f t="shared" si="64"/>
        <v>0</v>
      </c>
      <c r="BE44" s="546">
        <f t="shared" si="65"/>
        <v>0</v>
      </c>
      <c r="BF44" s="636">
        <f>(BB44*初始化表!E$17+BC44*初始化表!F$17+BD44*初始化表!G$17+BE44*初始化表!H$17)/1300</f>
        <v>0</v>
      </c>
      <c r="BG44" s="637">
        <f t="shared" si="66"/>
        <v>0</v>
      </c>
      <c r="BH44" s="637">
        <f t="shared" si="67"/>
        <v>0</v>
      </c>
      <c r="BI44" s="638">
        <f t="shared" si="70"/>
        <v>0</v>
      </c>
      <c r="BJ44" s="546" t="str">
        <f t="shared" si="68"/>
        <v/>
      </c>
      <c r="BK44" s="546" t="str">
        <f t="shared" si="69"/>
        <v/>
      </c>
      <c r="BL44" s="61"/>
      <c r="BM44" s="269" t="s">
        <v>523</v>
      </c>
      <c r="BN44" s="77" t="e">
        <f t="shared" si="88"/>
        <v>#DIV/0!</v>
      </c>
      <c r="BO44" s="77" t="e">
        <f t="shared" si="88"/>
        <v>#DIV/0!</v>
      </c>
      <c r="BP44" s="77" t="e">
        <f t="shared" si="88"/>
        <v>#DIV/0!</v>
      </c>
      <c r="BQ44" s="77" t="e">
        <f t="shared" si="88"/>
        <v>#DIV/0!</v>
      </c>
      <c r="BR44" s="62"/>
      <c r="BS44" s="539">
        <f t="shared" si="59"/>
        <v>0</v>
      </c>
      <c r="BT44" s="552" t="e">
        <f t="shared" si="71"/>
        <v>#DIV/0!</v>
      </c>
      <c r="BU44" s="552" t="e">
        <f t="shared" si="72"/>
        <v>#DIV/0!</v>
      </c>
      <c r="BV44" s="552" t="e">
        <f t="shared" si="73"/>
        <v>#DIV/0!</v>
      </c>
      <c r="BW44" s="552" t="e">
        <f t="shared" si="74"/>
        <v>#DIV/0!</v>
      </c>
      <c r="BX44" s="552" t="e">
        <f t="shared" si="75"/>
        <v>#DIV/0!</v>
      </c>
      <c r="BY44" s="552" t="e">
        <f t="shared" si="76"/>
        <v>#DIV/0!</v>
      </c>
      <c r="BZ44" s="552" t="e">
        <f t="shared" si="77"/>
        <v>#DIV/0!</v>
      </c>
      <c r="CA44" s="552" t="e">
        <f t="shared" si="78"/>
        <v>#DIV/0!</v>
      </c>
      <c r="CB44" s="552" t="e">
        <f t="shared" si="79"/>
        <v>#DIV/0!</v>
      </c>
      <c r="CC44" s="552" t="e">
        <f t="shared" si="80"/>
        <v>#DIV/0!</v>
      </c>
      <c r="CD44" s="552" t="e">
        <f t="shared" si="81"/>
        <v>#DIV/0!</v>
      </c>
      <c r="CE44" s="552" t="e">
        <f t="shared" si="82"/>
        <v>#DIV/0!</v>
      </c>
      <c r="CF44" s="552" t="e">
        <f t="shared" si="83"/>
        <v>#DIV/0!</v>
      </c>
      <c r="CG44" s="552" t="e">
        <f t="shared" si="84"/>
        <v>#DIV/0!</v>
      </c>
      <c r="CH44" s="552" t="e">
        <f t="shared" si="85"/>
        <v>#DIV/0!</v>
      </c>
      <c r="CI44" s="552" t="e">
        <f t="shared" si="86"/>
        <v>#DIV/0!</v>
      </c>
      <c r="CJ44" s="453"/>
      <c r="CK44" s="228"/>
      <c r="CL44" s="228"/>
      <c r="CM44" s="228"/>
      <c r="CN44" s="228"/>
      <c r="CO44" s="228"/>
      <c r="CP44" s="228"/>
      <c r="CQ44" s="228"/>
      <c r="CR44" s="228"/>
      <c r="CS44" s="228"/>
      <c r="CT44" s="228"/>
      <c r="CU44" s="228"/>
      <c r="CV44" s="228"/>
      <c r="CW44" s="228"/>
      <c r="CX44" s="228"/>
      <c r="CY44" s="228"/>
      <c r="CZ44" s="228"/>
      <c r="DA44" s="228"/>
      <c r="DB44" s="228"/>
      <c r="DC44" s="228"/>
      <c r="DD44" s="228"/>
      <c r="DE44" s="228"/>
      <c r="DF44" s="228"/>
      <c r="DG44" s="228"/>
      <c r="DH44" s="228"/>
      <c r="DI44" s="228"/>
      <c r="DJ44" s="228"/>
      <c r="DK44" s="228"/>
      <c r="DL44" s="228"/>
      <c r="DM44" s="228"/>
      <c r="DN44" s="228"/>
      <c r="DO44" s="228"/>
      <c r="DP44" s="228"/>
      <c r="DQ44" s="228"/>
    </row>
    <row r="45" s="543" customFormat="1" ht="16" customHeight="1" spans="1:121">
      <c r="A45" s="269" t="s">
        <v>376</v>
      </c>
      <c r="B45" s="270"/>
      <c r="C45" s="261">
        <f>-SUM(B17:E17)*初始化表!E19-SUM(B18:E18)*初始化表!F19-SUM(B19:E19)*初始化表!G19-SUM(B20:E20)*初始化表!H19</f>
        <v>0</v>
      </c>
      <c r="D45" s="586"/>
      <c r="E45" s="586">
        <f t="shared" si="89"/>
        <v>0</v>
      </c>
      <c r="F45" s="586"/>
      <c r="G45" s="307"/>
      <c r="H45" s="269" t="s">
        <v>282</v>
      </c>
      <c r="I45" s="270"/>
      <c r="J45" s="270"/>
      <c r="K45" s="270"/>
      <c r="L45" s="270"/>
      <c r="M45" s="587"/>
      <c r="N45" s="115">
        <f>初期!F67</f>
        <v>1</v>
      </c>
      <c r="O45" s="115">
        <f>IF(0.99*LOG(F24,初始化表!B20)&lt;0.99,0.99*LOG(F24,初始化表!B20),0.99)</f>
        <v>0</v>
      </c>
      <c r="P45" s="115" t="e">
        <f>INT(((R42-0.95-(R41-0.95)*0.2)/0.8*10/初始化表!B19+1)*1000+0.5)/1000</f>
        <v>#DIV/0!</v>
      </c>
      <c r="Q45" s="115">
        <f>INT(((0.05-(R41-0.95)*0.2)/0.8*10/初始化表!B19+1)*1000+0.5)/1000</f>
        <v>4</v>
      </c>
      <c r="R45" s="620">
        <v>1</v>
      </c>
      <c r="S45" s="141" t="s">
        <v>651</v>
      </c>
      <c r="T45" s="142"/>
      <c r="U45" s="286" t="s">
        <v>468</v>
      </c>
      <c r="V45" s="115">
        <f t="shared" si="87"/>
        <v>0</v>
      </c>
      <c r="W45" s="115">
        <f t="shared" si="87"/>
        <v>0</v>
      </c>
      <c r="X45" s="115">
        <f t="shared" si="87"/>
        <v>0</v>
      </c>
      <c r="Y45" s="115">
        <f t="shared" si="87"/>
        <v>0</v>
      </c>
      <c r="Z45" s="402">
        <f>SUM(V45:Y45)</f>
        <v>0</v>
      </c>
      <c r="AA45" s="307"/>
      <c r="AB45" s="91"/>
      <c r="AC45" s="91"/>
      <c r="AD45" s="91"/>
      <c r="AE45" s="91"/>
      <c r="AF45" s="91"/>
      <c r="AG45" s="91"/>
      <c r="AH45" s="307"/>
      <c r="AI45" s="535"/>
      <c r="AJ45" s="536"/>
      <c r="AK45" s="536"/>
      <c r="AL45" s="536"/>
      <c r="AM45" s="536"/>
      <c r="AN45" s="536"/>
      <c r="AO45" s="536"/>
      <c r="AP45" s="536"/>
      <c r="AQ45" s="536"/>
      <c r="AR45" s="536"/>
      <c r="AS45" s="536"/>
      <c r="AT45" s="536"/>
      <c r="AU45" s="536"/>
      <c r="AV45" s="536"/>
      <c r="AW45" s="536"/>
      <c r="AX45" s="536"/>
      <c r="AY45" s="536"/>
      <c r="AZ45" s="63"/>
      <c r="BA45" s="539">
        <f t="shared" si="61"/>
        <v>0</v>
      </c>
      <c r="BB45" s="546">
        <f t="shared" si="62"/>
        <v>0</v>
      </c>
      <c r="BC45" s="546">
        <f t="shared" si="63"/>
        <v>0</v>
      </c>
      <c r="BD45" s="546">
        <f t="shared" si="64"/>
        <v>0</v>
      </c>
      <c r="BE45" s="546">
        <f t="shared" si="65"/>
        <v>0</v>
      </c>
      <c r="BF45" s="636">
        <f>(BB45*初始化表!E$17+BC45*初始化表!F$17+BD45*初始化表!G$17+BE45*初始化表!H$17)/1300</f>
        <v>0</v>
      </c>
      <c r="BG45" s="637">
        <f t="shared" si="66"/>
        <v>0</v>
      </c>
      <c r="BH45" s="637">
        <f t="shared" si="67"/>
        <v>0</v>
      </c>
      <c r="BI45" s="638">
        <f t="shared" si="70"/>
        <v>0</v>
      </c>
      <c r="BJ45" s="546" t="str">
        <f t="shared" si="68"/>
        <v/>
      </c>
      <c r="BK45" s="546" t="str">
        <f t="shared" si="69"/>
        <v/>
      </c>
      <c r="BL45" s="61"/>
      <c r="BM45" s="269" t="s">
        <v>524</v>
      </c>
      <c r="BN45" s="77" t="e">
        <f t="shared" si="88"/>
        <v>#DIV/0!</v>
      </c>
      <c r="BO45" s="77" t="e">
        <f t="shared" si="88"/>
        <v>#DIV/0!</v>
      </c>
      <c r="BP45" s="77" t="e">
        <f t="shared" si="88"/>
        <v>#DIV/0!</v>
      </c>
      <c r="BQ45" s="77" t="e">
        <f t="shared" si="88"/>
        <v>#DIV/0!</v>
      </c>
      <c r="BR45" s="62"/>
      <c r="BS45" s="539">
        <f t="shared" si="59"/>
        <v>0</v>
      </c>
      <c r="BT45" s="552" t="e">
        <f t="shared" si="71"/>
        <v>#DIV/0!</v>
      </c>
      <c r="BU45" s="552" t="e">
        <f t="shared" si="72"/>
        <v>#DIV/0!</v>
      </c>
      <c r="BV45" s="552" t="e">
        <f t="shared" si="73"/>
        <v>#DIV/0!</v>
      </c>
      <c r="BW45" s="552" t="e">
        <f t="shared" si="74"/>
        <v>#DIV/0!</v>
      </c>
      <c r="BX45" s="552" t="e">
        <f t="shared" si="75"/>
        <v>#DIV/0!</v>
      </c>
      <c r="BY45" s="552" t="e">
        <f t="shared" si="76"/>
        <v>#DIV/0!</v>
      </c>
      <c r="BZ45" s="552" t="e">
        <f t="shared" si="77"/>
        <v>#DIV/0!</v>
      </c>
      <c r="CA45" s="552" t="e">
        <f t="shared" si="78"/>
        <v>#DIV/0!</v>
      </c>
      <c r="CB45" s="552" t="e">
        <f t="shared" si="79"/>
        <v>#DIV/0!</v>
      </c>
      <c r="CC45" s="552" t="e">
        <f t="shared" si="80"/>
        <v>#DIV/0!</v>
      </c>
      <c r="CD45" s="552" t="e">
        <f t="shared" si="81"/>
        <v>#DIV/0!</v>
      </c>
      <c r="CE45" s="552" t="e">
        <f t="shared" si="82"/>
        <v>#DIV/0!</v>
      </c>
      <c r="CF45" s="552" t="e">
        <f t="shared" si="83"/>
        <v>#DIV/0!</v>
      </c>
      <c r="CG45" s="552" t="e">
        <f t="shared" si="84"/>
        <v>#DIV/0!</v>
      </c>
      <c r="CH45" s="552" t="e">
        <f t="shared" si="85"/>
        <v>#DIV/0!</v>
      </c>
      <c r="CI45" s="552" t="e">
        <f t="shared" si="86"/>
        <v>#DIV/0!</v>
      </c>
      <c r="CJ45" s="453"/>
      <c r="CK45" s="228"/>
      <c r="CL45" s="228"/>
      <c r="CM45" s="228"/>
      <c r="CN45" s="228"/>
      <c r="CO45" s="228"/>
      <c r="CP45" s="228"/>
      <c r="CQ45" s="228"/>
      <c r="CR45" s="228"/>
      <c r="CS45" s="228"/>
      <c r="CT45" s="228"/>
      <c r="CU45" s="228"/>
      <c r="CV45" s="228"/>
      <c r="CW45" s="228"/>
      <c r="CX45" s="228"/>
      <c r="CY45" s="228"/>
      <c r="CZ45" s="228"/>
      <c r="DA45" s="228"/>
      <c r="DB45" s="228"/>
      <c r="DC45" s="228"/>
      <c r="DD45" s="228"/>
      <c r="DE45" s="228"/>
      <c r="DF45" s="228"/>
      <c r="DG45" s="228"/>
      <c r="DH45" s="228"/>
      <c r="DI45" s="228"/>
      <c r="DJ45" s="228"/>
      <c r="DK45" s="228"/>
      <c r="DL45" s="228"/>
      <c r="DM45" s="228"/>
      <c r="DN45" s="228"/>
      <c r="DO45" s="228"/>
      <c r="DP45" s="228"/>
      <c r="DQ45" s="228"/>
    </row>
    <row r="46" s="543" customFormat="1" ht="16" customHeight="1" spans="1:121">
      <c r="A46" s="269" t="s">
        <v>377</v>
      </c>
      <c r="B46" s="270"/>
      <c r="C46" s="261">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0</v>
      </c>
      <c r="D46" s="586"/>
      <c r="E46" s="586">
        <f t="shared" si="89"/>
        <v>0</v>
      </c>
      <c r="F46" s="586">
        <f>F44+C46</f>
        <v>0</v>
      </c>
      <c r="G46" s="307"/>
      <c r="H46" s="269" t="s">
        <v>652</v>
      </c>
      <c r="I46" s="269" t="s">
        <v>513</v>
      </c>
      <c r="J46" s="269" t="s">
        <v>514</v>
      </c>
      <c r="K46" s="269" t="s">
        <v>515</v>
      </c>
      <c r="L46" s="269" t="s">
        <v>516</v>
      </c>
      <c r="M46" s="587"/>
      <c r="N46" s="91"/>
      <c r="O46" s="91"/>
      <c r="P46" s="91"/>
      <c r="Q46" s="409" t="s">
        <v>255</v>
      </c>
      <c r="R46" s="621" t="e">
        <f>F77</f>
        <v>#DIV/0!</v>
      </c>
      <c r="S46" s="141" t="s">
        <v>653</v>
      </c>
      <c r="T46" s="144"/>
      <c r="U46" s="123"/>
      <c r="V46" s="91"/>
      <c r="W46" s="91"/>
      <c r="X46" s="91"/>
      <c r="Y46" s="91"/>
      <c r="Z46" s="91"/>
      <c r="AA46" s="307"/>
      <c r="AB46" s="91"/>
      <c r="AC46" s="91"/>
      <c r="AD46" s="91"/>
      <c r="AE46" s="91"/>
      <c r="AF46" s="91"/>
      <c r="AG46" s="91"/>
      <c r="AH46" s="307"/>
      <c r="AI46" s="535"/>
      <c r="AJ46" s="536"/>
      <c r="AK46" s="536"/>
      <c r="AL46" s="536"/>
      <c r="AM46" s="536"/>
      <c r="AN46" s="536"/>
      <c r="AO46" s="536"/>
      <c r="AP46" s="536"/>
      <c r="AQ46" s="536"/>
      <c r="AR46" s="536"/>
      <c r="AS46" s="536"/>
      <c r="AT46" s="536"/>
      <c r="AU46" s="536"/>
      <c r="AV46" s="536"/>
      <c r="AW46" s="536"/>
      <c r="AX46" s="536"/>
      <c r="AY46" s="536"/>
      <c r="AZ46" s="63"/>
      <c r="BA46" s="539">
        <f t="shared" si="61"/>
        <v>0</v>
      </c>
      <c r="BB46" s="546">
        <f t="shared" si="62"/>
        <v>0</v>
      </c>
      <c r="BC46" s="546">
        <f t="shared" si="63"/>
        <v>0</v>
      </c>
      <c r="BD46" s="546">
        <f t="shared" si="64"/>
        <v>0</v>
      </c>
      <c r="BE46" s="546">
        <f t="shared" si="65"/>
        <v>0</v>
      </c>
      <c r="BF46" s="636">
        <f>(BB46*初始化表!E$17+BC46*初始化表!F$17+BD46*初始化表!G$17+BE46*初始化表!H$17)/1300</f>
        <v>0</v>
      </c>
      <c r="BG46" s="637">
        <f t="shared" si="66"/>
        <v>0</v>
      </c>
      <c r="BH46" s="637">
        <f t="shared" si="67"/>
        <v>0</v>
      </c>
      <c r="BI46" s="638">
        <f t="shared" si="70"/>
        <v>0</v>
      </c>
      <c r="BJ46" s="546" t="str">
        <f t="shared" si="68"/>
        <v/>
      </c>
      <c r="BK46" s="546" t="str">
        <f t="shared" si="69"/>
        <v/>
      </c>
      <c r="BL46" s="61"/>
      <c r="BM46" s="553"/>
      <c r="BN46" s="553"/>
      <c r="BO46" s="553"/>
      <c r="BP46" s="553"/>
      <c r="BQ46" s="553"/>
      <c r="BR46" s="62"/>
      <c r="BS46" s="539">
        <f t="shared" si="59"/>
        <v>0</v>
      </c>
      <c r="BT46" s="552" t="e">
        <f t="shared" ref="BT46:CH49" si="90">$BT21*(AJ77-BT$50)/BT$51</f>
        <v>#DIV/0!</v>
      </c>
      <c r="BU46" s="552" t="e">
        <f t="shared" si="90"/>
        <v>#DIV/0!</v>
      </c>
      <c r="BV46" s="552" t="e">
        <f t="shared" si="90"/>
        <v>#DIV/0!</v>
      </c>
      <c r="BW46" s="552" t="e">
        <f t="shared" si="90"/>
        <v>#DIV/0!</v>
      </c>
      <c r="BX46" s="552" t="e">
        <f t="shared" si="90"/>
        <v>#DIV/0!</v>
      </c>
      <c r="BY46" s="552" t="e">
        <f t="shared" si="90"/>
        <v>#DIV/0!</v>
      </c>
      <c r="BZ46" s="552" t="e">
        <f t="shared" si="90"/>
        <v>#DIV/0!</v>
      </c>
      <c r="CA46" s="552" t="e">
        <f t="shared" si="90"/>
        <v>#DIV/0!</v>
      </c>
      <c r="CB46" s="552" t="e">
        <f t="shared" si="90"/>
        <v>#DIV/0!</v>
      </c>
      <c r="CC46" s="552" t="e">
        <f t="shared" si="90"/>
        <v>#DIV/0!</v>
      </c>
      <c r="CD46" s="552" t="e">
        <f t="shared" si="90"/>
        <v>#DIV/0!</v>
      </c>
      <c r="CE46" s="552" t="e">
        <f t="shared" si="90"/>
        <v>#DIV/0!</v>
      </c>
      <c r="CF46" s="552" t="e">
        <f t="shared" si="90"/>
        <v>#DIV/0!</v>
      </c>
      <c r="CG46" s="552" t="e">
        <f t="shared" si="90"/>
        <v>#DIV/0!</v>
      </c>
      <c r="CH46" s="552" t="e">
        <f t="shared" si="90"/>
        <v>#DIV/0!</v>
      </c>
      <c r="CI46" s="552" t="e">
        <f t="shared" si="86"/>
        <v>#DIV/0!</v>
      </c>
      <c r="CJ46" s="453"/>
      <c r="CK46" s="228"/>
      <c r="CL46" s="228"/>
      <c r="CM46" s="228"/>
      <c r="CN46" s="228"/>
      <c r="CO46" s="228"/>
      <c r="CP46" s="228"/>
      <c r="CQ46" s="228"/>
      <c r="CR46" s="228"/>
      <c r="CS46" s="228"/>
      <c r="CT46" s="228"/>
      <c r="CU46" s="228"/>
      <c r="CV46" s="228"/>
      <c r="CW46" s="228"/>
      <c r="CX46" s="228"/>
      <c r="CY46" s="228"/>
      <c r="CZ46" s="228"/>
      <c r="DA46" s="228"/>
      <c r="DB46" s="228"/>
      <c r="DC46" s="228"/>
      <c r="DD46" s="228"/>
      <c r="DE46" s="228"/>
      <c r="DF46" s="228"/>
      <c r="DG46" s="228"/>
      <c r="DH46" s="228"/>
      <c r="DI46" s="228"/>
      <c r="DJ46" s="228"/>
      <c r="DK46" s="228"/>
      <c r="DL46" s="228"/>
      <c r="DM46" s="228"/>
      <c r="DN46" s="228"/>
      <c r="DO46" s="228"/>
      <c r="DP46" s="228"/>
      <c r="DQ46" s="228"/>
    </row>
    <row r="47" s="543" customFormat="1" ht="16" customHeight="1" spans="1:121">
      <c r="A47" s="269" t="s">
        <v>276</v>
      </c>
      <c r="B47" s="270"/>
      <c r="C47" s="261" t="e">
        <f>-SUM(F6:F9)</f>
        <v>#DIV/0!</v>
      </c>
      <c r="D47" s="586"/>
      <c r="E47" s="586" t="e">
        <f t="shared" si="89"/>
        <v>#DIV/0!</v>
      </c>
      <c r="F47" s="586" t="e">
        <f>F46+C47</f>
        <v>#DIV/0!</v>
      </c>
      <c r="G47" s="307"/>
      <c r="H47" s="269" t="s">
        <v>521</v>
      </c>
      <c r="I47" s="158">
        <v>2</v>
      </c>
      <c r="J47" s="158">
        <v>2</v>
      </c>
      <c r="K47" s="158">
        <v>3</v>
      </c>
      <c r="L47" s="158">
        <v>3</v>
      </c>
      <c r="M47" s="587"/>
      <c r="N47" s="269" t="s">
        <v>654</v>
      </c>
      <c r="O47" s="270"/>
      <c r="P47" s="270"/>
      <c r="Q47" s="270"/>
      <c r="R47" s="270"/>
      <c r="S47" s="141" t="s">
        <v>655</v>
      </c>
      <c r="T47" s="290" t="e">
        <f>R46-T46</f>
        <v>#DIV/0!</v>
      </c>
      <c r="U47" s="286" t="s">
        <v>656</v>
      </c>
      <c r="V47" s="68" t="s">
        <v>459</v>
      </c>
      <c r="W47" s="68" t="s">
        <v>460</v>
      </c>
      <c r="X47" s="68" t="s">
        <v>461</v>
      </c>
      <c r="Y47" s="68" t="s">
        <v>462</v>
      </c>
      <c r="Z47" s="91"/>
      <c r="AA47" s="307"/>
      <c r="AB47" s="91"/>
      <c r="AC47" s="91"/>
      <c r="AD47" s="91"/>
      <c r="AE47" s="91"/>
      <c r="AF47" s="91"/>
      <c r="AG47" s="91"/>
      <c r="AH47" s="307"/>
      <c r="AI47" s="535"/>
      <c r="AJ47" s="536"/>
      <c r="AK47" s="536"/>
      <c r="AL47" s="536"/>
      <c r="AM47" s="536"/>
      <c r="AN47" s="536"/>
      <c r="AO47" s="536"/>
      <c r="AP47" s="536"/>
      <c r="AQ47" s="536"/>
      <c r="AR47" s="536"/>
      <c r="AS47" s="536"/>
      <c r="AT47" s="536"/>
      <c r="AU47" s="536"/>
      <c r="AV47" s="536"/>
      <c r="AW47" s="536"/>
      <c r="AX47" s="536"/>
      <c r="AY47" s="536"/>
      <c r="AZ47" s="63"/>
      <c r="BA47" s="539">
        <f t="shared" si="61"/>
        <v>0</v>
      </c>
      <c r="BB47" s="546">
        <f t="shared" si="62"/>
        <v>0</v>
      </c>
      <c r="BC47" s="546">
        <f t="shared" si="63"/>
        <v>0</v>
      </c>
      <c r="BD47" s="546">
        <f t="shared" si="64"/>
        <v>0</v>
      </c>
      <c r="BE47" s="546">
        <f t="shared" si="65"/>
        <v>0</v>
      </c>
      <c r="BF47" s="636">
        <f>(BB47*初始化表!E$17+BC47*初始化表!F$17+BD47*初始化表!G$17+BE47*初始化表!H$17)/1300</f>
        <v>0</v>
      </c>
      <c r="BG47" s="637">
        <f t="shared" si="66"/>
        <v>0</v>
      </c>
      <c r="BH47" s="637">
        <f t="shared" si="67"/>
        <v>0</v>
      </c>
      <c r="BI47" s="638">
        <f t="shared" si="70"/>
        <v>0</v>
      </c>
      <c r="BJ47" s="546" t="str">
        <f t="shared" si="68"/>
        <v/>
      </c>
      <c r="BK47" s="546" t="str">
        <f t="shared" si="69"/>
        <v/>
      </c>
      <c r="BL47" s="61"/>
      <c r="BM47" s="61"/>
      <c r="BN47" s="61"/>
      <c r="BO47" s="61"/>
      <c r="BP47" s="61"/>
      <c r="BQ47" s="61"/>
      <c r="BR47" s="62"/>
      <c r="BS47" s="539">
        <f t="shared" si="59"/>
        <v>0</v>
      </c>
      <c r="BT47" s="552" t="e">
        <f t="shared" si="90"/>
        <v>#DIV/0!</v>
      </c>
      <c r="BU47" s="552" t="e">
        <f t="shared" si="90"/>
        <v>#DIV/0!</v>
      </c>
      <c r="BV47" s="552" t="e">
        <f t="shared" si="90"/>
        <v>#DIV/0!</v>
      </c>
      <c r="BW47" s="552" t="e">
        <f t="shared" si="90"/>
        <v>#DIV/0!</v>
      </c>
      <c r="BX47" s="552" t="e">
        <f t="shared" si="90"/>
        <v>#DIV/0!</v>
      </c>
      <c r="BY47" s="552" t="e">
        <f t="shared" si="90"/>
        <v>#DIV/0!</v>
      </c>
      <c r="BZ47" s="552" t="e">
        <f t="shared" si="90"/>
        <v>#DIV/0!</v>
      </c>
      <c r="CA47" s="552" t="e">
        <f t="shared" si="90"/>
        <v>#DIV/0!</v>
      </c>
      <c r="CB47" s="552" t="e">
        <f t="shared" si="90"/>
        <v>#DIV/0!</v>
      </c>
      <c r="CC47" s="552" t="e">
        <f t="shared" si="90"/>
        <v>#DIV/0!</v>
      </c>
      <c r="CD47" s="552" t="e">
        <f t="shared" si="90"/>
        <v>#DIV/0!</v>
      </c>
      <c r="CE47" s="552" t="e">
        <f t="shared" si="90"/>
        <v>#DIV/0!</v>
      </c>
      <c r="CF47" s="552" t="e">
        <f t="shared" si="90"/>
        <v>#DIV/0!</v>
      </c>
      <c r="CG47" s="552" t="e">
        <f t="shared" si="90"/>
        <v>#DIV/0!</v>
      </c>
      <c r="CH47" s="552" t="e">
        <f t="shared" si="90"/>
        <v>#DIV/0!</v>
      </c>
      <c r="CI47" s="552" t="e">
        <f t="shared" si="86"/>
        <v>#DIV/0!</v>
      </c>
      <c r="CJ47" s="453"/>
      <c r="CK47" s="228"/>
      <c r="CL47" s="228"/>
      <c r="CM47" s="228"/>
      <c r="CN47" s="228"/>
      <c r="CO47" s="228"/>
      <c r="CP47" s="228"/>
      <c r="CQ47" s="228"/>
      <c r="CR47" s="228"/>
      <c r="CS47" s="228"/>
      <c r="CT47" s="228"/>
      <c r="CU47" s="228"/>
      <c r="CV47" s="228"/>
      <c r="CW47" s="228"/>
      <c r="CX47" s="228"/>
      <c r="CY47" s="228"/>
      <c r="CZ47" s="228"/>
      <c r="DA47" s="228"/>
      <c r="DB47" s="228"/>
      <c r="DC47" s="228"/>
      <c r="DD47" s="228"/>
      <c r="DE47" s="228"/>
      <c r="DF47" s="228"/>
      <c r="DG47" s="228"/>
      <c r="DH47" s="228"/>
      <c r="DI47" s="228"/>
      <c r="DJ47" s="228"/>
      <c r="DK47" s="228"/>
      <c r="DL47" s="228"/>
      <c r="DM47" s="228"/>
      <c r="DN47" s="228"/>
      <c r="DO47" s="228"/>
      <c r="DP47" s="228"/>
      <c r="DQ47" s="228"/>
    </row>
    <row r="48" s="543" customFormat="1" ht="16" customHeight="1" spans="1:121">
      <c r="A48" s="269" t="s">
        <v>280</v>
      </c>
      <c r="B48" s="270"/>
      <c r="C48" s="261" t="e">
        <f>-SUM(B10:E10)</f>
        <v>#DIV/0!</v>
      </c>
      <c r="D48" s="586"/>
      <c r="E48" s="586" t="e">
        <f t="shared" si="89"/>
        <v>#DIV/0!</v>
      </c>
      <c r="F48" s="586" t="e">
        <f>F47+C48</f>
        <v>#DIV/0!</v>
      </c>
      <c r="G48" s="307"/>
      <c r="H48" s="269" t="s">
        <v>522</v>
      </c>
      <c r="I48" s="158">
        <v>2</v>
      </c>
      <c r="J48" s="158">
        <v>2</v>
      </c>
      <c r="K48" s="158">
        <v>3</v>
      </c>
      <c r="L48" s="158">
        <v>3</v>
      </c>
      <c r="M48" s="587"/>
      <c r="N48" s="269" t="s">
        <v>657</v>
      </c>
      <c r="O48" s="269" t="s">
        <v>658</v>
      </c>
      <c r="P48" s="269" t="s">
        <v>659</v>
      </c>
      <c r="Q48" s="269" t="s">
        <v>660</v>
      </c>
      <c r="R48" s="269" t="s">
        <v>642</v>
      </c>
      <c r="S48" s="614"/>
      <c r="T48" s="613"/>
      <c r="U48" s="68" t="s">
        <v>464</v>
      </c>
      <c r="V48" s="115" t="e">
        <f>INT(IF(IF(B6&lt;V23,(1+((V23-B6)/V23+O10)*15)*IF(INT($K6)-INT(初期!$P23)=1,1.1,1)*V17,(1+((V23-B6)/V23+O10)*5)*IF(INT($K6)-INT(初期!$P23)=1,1.1,1)*V17)&gt;0,IF(B6&lt;V23,(1+((V23-B6)/V23+O10)*15)*IF(INT($K6)-INT(初期!$P23)=1,1.1,1)*V17,(1+((V23-B6)/V23+O10)*5)*IF(INT($K6)-INT(初期!$P23)=1,1.1,1)*V17),0))</f>
        <v>#DIV/0!</v>
      </c>
      <c r="W48" s="115" t="e">
        <f>INT(IF(IF(C6&lt;W23,(1+((W23-C6)/W23+P10)*15)*IF(INT($K6)-INT(初期!$P23)=1,1.1,1)*W17,(1+((W23-C6)/W23+P10)*5)*IF(INT($K6)-INT(初期!$P23)=1,1.1,1)*W17)&gt;0,IF(C6&lt;W23,(1+((W23-C6)/W23+P10)*15)*IF(INT($K6)-INT(初期!$P23)=1,1.1,1)*W17,(1+((W23-C6)/W23+P10)*5)*IF(INT($K6)-INT(初期!$P23)=1,1.1,1)*W17),0))</f>
        <v>#DIV/0!</v>
      </c>
      <c r="X48" s="115" t="e">
        <f>INT(IF(IF(D6&lt;X23,(1+((X23-D6)/X23+Q10)*15)*IF(INT($K6)-INT(初期!$P23)=1,1.1,1)*X17,(1+((X23-D6)/X23+Q10)*5)*IF(INT($K6)-INT(初期!$P23)=1,1.1,1)*X17)&gt;0,IF(D6&lt;X23,(1+((X23-D6)/X23+Q10)*15)*IF(INT($K6)-INT(初期!$P23)=1,1.1,1)*X17,(1+((X23-D6)/X23+Q10)*5)*IF(INT($K6)-INT(初期!$P23)=1,1.1,1)*X17),0))</f>
        <v>#DIV/0!</v>
      </c>
      <c r="Y48" s="115" t="e">
        <f>INT(IF(IF(E6&lt;Y23,(1+((Y23-E6)/Y23+R10)*15)*IF(INT($K6)-INT(初期!$P23)=1,1.1,1)*Y17,(1+((Y23-E6)/Y23+R10)*5)*IF(INT($K6)-INT(初期!$P23)=1,1.1,1)*Y17)&gt;0,IF(E6&lt;Y23,(1+((Y23-E6)/Y23+R10)*15)*IF(INT($K6)-INT(初期!$P23)=1,1.1,1)*Y17,(1+((Y23-E6)/Y23+R10)*5)*IF(INT($K6)-INT(初期!$P23)=1,1.1,1)*Y17),0))</f>
        <v>#DIV/0!</v>
      </c>
      <c r="Z48" s="91"/>
      <c r="AA48" s="307"/>
      <c r="AB48" s="91"/>
      <c r="AC48" s="91"/>
      <c r="AD48" s="91"/>
      <c r="AE48" s="91"/>
      <c r="AF48" s="91"/>
      <c r="AG48" s="91"/>
      <c r="AH48" s="307"/>
      <c r="AI48" s="535"/>
      <c r="AJ48" s="536"/>
      <c r="AK48" s="536"/>
      <c r="AL48" s="536"/>
      <c r="AM48" s="536"/>
      <c r="AN48" s="536"/>
      <c r="AO48" s="536"/>
      <c r="AP48" s="536"/>
      <c r="AQ48" s="536"/>
      <c r="AR48" s="536"/>
      <c r="AS48" s="536"/>
      <c r="AT48" s="536"/>
      <c r="AU48" s="536"/>
      <c r="AV48" s="536"/>
      <c r="AW48" s="536"/>
      <c r="AX48" s="536"/>
      <c r="AY48" s="536"/>
      <c r="AZ48" s="63"/>
      <c r="BA48" s="539">
        <f t="shared" si="61"/>
        <v>0</v>
      </c>
      <c r="BB48" s="546">
        <f t="shared" si="62"/>
        <v>0</v>
      </c>
      <c r="BC48" s="546">
        <f t="shared" si="63"/>
        <v>0</v>
      </c>
      <c r="BD48" s="546">
        <f t="shared" si="64"/>
        <v>0</v>
      </c>
      <c r="BE48" s="546">
        <f t="shared" si="65"/>
        <v>0</v>
      </c>
      <c r="BF48" s="636">
        <f>(BB48*初始化表!E$17+BC48*初始化表!F$17+BD48*初始化表!G$17+BE48*初始化表!H$17)/1300</f>
        <v>0</v>
      </c>
      <c r="BG48" s="637">
        <f t="shared" si="66"/>
        <v>0</v>
      </c>
      <c r="BH48" s="637">
        <f t="shared" si="67"/>
        <v>0</v>
      </c>
      <c r="BI48" s="638">
        <f t="shared" si="70"/>
        <v>0</v>
      </c>
      <c r="BJ48" s="546" t="str">
        <f t="shared" si="68"/>
        <v/>
      </c>
      <c r="BK48" s="546" t="str">
        <f t="shared" si="69"/>
        <v/>
      </c>
      <c r="BL48" s="61"/>
      <c r="BM48" s="61"/>
      <c r="BN48" s="61"/>
      <c r="BO48" s="61"/>
      <c r="BP48" s="61"/>
      <c r="BQ48" s="61"/>
      <c r="BR48" s="62"/>
      <c r="BS48" s="539">
        <f t="shared" si="59"/>
        <v>0</v>
      </c>
      <c r="BT48" s="552" t="e">
        <f t="shared" si="90"/>
        <v>#DIV/0!</v>
      </c>
      <c r="BU48" s="552" t="e">
        <f t="shared" si="90"/>
        <v>#DIV/0!</v>
      </c>
      <c r="BV48" s="552" t="e">
        <f t="shared" si="90"/>
        <v>#DIV/0!</v>
      </c>
      <c r="BW48" s="552" t="e">
        <f t="shared" si="90"/>
        <v>#DIV/0!</v>
      </c>
      <c r="BX48" s="552" t="e">
        <f t="shared" si="90"/>
        <v>#DIV/0!</v>
      </c>
      <c r="BY48" s="552" t="e">
        <f t="shared" si="90"/>
        <v>#DIV/0!</v>
      </c>
      <c r="BZ48" s="552" t="e">
        <f t="shared" si="90"/>
        <v>#DIV/0!</v>
      </c>
      <c r="CA48" s="552" t="e">
        <f t="shared" si="90"/>
        <v>#DIV/0!</v>
      </c>
      <c r="CB48" s="552" t="e">
        <f t="shared" si="90"/>
        <v>#DIV/0!</v>
      </c>
      <c r="CC48" s="552" t="e">
        <f t="shared" si="90"/>
        <v>#DIV/0!</v>
      </c>
      <c r="CD48" s="552" t="e">
        <f t="shared" si="90"/>
        <v>#DIV/0!</v>
      </c>
      <c r="CE48" s="552" t="e">
        <f t="shared" si="90"/>
        <v>#DIV/0!</v>
      </c>
      <c r="CF48" s="552" t="e">
        <f t="shared" si="90"/>
        <v>#DIV/0!</v>
      </c>
      <c r="CG48" s="552" t="e">
        <f t="shared" si="90"/>
        <v>#DIV/0!</v>
      </c>
      <c r="CH48" s="552" t="e">
        <f t="shared" si="90"/>
        <v>#DIV/0!</v>
      </c>
      <c r="CI48" s="552" t="e">
        <f t="shared" si="86"/>
        <v>#DIV/0!</v>
      </c>
      <c r="CJ48" s="453"/>
      <c r="CK48" s="228"/>
      <c r="CL48" s="228"/>
      <c r="CM48" s="228"/>
      <c r="CN48" s="228"/>
      <c r="CO48" s="228"/>
      <c r="CP48" s="228"/>
      <c r="CQ48" s="228"/>
      <c r="CR48" s="228"/>
      <c r="CS48" s="228"/>
      <c r="CT48" s="228"/>
      <c r="CU48" s="228"/>
      <c r="CV48" s="228"/>
      <c r="CW48" s="228"/>
      <c r="CX48" s="228"/>
      <c r="CY48" s="228"/>
      <c r="CZ48" s="228"/>
      <c r="DA48" s="228"/>
      <c r="DB48" s="228"/>
      <c r="DC48" s="228"/>
      <c r="DD48" s="228"/>
      <c r="DE48" s="228"/>
      <c r="DF48" s="228"/>
      <c r="DG48" s="228"/>
      <c r="DH48" s="228"/>
      <c r="DI48" s="228"/>
      <c r="DJ48" s="228"/>
      <c r="DK48" s="228"/>
      <c r="DL48" s="228"/>
      <c r="DM48" s="228"/>
      <c r="DN48" s="228"/>
      <c r="DO48" s="228"/>
      <c r="DP48" s="228"/>
      <c r="DQ48" s="228"/>
    </row>
    <row r="49" s="543" customFormat="1" ht="16" customHeight="1" spans="1:121">
      <c r="A49" s="269" t="s">
        <v>378</v>
      </c>
      <c r="B49" s="270"/>
      <c r="C49" s="261" t="e">
        <f>IF(AJ24="",SUMPRODUCT(B6:E9,V42:Y45),B6*MAX(0,AM9-AK9)+MAX(0,AM10-AK10)*C6+MAX(0,AM11-AK11)*D6+MAX(0,AM12-AK12)*E6+MAX(0,AM13-AK13)*B7+MAX(0,AM14-AK14)*C7+MAX(0,AM15-AK15)*D7+MAX(0,AM16-AK16)*E7+MAX(0,AM17-AK17)*B8+MAX(0,AM18-AK18)*C8+MAX(0,AM19-AK19)*D8+MAX(0,AM20-AK20)*E8+MAX(0,AM21-AK21)*B9+MAX(0,AM22-AK22)*C9+MAX(0,AM23-AK23)*D9+MAX(0,AM24-AK24)*E9)+MIN(B6,V23)*MIN(V11,B12-V66)+MIN(W11,C12-W66)*MIN(C6,W23)+MIN(X11,D12-X66)*MIN(D6,X23)+MIN(Y11,E12-Y66)*MIN(E6,Y23)+MIN(B7,V24)*MIN(V12,B13-V67)+MIN(W12,C13-W67)*MIN(C7,W24)+MIN(X12,D13-X67)*MIN(D7,X24)+MIN(Y12,E13-Y67)*MIN(E7,Y24)+MIN(B8,V25)*MIN(V13,B14-V68)+MIN(W13,C14-W68)*MIN(C8,W25)+MIN(X13,D14-X68)*MIN(D8,X25)+MIN(Y13,E14-Y68)*MIN(E8,Y25)+MIN(B9,V26)*MIN(V14,B15-V69)+MIN(W14,C15-W69)*MIN(C9,W26)+MIN(X14,D15-X69)*MIN(D9,X26)+MIN(Y14,E15-Y69)*MIN(E9,Y26)</f>
        <v>#DIV/0!</v>
      </c>
      <c r="D49" s="586" t="e">
        <f>D41+C49</f>
        <v>#DIV/0!</v>
      </c>
      <c r="E49" s="586"/>
      <c r="F49" s="586" t="e">
        <f>F48+C49</f>
        <v>#DIV/0!</v>
      </c>
      <c r="G49" s="307"/>
      <c r="H49" s="269" t="s">
        <v>523</v>
      </c>
      <c r="I49" s="158">
        <v>2</v>
      </c>
      <c r="J49" s="158">
        <v>2</v>
      </c>
      <c r="K49" s="158">
        <v>3</v>
      </c>
      <c r="L49" s="158">
        <v>3</v>
      </c>
      <c r="M49" s="587"/>
      <c r="N49" s="77">
        <f>初期!H26</f>
        <v>0</v>
      </c>
      <c r="O49" s="77" t="e">
        <f>N49+初期!I17/初始化表!B8</f>
        <v>#DIV/0!</v>
      </c>
      <c r="P49" s="77" t="e">
        <f>INT((F61-0.05*C49+0-(F30-F48)*O49/N49)/初始化表!B8)</f>
        <v>#DIV/0!</v>
      </c>
      <c r="Q49" s="77" t="e">
        <f>INT((F61+第2期!P33+第2期!Q35-F30+F48)/初始化表!B8)</f>
        <v>#DIV/0!</v>
      </c>
      <c r="R49" s="589">
        <v>0</v>
      </c>
      <c r="S49" s="91"/>
      <c r="T49" s="613"/>
      <c r="U49" s="68" t="s">
        <v>465</v>
      </c>
      <c r="V49" s="115" t="e">
        <f>INT(IF(IF(B7&lt;V24,(1+((V24-B7)/V24+O11)*15)*IF(INT($K7)-INT(初期!$P24)=1,1.1,1)*V18,(1+((V24-B7)/V24+O11)*5)*IF(INT($K7)-INT(初期!$P24)=1,1.1,1)*V18)&gt;0,IF(B7&lt;V24,(1+((V24-B7)/V24+O11)*15)*IF(INT($K7)-INT(初期!$P24)=1,1.1,1)*V18,(1+((V24-B7)/V24+O11)*5)*IF(INT($K7)-INT(初期!$P24)=1,1.1,1)*V18),0))</f>
        <v>#DIV/0!</v>
      </c>
      <c r="W49" s="115" t="e">
        <f>INT(IF(IF(C7&lt;W24,(1+((W24-C7)/W24+P11)*15)*IF(INT($K7)-INT(初期!$P24)=1,1.1,1)*W18,(1+((W24-C7)/W24+P11)*5)*IF(INT($K7)-INT(初期!$P24)=1,1.1,1)*W18)&gt;0,IF(C7&lt;W24,(1+((W24-C7)/W24+P11)*15)*IF(INT($K7)-INT(初期!$P24)=1,1.1,1)*W18,(1+((W24-C7)/W24+P11)*5)*IF(INT($K7)-INT(初期!$P24)=1,1.1,1)*W18),0))</f>
        <v>#DIV/0!</v>
      </c>
      <c r="X49" s="115" t="e">
        <f>INT(IF(IF(D7&lt;X24,(1+((X24-D7)/X24+Q11)*15)*IF(INT($K7)-INT(初期!$P24)=1,1.1,1)*X18,(1+((X24-D7)/X24+Q11)*5)*IF(INT($K7)-INT(初期!$P24)=1,1.1,1)*X18)&gt;0,IF(D7&lt;X24,(1+((X24-D7)/X24+Q11)*15)*IF(INT($K7)-INT(初期!$P24)=1,1.1,1)*X18,(1+((X24-D7)/X24+Q11)*5)*IF(INT($K7)-INT(初期!$P24)=1,1.1,1)*X18),0))</f>
        <v>#DIV/0!</v>
      </c>
      <c r="Y49" s="115" t="e">
        <f>INT(IF(IF(E7&lt;Y24,(1+((Y24-E7)/Y24+R11)*15)*IF(INT($K7)-INT(初期!$P24)=1,1.1,1)*Y18,(1+((Y24-E7)/Y24+R11)*5)*IF(INT($K7)-INT(初期!$P24)=1,1.1,1)*Y18)&gt;0,IF(E7&lt;Y24,(1+((Y24-E7)/Y24+R11)*15)*IF(INT($K7)-INT(初期!$P24)=1,1.1,1)*Y18,(1+((Y24-E7)/Y24+R11)*5)*IF(INT($K7)-INT(初期!$P24)=1,1.1,1)*Y18),0))</f>
        <v>#DIV/0!</v>
      </c>
      <c r="Z49" s="91"/>
      <c r="AA49" s="307"/>
      <c r="AB49" s="91"/>
      <c r="AC49" s="91"/>
      <c r="AD49" s="91"/>
      <c r="AE49" s="91"/>
      <c r="AF49" s="91"/>
      <c r="AG49" s="91"/>
      <c r="AH49" s="307"/>
      <c r="AI49" s="535"/>
      <c r="AJ49" s="536"/>
      <c r="AK49" s="536"/>
      <c r="AL49" s="536"/>
      <c r="AM49" s="536"/>
      <c r="AN49" s="536"/>
      <c r="AO49" s="536"/>
      <c r="AP49" s="536"/>
      <c r="AQ49" s="536"/>
      <c r="AR49" s="536"/>
      <c r="AS49" s="536"/>
      <c r="AT49" s="536"/>
      <c r="AU49" s="536"/>
      <c r="AV49" s="536"/>
      <c r="AW49" s="536"/>
      <c r="AX49" s="536"/>
      <c r="AY49" s="536"/>
      <c r="AZ49" s="63"/>
      <c r="BA49" s="539">
        <f t="shared" si="61"/>
        <v>0</v>
      </c>
      <c r="BB49" s="546">
        <f t="shared" si="62"/>
        <v>0</v>
      </c>
      <c r="BC49" s="546">
        <f t="shared" si="63"/>
        <v>0</v>
      </c>
      <c r="BD49" s="546">
        <f t="shared" si="64"/>
        <v>0</v>
      </c>
      <c r="BE49" s="546">
        <f t="shared" si="65"/>
        <v>0</v>
      </c>
      <c r="BF49" s="636">
        <f>(BB49*初始化表!E$17+BC49*初始化表!F$17+BD49*初始化表!G$17+BE49*初始化表!H$17)/1300</f>
        <v>0</v>
      </c>
      <c r="BG49" s="637">
        <f t="shared" si="66"/>
        <v>0</v>
      </c>
      <c r="BH49" s="637">
        <f t="shared" si="67"/>
        <v>0</v>
      </c>
      <c r="BI49" s="638">
        <f t="shared" si="70"/>
        <v>0</v>
      </c>
      <c r="BJ49" s="546" t="str">
        <f t="shared" si="68"/>
        <v/>
      </c>
      <c r="BK49" s="546" t="str">
        <f t="shared" si="69"/>
        <v/>
      </c>
      <c r="BL49" s="61"/>
      <c r="BM49" s="61"/>
      <c r="BN49" s="61"/>
      <c r="BO49" s="61"/>
      <c r="BP49" s="61"/>
      <c r="BQ49" s="61"/>
      <c r="BR49" s="62"/>
      <c r="BS49" s="539">
        <f t="shared" si="59"/>
        <v>0</v>
      </c>
      <c r="BT49" s="552" t="e">
        <f t="shared" si="90"/>
        <v>#DIV/0!</v>
      </c>
      <c r="BU49" s="552" t="e">
        <f t="shared" si="90"/>
        <v>#DIV/0!</v>
      </c>
      <c r="BV49" s="552" t="e">
        <f t="shared" si="90"/>
        <v>#DIV/0!</v>
      </c>
      <c r="BW49" s="552" t="e">
        <f t="shared" si="90"/>
        <v>#DIV/0!</v>
      </c>
      <c r="BX49" s="552" t="e">
        <f t="shared" si="90"/>
        <v>#DIV/0!</v>
      </c>
      <c r="BY49" s="552" t="e">
        <f t="shared" si="90"/>
        <v>#DIV/0!</v>
      </c>
      <c r="BZ49" s="552" t="e">
        <f t="shared" si="90"/>
        <v>#DIV/0!</v>
      </c>
      <c r="CA49" s="552" t="e">
        <f t="shared" si="90"/>
        <v>#DIV/0!</v>
      </c>
      <c r="CB49" s="552" t="e">
        <f t="shared" si="90"/>
        <v>#DIV/0!</v>
      </c>
      <c r="CC49" s="552" t="e">
        <f t="shared" si="90"/>
        <v>#DIV/0!</v>
      </c>
      <c r="CD49" s="552" t="e">
        <f t="shared" si="90"/>
        <v>#DIV/0!</v>
      </c>
      <c r="CE49" s="552" t="e">
        <f t="shared" si="90"/>
        <v>#DIV/0!</v>
      </c>
      <c r="CF49" s="552" t="e">
        <f t="shared" si="90"/>
        <v>#DIV/0!</v>
      </c>
      <c r="CG49" s="552" t="e">
        <f t="shared" si="90"/>
        <v>#DIV/0!</v>
      </c>
      <c r="CH49" s="552" t="e">
        <f t="shared" si="90"/>
        <v>#DIV/0!</v>
      </c>
      <c r="CI49" s="552" t="e">
        <f t="shared" si="86"/>
        <v>#DIV/0!</v>
      </c>
      <c r="CJ49" s="453"/>
      <c r="CK49" s="228"/>
      <c r="CL49" s="228"/>
      <c r="CM49" s="228"/>
      <c r="CN49" s="228"/>
      <c r="CO49" s="228"/>
      <c r="CP49" s="228"/>
      <c r="CQ49" s="228"/>
      <c r="CR49" s="228"/>
      <c r="CS49" s="228"/>
      <c r="CT49" s="228"/>
      <c r="CU49" s="228"/>
      <c r="CV49" s="228"/>
      <c r="CW49" s="228"/>
      <c r="CX49" s="228"/>
      <c r="CY49" s="228"/>
      <c r="CZ49" s="228"/>
      <c r="DA49" s="228"/>
      <c r="DB49" s="228"/>
      <c r="DC49" s="228"/>
      <c r="DD49" s="228"/>
      <c r="DE49" s="228"/>
      <c r="DF49" s="228"/>
      <c r="DG49" s="228"/>
      <c r="DH49" s="228"/>
      <c r="DI49" s="228"/>
      <c r="DJ49" s="228"/>
      <c r="DK49" s="228"/>
      <c r="DL49" s="228"/>
      <c r="DM49" s="228"/>
      <c r="DN49" s="228"/>
      <c r="DO49" s="228"/>
      <c r="DP49" s="228"/>
      <c r="DQ49" s="228"/>
    </row>
    <row r="50" s="543" customFormat="1" ht="16" customHeight="1" spans="1:121">
      <c r="A50" s="269" t="s">
        <v>379</v>
      </c>
      <c r="B50" s="270"/>
      <c r="C50" s="261" t="e">
        <f>-IF(AJ24="",0.4*SUMPRODUCT(B6:E9,V66:Y69),0.4*(AQ9*B6+AQ10*C6+AQ11*D6+AQ12*E6+AQ13*B7+AQ14*C7+AQ15*D7+AQ16*E7+AQ17*B8+AQ18*C8+AQ19*D8+AQ20*E8+AQ21*B9+AQ22*C9+AQ23*D9+AQ24*E9))</f>
        <v>#DIV/0!</v>
      </c>
      <c r="D50" s="586"/>
      <c r="E50" s="586" t="e">
        <f>E48-C50</f>
        <v>#DIV/0!</v>
      </c>
      <c r="F50" s="586" t="e">
        <f>F49+C50</f>
        <v>#DIV/0!</v>
      </c>
      <c r="G50" s="307"/>
      <c r="H50" s="269" t="s">
        <v>524</v>
      </c>
      <c r="I50" s="158">
        <v>2</v>
      </c>
      <c r="J50" s="158">
        <v>2</v>
      </c>
      <c r="K50" s="158">
        <v>3</v>
      </c>
      <c r="L50" s="158">
        <v>3</v>
      </c>
      <c r="M50" s="587"/>
      <c r="N50" s="91"/>
      <c r="O50" s="269" t="s">
        <v>574</v>
      </c>
      <c r="P50" s="79" t="e">
        <f>E60</f>
        <v>#DIV/0!</v>
      </c>
      <c r="Q50" s="68" t="s">
        <v>661</v>
      </c>
      <c r="R50" s="622" t="e">
        <f>(H17+I18-K18)*1.47*0.97/(N49+R49)</f>
        <v>#DIV/0!</v>
      </c>
      <c r="S50" s="623"/>
      <c r="T50" s="613"/>
      <c r="U50" s="68" t="s">
        <v>466</v>
      </c>
      <c r="V50" s="115" t="e">
        <f>INT(IF(IF(B8&lt;V25,(1+((V25-B8)/V25+O12)*15)*IF(INT($K8)-INT(初期!$P25)=1,1.1,1)*V19,(1+((V25-B8)/V25+O12)*5)*IF(INT($K8)-INT(初期!$P25)=1,1.1,1)*V19)&gt;0,IF(B8&lt;V25,(1+((V25-B8)/V25+O12)*15)*IF(INT($K8)-INT(初期!$P25)=1,1.1,1)*V19,(1+((V25-B8)/V25+O12)*5)*IF(INT($K8)-INT(初期!$P25)=1,1.1,1)*V19),0))</f>
        <v>#DIV/0!</v>
      </c>
      <c r="W50" s="115" t="e">
        <f>INT(IF(IF(C8&lt;W25,(1+((W25-C8)/W25+P12)*15)*IF(INT($K8)-INT(初期!$P25)=1,1.1,1)*W19,(1+((W25-C8)/W25+P12)*5)*IF(INT($K8)-INT(初期!$P25)=1,1.1,1)*W19)&gt;0,IF(C8&lt;W25,(1+((W25-C8)/W25+P12)*15)*IF(INT($K8)-INT(初期!$P25)=1,1.1,1)*W19,(1+((W25-C8)/W25+P12)*5)*IF(INT($K8)-INT(初期!$P25)=1,1.1,1)*W19),0))</f>
        <v>#DIV/0!</v>
      </c>
      <c r="X50" s="115" t="e">
        <f>INT(IF(IF(D8&lt;X25,(1+((X25-D8)/X25+Q12)*15)*IF(INT($K8)-INT(初期!$P25)=1,1.1,1)*X19,(1+((X25-D8)/X25+Q12)*5)*IF(INT($K8)-INT(初期!$P25)=1,1.1,1)*X19)&gt;0,IF(D8&lt;X25,(1+((X25-D8)/X25+Q12)*15)*IF(INT($K8)-INT(初期!$P25)=1,1.1,1)*X19,(1+((X25-D8)/X25+Q12)*5)*IF(INT($K8)-INT(初期!$P25)=1,1.1,1)*X19),0))</f>
        <v>#DIV/0!</v>
      </c>
      <c r="Y50" s="115" t="e">
        <f>INT(IF(IF(E8&lt;Y25,(1+((Y25-E8)/Y25+R12)*15)*IF(INT($K8)-INT(初期!$P25)=1,1.1,1)*Y19,(1+((Y25-E8)/Y25+R12)*5)*IF(INT($K8)-INT(初期!$P25)=1,1.1,1)*Y19)&gt;0,IF(E8&lt;Y25,(1+((Y25-E8)/Y25+R12)*15)*IF(INT($K8)-INT(初期!$P25)=1,1.1,1)*Y19,(1+((Y25-E8)/Y25+R12)*5)*IF(INT($K8)-INT(初期!$P25)=1,1.1,1)*Y19),0))</f>
        <v>#DIV/0!</v>
      </c>
      <c r="Z50" s="91"/>
      <c r="AA50" s="307"/>
      <c r="AB50" s="91"/>
      <c r="AC50" s="91"/>
      <c r="AD50" s="91"/>
      <c r="AE50" s="91"/>
      <c r="AF50" s="91"/>
      <c r="AG50" s="91"/>
      <c r="AH50" s="307"/>
      <c r="AI50" s="535"/>
      <c r="AJ50" s="536"/>
      <c r="AK50" s="536"/>
      <c r="AL50" s="536"/>
      <c r="AM50" s="536"/>
      <c r="AN50" s="536"/>
      <c r="AO50" s="536"/>
      <c r="AP50" s="536"/>
      <c r="AQ50" s="536"/>
      <c r="AR50" s="536"/>
      <c r="AS50" s="536"/>
      <c r="AT50" s="536"/>
      <c r="AU50" s="536"/>
      <c r="AV50" s="536"/>
      <c r="AW50" s="536"/>
      <c r="AX50" s="536"/>
      <c r="AY50" s="536"/>
      <c r="AZ50" s="63"/>
      <c r="BA50" s="539">
        <f t="shared" si="61"/>
        <v>0</v>
      </c>
      <c r="BB50" s="546">
        <f t="shared" si="62"/>
        <v>0</v>
      </c>
      <c r="BC50" s="546">
        <f t="shared" si="63"/>
        <v>0</v>
      </c>
      <c r="BD50" s="546">
        <f t="shared" si="64"/>
        <v>0</v>
      </c>
      <c r="BE50" s="546">
        <f t="shared" si="65"/>
        <v>0</v>
      </c>
      <c r="BF50" s="636">
        <f>(BB50*初始化表!E$17+BC50*初始化表!F$17+BD50*初始化表!G$17+BE50*初始化表!H$17)/1300</f>
        <v>0</v>
      </c>
      <c r="BG50" s="637">
        <f t="shared" si="66"/>
        <v>0</v>
      </c>
      <c r="BH50" s="637">
        <f t="shared" si="67"/>
        <v>0</v>
      </c>
      <c r="BI50" s="638">
        <f t="shared" si="70"/>
        <v>0</v>
      </c>
      <c r="BJ50" s="546" t="str">
        <f t="shared" si="68"/>
        <v/>
      </c>
      <c r="BK50" s="546" t="str">
        <f t="shared" si="69"/>
        <v/>
      </c>
      <c r="BL50" s="61"/>
      <c r="BM50" s="61"/>
      <c r="BN50" s="61"/>
      <c r="BO50" s="61"/>
      <c r="BP50" s="61"/>
      <c r="BQ50" s="61"/>
      <c r="BR50" s="62"/>
      <c r="BS50" s="269" t="s">
        <v>569</v>
      </c>
      <c r="BT50" s="554" t="e">
        <f>SUM(AJ61:AJ80)/初始化表!$B5</f>
        <v>#DIV/0!</v>
      </c>
      <c r="BU50" s="554" t="e">
        <f>SUM(AK61:AK80)/初始化表!$B5</f>
        <v>#DIV/0!</v>
      </c>
      <c r="BV50" s="554" t="e">
        <f>SUM(AL61:AL80)/初始化表!$B5</f>
        <v>#DIV/0!</v>
      </c>
      <c r="BW50" s="554" t="e">
        <f>SUM(AM61:AM80)/初始化表!$B5</f>
        <v>#DIV/0!</v>
      </c>
      <c r="BX50" s="554" t="e">
        <f>SUM(AN61:AN80)/初始化表!$B5</f>
        <v>#DIV/0!</v>
      </c>
      <c r="BY50" s="554" t="e">
        <f>SUM(AO61:AO80)/初始化表!$B5</f>
        <v>#DIV/0!</v>
      </c>
      <c r="BZ50" s="554" t="e">
        <f>SUM(AP61:AP80)/初始化表!$B5</f>
        <v>#DIV/0!</v>
      </c>
      <c r="CA50" s="554" t="e">
        <f>SUM(AQ61:AQ80)/初始化表!$B5</f>
        <v>#DIV/0!</v>
      </c>
      <c r="CB50" s="554" t="e">
        <f>SUM(AR61:AR80)/初始化表!$B5</f>
        <v>#DIV/0!</v>
      </c>
      <c r="CC50" s="554" t="e">
        <f>SUM(AS61:AS80)/初始化表!$B5</f>
        <v>#DIV/0!</v>
      </c>
      <c r="CD50" s="554" t="e">
        <f>SUM(AT61:AT80)/初始化表!$B5</f>
        <v>#DIV/0!</v>
      </c>
      <c r="CE50" s="554" t="e">
        <f>SUM(AU61:AU80)/初始化表!$B5</f>
        <v>#DIV/0!</v>
      </c>
      <c r="CF50" s="554" t="e">
        <f>SUM(AV61:AV80)/初始化表!$B5</f>
        <v>#DIV/0!</v>
      </c>
      <c r="CG50" s="554" t="e">
        <f>SUM(AW61:AW80)/初始化表!$B5</f>
        <v>#DIV/0!</v>
      </c>
      <c r="CH50" s="554" t="e">
        <f>SUM(AX61:AX80)/初始化表!$B5</f>
        <v>#DIV/0!</v>
      </c>
      <c r="CI50" s="554" t="e">
        <f>SUM(AY61:AY80)/初始化表!$B5</f>
        <v>#DIV/0!</v>
      </c>
      <c r="CJ50" s="453"/>
      <c r="CK50" s="228"/>
      <c r="CL50" s="228"/>
      <c r="CM50" s="228"/>
      <c r="CN50" s="228"/>
      <c r="CO50" s="228"/>
      <c r="CP50" s="228"/>
      <c r="CQ50" s="228"/>
      <c r="CR50" s="228"/>
      <c r="CS50" s="228"/>
      <c r="CT50" s="228"/>
      <c r="CU50" s="228"/>
      <c r="CV50" s="228"/>
      <c r="CW50" s="228"/>
      <c r="CX50" s="228"/>
      <c r="CY50" s="228"/>
      <c r="CZ50" s="228"/>
      <c r="DA50" s="228"/>
      <c r="DB50" s="228"/>
      <c r="DC50" s="228"/>
      <c r="DD50" s="228"/>
      <c r="DE50" s="228"/>
      <c r="DF50" s="228"/>
      <c r="DG50" s="228"/>
      <c r="DH50" s="228"/>
      <c r="DI50" s="228"/>
      <c r="DJ50" s="228"/>
      <c r="DK50" s="228"/>
      <c r="DL50" s="228"/>
      <c r="DM50" s="228"/>
      <c r="DN50" s="228"/>
      <c r="DO50" s="228"/>
      <c r="DP50" s="228"/>
      <c r="DQ50" s="228"/>
    </row>
    <row r="51" s="543" customFormat="1" ht="16" customHeight="1" spans="1:121">
      <c r="A51" s="269" t="s">
        <v>380</v>
      </c>
      <c r="B51" s="270"/>
      <c r="C51" s="261">
        <f>-初始化表!H5*N49*初始化表!B8</f>
        <v>0</v>
      </c>
      <c r="D51" s="586"/>
      <c r="E51" s="586" t="e">
        <f>E50-C51</f>
        <v>#DIV/0!</v>
      </c>
      <c r="F51" s="586"/>
      <c r="G51" s="307"/>
      <c r="H51" s="269" t="s">
        <v>662</v>
      </c>
      <c r="I51" s="269" t="s">
        <v>521</v>
      </c>
      <c r="J51" s="269" t="s">
        <v>522</v>
      </c>
      <c r="K51" s="269" t="s">
        <v>523</v>
      </c>
      <c r="L51" s="269" t="s">
        <v>524</v>
      </c>
      <c r="M51" s="587"/>
      <c r="N51" s="91"/>
      <c r="O51" s="113" t="s">
        <v>296</v>
      </c>
      <c r="P51" s="609" t="e">
        <f>F64</f>
        <v>#DIV/0!</v>
      </c>
      <c r="Q51" s="436" t="s">
        <v>663</v>
      </c>
      <c r="R51" s="624" t="e">
        <f>(H17+I18-K18)*1.47*1.095/(N49+R49)</f>
        <v>#DIV/0!</v>
      </c>
      <c r="S51" s="623"/>
      <c r="T51" s="613"/>
      <c r="U51" s="68" t="s">
        <v>468</v>
      </c>
      <c r="V51" s="115" t="e">
        <f>INT(IF(IF(B9&lt;V26,(1+((V26-B9)/V26+O13)*15)*IF(INT($K9)-INT(初期!$P26)=1,1.1,1)*V20,(1+((V26-B9)/V26+O13)*5)*IF(INT($K9)-INT(初期!$P26)=1,1.1,1)*V20)&gt;0,IF(B9&lt;V26,(1+((V26-B9)/V26+O13)*15)*IF(INT($K9)-INT(初期!$P26)=1,1.1,1)*V20,(1+((V26-B9)/V26+O13)*5)*IF(INT($K9)-INT(初期!$P26)=1,1.1,1)*V20),0))</f>
        <v>#DIV/0!</v>
      </c>
      <c r="W51" s="115" t="e">
        <f>INT(IF(IF(C9&lt;W26,(1+((W26-C9)/W26+P13)*15)*IF(INT($K9)-INT(初期!$P26)=1,1.1,1)*W20,(1+((W26-C9)/W26+P13)*5)*IF(INT($K9)-INT(初期!$P26)=1,1.1,1)*W20)&gt;0,IF(C9&lt;W26,(1+((W26-C9)/W26+P13)*15)*IF(INT($K9)-INT(初期!$P26)=1,1.1,1)*W20,(1+((W26-C9)/W26+P13)*5)*IF(INT($K9)-INT(初期!$P26)=1,1.1,1)*W20),0))</f>
        <v>#DIV/0!</v>
      </c>
      <c r="X51" s="115" t="e">
        <f>INT(IF(IF(D9&lt;X26,(1+((X26-D9)/X26+Q13)*15)*IF(INT($K9)-INT(初期!$P26)=1,1.1,1)*X20,(1+((X26-D9)/X26+Q13)*5)*IF(INT($K9)-INT(初期!$P26)=1,1.1,1)*X20)&gt;0,IF(D9&lt;X26,(1+((X26-D9)/X26+Q13)*15)*IF(INT($K9)-INT(初期!$P26)=1,1.1,1)*X20,(1+((X26-D9)/X26+Q13)*5)*IF(INT($K9)-INT(初期!$P26)=1,1.1,1)*X20),0))</f>
        <v>#DIV/0!</v>
      </c>
      <c r="Y51" s="115" t="e">
        <f>INT(IF(IF(E9&lt;Y26,(1+((Y26-E9)/Y26+R13)*15)*IF(INT($K9)-INT(初期!$P26)=1,1.1,1)*Y20,(1+((Y26-E9)/Y26+R13)*5)*IF(INT($K9)-INT(初期!$P26)=1,1.1,1)*Y20)&gt;0,IF(E9&lt;Y26,(1+((Y26-E9)/Y26+R13)*15)*IF(INT($K9)-INT(初期!$P26)=1,1.1,1)*Y20,(1+((Y26-E9)/Y26+R13)*5)*IF(INT($K9)-INT(初期!$P26)=1,1.1,1)*Y20),0))</f>
        <v>#DIV/0!</v>
      </c>
      <c r="Z51" s="91"/>
      <c r="AA51" s="307"/>
      <c r="AB51" s="91"/>
      <c r="AC51" s="91"/>
      <c r="AD51" s="91"/>
      <c r="AE51" s="91"/>
      <c r="AF51" s="91"/>
      <c r="AG51" s="91"/>
      <c r="AH51" s="307"/>
      <c r="AI51" s="535"/>
      <c r="AJ51" s="536"/>
      <c r="AK51" s="536"/>
      <c r="AL51" s="536"/>
      <c r="AM51" s="536"/>
      <c r="AN51" s="536"/>
      <c r="AO51" s="536"/>
      <c r="AP51" s="536"/>
      <c r="AQ51" s="536"/>
      <c r="AR51" s="536"/>
      <c r="AS51" s="536"/>
      <c r="AT51" s="536"/>
      <c r="AU51" s="536"/>
      <c r="AV51" s="536"/>
      <c r="AW51" s="536"/>
      <c r="AX51" s="536"/>
      <c r="AY51" s="536"/>
      <c r="AZ51" s="63"/>
      <c r="BA51" s="269" t="s">
        <v>664</v>
      </c>
      <c r="BB51" s="636" t="e">
        <f>SUM(BB31:BB50)/初始化表!$B$5</f>
        <v>#DIV/0!</v>
      </c>
      <c r="BC51" s="636" t="e">
        <f>SUM(BC31:BC50)/初始化表!$B$5</f>
        <v>#DIV/0!</v>
      </c>
      <c r="BD51" s="636" t="e">
        <f>SUM(BD31:BD50)/初始化表!$B$5</f>
        <v>#DIV/0!</v>
      </c>
      <c r="BE51" s="636" t="e">
        <f>SUM(BE31:BE50)/初始化表!$B$5</f>
        <v>#DIV/0!</v>
      </c>
      <c r="BF51" s="636" t="e">
        <f>SUM(BF31:BF50)/初始化表!$B$5</f>
        <v>#DIV/0!</v>
      </c>
      <c r="BG51" s="636" t="e">
        <f>SUM(BG31:BG50)/初始化表!$B$5</f>
        <v>#DIV/0!</v>
      </c>
      <c r="BH51" s="636" t="e">
        <f>SUM(AJ107:AJ126)/SUM(BF31:BF50)</f>
        <v>#DIV/0!</v>
      </c>
      <c r="BI51" s="61">
        <f>((SUM(V5:Y5)+INT(I52)-SUM(AQ9:AQ12))*初始化表!E17+(SUM(V6:Y6)+INT(J52)-SUM(AQ13:AQ16))*初始化表!F17+(SUM(V7:Y7)+INT(K52)-SUM(AQ17:AQ20))*初始化表!G17+(SUM(V8:Y8)+INT(L52)-SUM(AQ21:AQ24))*初始化表!H17)/1300</f>
        <v>0</v>
      </c>
      <c r="BJ51" s="546"/>
      <c r="BK51" s="546"/>
      <c r="BL51" s="61"/>
      <c r="BM51" s="61"/>
      <c r="BN51" s="61"/>
      <c r="BO51" s="61"/>
      <c r="BP51" s="61"/>
      <c r="BQ51" s="61"/>
      <c r="BR51" s="62"/>
      <c r="BS51" s="269" t="s">
        <v>570</v>
      </c>
      <c r="BT51" s="555" t="e">
        <f t="shared" ref="BT51:CI51" si="91">STDEV.P(AJ61:AJ80)</f>
        <v>#DIV/0!</v>
      </c>
      <c r="BU51" s="555" t="e">
        <f t="shared" si="91"/>
        <v>#DIV/0!</v>
      </c>
      <c r="BV51" s="555" t="e">
        <f t="shared" si="91"/>
        <v>#DIV/0!</v>
      </c>
      <c r="BW51" s="555" t="e">
        <f t="shared" si="91"/>
        <v>#DIV/0!</v>
      </c>
      <c r="BX51" s="555" t="e">
        <f t="shared" si="91"/>
        <v>#DIV/0!</v>
      </c>
      <c r="BY51" s="555" t="e">
        <f t="shared" si="91"/>
        <v>#DIV/0!</v>
      </c>
      <c r="BZ51" s="555" t="e">
        <f t="shared" si="91"/>
        <v>#DIV/0!</v>
      </c>
      <c r="CA51" s="555" t="e">
        <f t="shared" si="91"/>
        <v>#DIV/0!</v>
      </c>
      <c r="CB51" s="555" t="e">
        <f t="shared" si="91"/>
        <v>#DIV/0!</v>
      </c>
      <c r="CC51" s="555" t="e">
        <f t="shared" si="91"/>
        <v>#DIV/0!</v>
      </c>
      <c r="CD51" s="555" t="e">
        <f t="shared" si="91"/>
        <v>#DIV/0!</v>
      </c>
      <c r="CE51" s="555" t="e">
        <f t="shared" si="91"/>
        <v>#DIV/0!</v>
      </c>
      <c r="CF51" s="555" t="e">
        <f t="shared" si="91"/>
        <v>#DIV/0!</v>
      </c>
      <c r="CG51" s="555" t="e">
        <f t="shared" si="91"/>
        <v>#DIV/0!</v>
      </c>
      <c r="CH51" s="555" t="e">
        <f t="shared" si="91"/>
        <v>#DIV/0!</v>
      </c>
      <c r="CI51" s="555" t="e">
        <f t="shared" si="91"/>
        <v>#DIV/0!</v>
      </c>
      <c r="CJ51" s="453"/>
      <c r="CK51" s="228"/>
      <c r="CL51" s="228"/>
      <c r="CM51" s="228"/>
      <c r="CN51" s="228"/>
      <c r="CO51" s="228"/>
      <c r="CP51" s="228"/>
      <c r="CQ51" s="228"/>
      <c r="CR51" s="228"/>
      <c r="CS51" s="228"/>
      <c r="CT51" s="228"/>
      <c r="CU51" s="228"/>
      <c r="CV51" s="228"/>
      <c r="CW51" s="228"/>
      <c r="CX51" s="228"/>
      <c r="CY51" s="228"/>
      <c r="CZ51" s="228"/>
      <c r="DA51" s="228"/>
      <c r="DB51" s="228"/>
      <c r="DC51" s="228"/>
      <c r="DD51" s="228"/>
      <c r="DE51" s="228"/>
      <c r="DF51" s="228"/>
      <c r="DG51" s="228"/>
      <c r="DH51" s="228"/>
      <c r="DI51" s="228"/>
      <c r="DJ51" s="228"/>
      <c r="DK51" s="228"/>
      <c r="DL51" s="228"/>
      <c r="DM51" s="228"/>
      <c r="DN51" s="228"/>
      <c r="DO51" s="228"/>
      <c r="DP51" s="228"/>
      <c r="DQ51" s="228"/>
    </row>
    <row r="52" s="543" customFormat="1" ht="16" customHeight="1" spans="1:99">
      <c r="A52" s="269" t="s">
        <v>381</v>
      </c>
      <c r="B52" s="270"/>
      <c r="C52" s="261">
        <f>IF(AJ24="",0,SUM(AP9:AP12)*初始化表!E22+SUM(AP13:AP16)*初始化表!F22+SUM(AP17:AP20)*初始化表!G22+SUM(AP21:AP24)*初始化表!H22)-(SUM(V5:Z5,-I56)*初始化表!E22+SUM(V6:Z6,-J56)*初始化表!F22+SUM(V7:Z7,-K56)*初始化表!G22+SUM(V8:Z8,-L56)*初始化表!H22)</f>
        <v>0</v>
      </c>
      <c r="D52" s="586"/>
      <c r="E52" s="586" t="e">
        <f>E51-C52</f>
        <v>#DIV/0!</v>
      </c>
      <c r="F52" s="586"/>
      <c r="G52" s="307"/>
      <c r="H52" s="269" t="s">
        <v>665</v>
      </c>
      <c r="I52" s="261">
        <f>Z5+初始化表!B4*SUM(B17:E17)</f>
        <v>0</v>
      </c>
      <c r="J52" s="261">
        <f>Z6+初始化表!B4*SUM(B18:E18)</f>
        <v>0</v>
      </c>
      <c r="K52" s="261">
        <f>Z7+初始化表!B4*SUM(B19:E19)</f>
        <v>0</v>
      </c>
      <c r="L52" s="261">
        <f>Z8+初始化表!B4*SUM(B20:E20)</f>
        <v>0</v>
      </c>
      <c r="M52" s="587"/>
      <c r="N52" s="68" t="s">
        <v>666</v>
      </c>
      <c r="O52" s="68" t="s">
        <v>667</v>
      </c>
      <c r="P52" s="68" t="s">
        <v>668</v>
      </c>
      <c r="Q52" s="68" t="s">
        <v>669</v>
      </c>
      <c r="R52" s="68" t="s">
        <v>670</v>
      </c>
      <c r="S52" s="91"/>
      <c r="T52" s="613"/>
      <c r="U52" s="123"/>
      <c r="V52" s="91"/>
      <c r="W52" s="91"/>
      <c r="X52" s="91"/>
      <c r="Y52" s="91"/>
      <c r="Z52" s="91"/>
      <c r="AA52" s="307"/>
      <c r="AB52" s="91"/>
      <c r="AC52" s="91"/>
      <c r="AD52" s="91"/>
      <c r="AE52" s="91"/>
      <c r="AF52" s="91"/>
      <c r="AG52" s="91"/>
      <c r="AH52" s="307"/>
      <c r="AI52" s="535"/>
      <c r="AJ52" s="536"/>
      <c r="AK52" s="536"/>
      <c r="AL52" s="536"/>
      <c r="AM52" s="536"/>
      <c r="AN52" s="536"/>
      <c r="AO52" s="536"/>
      <c r="AP52" s="536"/>
      <c r="AQ52" s="536"/>
      <c r="AR52" s="536"/>
      <c r="AS52" s="536"/>
      <c r="AT52" s="536"/>
      <c r="AU52" s="536"/>
      <c r="AV52" s="536"/>
      <c r="AW52" s="536"/>
      <c r="AX52" s="536"/>
      <c r="AY52" s="536"/>
      <c r="AZ52" s="63"/>
      <c r="BA52" s="326"/>
      <c r="BB52" s="61"/>
      <c r="BC52" s="61"/>
      <c r="BD52" s="61"/>
      <c r="BE52" s="61"/>
      <c r="BF52" s="61"/>
      <c r="BG52" s="61"/>
      <c r="BH52" s="61"/>
      <c r="BI52" s="61"/>
      <c r="BJ52" s="61"/>
      <c r="BK52" s="61"/>
      <c r="BL52" s="61"/>
      <c r="BM52" s="61"/>
      <c r="BN52" s="61"/>
      <c r="BO52" s="61"/>
      <c r="BP52" s="61"/>
      <c r="BQ52" s="61"/>
      <c r="BR52" s="62"/>
      <c r="BS52" s="62"/>
      <c r="BT52" s="62"/>
      <c r="BU52" s="62"/>
      <c r="BV52" s="62"/>
      <c r="BW52" s="62"/>
      <c r="BX52" s="62"/>
      <c r="BY52" s="62"/>
      <c r="BZ52" s="62"/>
      <c r="CA52" s="62"/>
      <c r="CB52" s="62"/>
      <c r="CC52" s="62"/>
      <c r="CD52" s="62"/>
      <c r="CE52" s="62"/>
      <c r="CF52" s="62"/>
      <c r="CG52" s="62"/>
      <c r="CH52" s="62"/>
      <c r="CI52" s="62"/>
      <c r="CJ52" s="62"/>
      <c r="CK52" s="61"/>
      <c r="CL52" s="61"/>
      <c r="CM52" s="61"/>
      <c r="CN52" s="61"/>
      <c r="CO52" s="61"/>
      <c r="CP52" s="61"/>
      <c r="CQ52" s="61"/>
      <c r="CR52" s="61"/>
      <c r="CS52" s="61"/>
      <c r="CT52" s="61"/>
      <c r="CU52" s="61"/>
    </row>
    <row r="53" s="543" customFormat="1" ht="16" customHeight="1" spans="1:99">
      <c r="A53" s="269" t="s">
        <v>382</v>
      </c>
      <c r="B53" s="270"/>
      <c r="C53" s="261">
        <f>-(H43+L43)/2*初始化表!B7</f>
        <v>0</v>
      </c>
      <c r="D53" s="586"/>
      <c r="E53" s="586" t="e">
        <f>E52-C53</f>
        <v>#DIV/0!</v>
      </c>
      <c r="F53" s="586" t="e">
        <f>F50+C53</f>
        <v>#DIV/0!</v>
      </c>
      <c r="G53" s="307"/>
      <c r="H53" s="269" t="s">
        <v>671</v>
      </c>
      <c r="I53" s="269" t="s">
        <v>521</v>
      </c>
      <c r="J53" s="269" t="s">
        <v>522</v>
      </c>
      <c r="K53" s="269" t="s">
        <v>523</v>
      </c>
      <c r="L53" s="269" t="s">
        <v>524</v>
      </c>
      <c r="M53" s="587"/>
      <c r="N53" s="68" t="s">
        <v>672</v>
      </c>
      <c r="O53" s="248" t="e">
        <f t="shared" ref="O53:R53" si="92">V23*((V42/V17-1)/(-3.5)+1+10%)</f>
        <v>#DIV/0!</v>
      </c>
      <c r="P53" s="248" t="e">
        <f t="shared" si="92"/>
        <v>#DIV/0!</v>
      </c>
      <c r="Q53" s="248" t="e">
        <f t="shared" si="92"/>
        <v>#DIV/0!</v>
      </c>
      <c r="R53" s="248" t="e">
        <f t="shared" si="92"/>
        <v>#DIV/0!</v>
      </c>
      <c r="S53" s="91"/>
      <c r="T53" s="613"/>
      <c r="U53" s="68" t="s">
        <v>673</v>
      </c>
      <c r="V53" s="68" t="s">
        <v>459</v>
      </c>
      <c r="W53" s="68" t="s">
        <v>460</v>
      </c>
      <c r="X53" s="68" t="s">
        <v>461</v>
      </c>
      <c r="Y53" s="68" t="s">
        <v>462</v>
      </c>
      <c r="Z53" s="91"/>
      <c r="AA53" s="307"/>
      <c r="AB53" s="91"/>
      <c r="AC53" s="91"/>
      <c r="AD53" s="91"/>
      <c r="AE53" s="91"/>
      <c r="AF53" s="91"/>
      <c r="AG53" s="91"/>
      <c r="AH53" s="307"/>
      <c r="AI53" s="535"/>
      <c r="AJ53" s="536"/>
      <c r="AK53" s="536"/>
      <c r="AL53" s="536"/>
      <c r="AM53" s="536"/>
      <c r="AN53" s="536"/>
      <c r="AO53" s="536"/>
      <c r="AP53" s="536"/>
      <c r="AQ53" s="536"/>
      <c r="AR53" s="536"/>
      <c r="AS53" s="536"/>
      <c r="AT53" s="536"/>
      <c r="AU53" s="536"/>
      <c r="AV53" s="536"/>
      <c r="AW53" s="536"/>
      <c r="AX53" s="536"/>
      <c r="AY53" s="536"/>
      <c r="AZ53" s="63"/>
      <c r="BA53" s="269" t="s">
        <v>37</v>
      </c>
      <c r="BB53" s="269" t="s">
        <v>674</v>
      </c>
      <c r="BD53" s="269" t="s">
        <v>675</v>
      </c>
      <c r="BE53" s="269" t="s">
        <v>198</v>
      </c>
      <c r="BF53" s="269" t="s">
        <v>202</v>
      </c>
      <c r="BG53" s="269" t="s">
        <v>206</v>
      </c>
      <c r="BH53" s="269" t="s">
        <v>208</v>
      </c>
      <c r="BI53" s="61"/>
      <c r="BJ53" s="61"/>
      <c r="BK53" s="61"/>
      <c r="BL53" s="61"/>
      <c r="BM53" s="61"/>
      <c r="BN53" s="61"/>
      <c r="BO53" s="61"/>
      <c r="BP53" s="61"/>
      <c r="BQ53" s="61"/>
      <c r="BR53" s="62"/>
      <c r="BS53" s="62"/>
      <c r="BT53" s="62"/>
      <c r="BU53" s="62"/>
      <c r="BV53" s="62"/>
      <c r="BW53" s="62"/>
      <c r="BX53" s="62"/>
      <c r="BY53" s="62"/>
      <c r="BZ53" s="62"/>
      <c r="CA53" s="62"/>
      <c r="CB53" s="62"/>
      <c r="CC53" s="62"/>
      <c r="CD53" s="62"/>
      <c r="CE53" s="62"/>
      <c r="CF53" s="62"/>
      <c r="CG53" s="62"/>
      <c r="CH53" s="62"/>
      <c r="CI53" s="62"/>
      <c r="CJ53" s="62"/>
      <c r="CK53" s="61"/>
      <c r="CL53" s="61"/>
      <c r="CM53" s="61"/>
      <c r="CN53" s="61"/>
      <c r="CO53" s="61"/>
      <c r="CP53" s="61"/>
      <c r="CQ53" s="61"/>
      <c r="CR53" s="61"/>
      <c r="CS53" s="61"/>
      <c r="CT53" s="61"/>
      <c r="CU53" s="61"/>
    </row>
    <row r="54" s="543" customFormat="1" ht="16" customHeight="1" spans="1:99">
      <c r="A54" s="269" t="s">
        <v>383</v>
      </c>
      <c r="B54" s="270"/>
      <c r="C54" s="261">
        <f>-(SUM(V5:Z5,I56)/2*初始化表!E5+SUM(V6:Z6,J56)/2*初始化表!E6+SUM(V7:Z7,K56)/2*初始化表!E7+SUM(V8:Z8,L56)/2*初始化表!E8+IF(AJ24="",0,(SUM(AP9:AP12)*初始化表!E5+SUM(AP13:AP16)*初始化表!E6+SUM(AP17:AP20)*初始化表!E7+SUM(AP21:AP24)*初始化表!E8)/2))</f>
        <v>0</v>
      </c>
      <c r="D54" s="586"/>
      <c r="E54" s="586" t="e">
        <f>E53-C54</f>
        <v>#DIV/0!</v>
      </c>
      <c r="F54" s="586" t="e">
        <f t="shared" ref="F54:F64" si="93">F53+C54</f>
        <v>#DIV/0!</v>
      </c>
      <c r="G54" s="307"/>
      <c r="H54" s="269" t="s">
        <v>665</v>
      </c>
      <c r="I54" s="610">
        <f>INT(I52)-SUM(B12:E12)</f>
        <v>0</v>
      </c>
      <c r="J54" s="610">
        <f>INT(J52)-SUM(B13:E13)</f>
        <v>0</v>
      </c>
      <c r="K54" s="610">
        <f>INT(K52)-SUM(B14:E14)</f>
        <v>0</v>
      </c>
      <c r="L54" s="610">
        <f>INT(L52)-SUM(B15:E15)</f>
        <v>0</v>
      </c>
      <c r="M54" s="587"/>
      <c r="N54" s="68" t="s">
        <v>676</v>
      </c>
      <c r="O54" s="248" t="e">
        <f t="shared" ref="O54:R54" si="94">V24*((V43/V18-1)/(-3.5)+1+10%)</f>
        <v>#DIV/0!</v>
      </c>
      <c r="P54" s="248" t="e">
        <f t="shared" si="94"/>
        <v>#DIV/0!</v>
      </c>
      <c r="Q54" s="248" t="e">
        <f t="shared" si="94"/>
        <v>#DIV/0!</v>
      </c>
      <c r="R54" s="248" t="e">
        <f t="shared" si="94"/>
        <v>#DIV/0!</v>
      </c>
      <c r="S54" s="91"/>
      <c r="T54" s="613"/>
      <c r="U54" s="68" t="s">
        <v>464</v>
      </c>
      <c r="V54" s="115" t="e">
        <f t="shared" ref="V54:Y57" si="95">IF(V42&gt;V48,V42-V48,0)</f>
        <v>#DIV/0!</v>
      </c>
      <c r="W54" s="115" t="e">
        <f t="shared" si="95"/>
        <v>#DIV/0!</v>
      </c>
      <c r="X54" s="115" t="e">
        <f t="shared" si="95"/>
        <v>#DIV/0!</v>
      </c>
      <c r="Y54" s="115" t="e">
        <f t="shared" si="95"/>
        <v>#DIV/0!</v>
      </c>
      <c r="Z54" s="91"/>
      <c r="AA54" s="307"/>
      <c r="AB54" s="91"/>
      <c r="AC54" s="91"/>
      <c r="AD54" s="91"/>
      <c r="AE54" s="91"/>
      <c r="AF54" s="91"/>
      <c r="AG54" s="91"/>
      <c r="AH54" s="307"/>
      <c r="AI54" s="535"/>
      <c r="AJ54" s="536"/>
      <c r="AK54" s="536"/>
      <c r="AL54" s="536"/>
      <c r="AM54" s="536"/>
      <c r="AN54" s="536"/>
      <c r="AO54" s="536"/>
      <c r="AP54" s="536"/>
      <c r="AQ54" s="536"/>
      <c r="AR54" s="536"/>
      <c r="AS54" s="536"/>
      <c r="AT54" s="536"/>
      <c r="AU54" s="536"/>
      <c r="AV54" s="536"/>
      <c r="AW54" s="536"/>
      <c r="AX54" s="536"/>
      <c r="AY54" s="536"/>
      <c r="AZ54" s="63"/>
      <c r="BA54" s="270">
        <f t="shared" ref="BA54:BA66" si="96">BA31</f>
        <v>0</v>
      </c>
      <c r="BB54" s="544">
        <f>IF(BT5=1,AL107/(AP107+初期!H146/2),0)</f>
        <v>0</v>
      </c>
      <c r="BC54" s="61"/>
      <c r="BD54" s="269">
        <f>BA54</f>
        <v>0</v>
      </c>
      <c r="BE54" s="547" t="e">
        <f>BB31/$BB$31</f>
        <v>#DIV/0!</v>
      </c>
      <c r="BF54" s="547" t="e">
        <f>BC31/$BC$31</f>
        <v>#DIV/0!</v>
      </c>
      <c r="BG54" s="547" t="e">
        <f>BD31/$BD$31</f>
        <v>#DIV/0!</v>
      </c>
      <c r="BH54" s="547" t="e">
        <f>BE31/$BE$31</f>
        <v>#DIV/0!</v>
      </c>
      <c r="BI54" s="61"/>
      <c r="BJ54" s="61"/>
      <c r="BK54" s="61"/>
      <c r="BL54" s="61"/>
      <c r="BM54" s="61"/>
      <c r="BN54" s="61"/>
      <c r="BO54" s="61"/>
      <c r="BP54" s="61"/>
      <c r="BQ54" s="61"/>
      <c r="BR54" s="62"/>
      <c r="BS54" s="62"/>
      <c r="BT54" s="62"/>
      <c r="BU54" s="62"/>
      <c r="BV54" s="62"/>
      <c r="BW54" s="62"/>
      <c r="BX54" s="62"/>
      <c r="BY54" s="62"/>
      <c r="BZ54" s="62"/>
      <c r="CA54" s="62"/>
      <c r="CB54" s="62"/>
      <c r="CC54" s="62"/>
      <c r="CD54" s="62"/>
      <c r="CE54" s="62"/>
      <c r="CF54" s="62"/>
      <c r="CG54" s="62"/>
      <c r="CH54" s="62"/>
      <c r="CI54" s="62"/>
      <c r="CJ54" s="62"/>
      <c r="CK54" s="61"/>
      <c r="CL54" s="61"/>
      <c r="CM54" s="61"/>
      <c r="CN54" s="61"/>
      <c r="CO54" s="61"/>
      <c r="CP54" s="61"/>
      <c r="CQ54" s="61"/>
      <c r="CR54" s="61"/>
      <c r="CS54" s="61"/>
      <c r="CT54" s="61"/>
      <c r="CU54" s="61"/>
    </row>
    <row r="55" s="543" customFormat="1" ht="16" customHeight="1" spans="1:99">
      <c r="A55" s="269" t="s">
        <v>384</v>
      </c>
      <c r="B55" s="270"/>
      <c r="C55" s="261">
        <f>N37</f>
        <v>0</v>
      </c>
      <c r="D55" s="586"/>
      <c r="E55" s="586"/>
      <c r="F55" s="586" t="e">
        <f t="shared" si="93"/>
        <v>#DIV/0!</v>
      </c>
      <c r="G55" s="307"/>
      <c r="H55" s="269" t="s">
        <v>677</v>
      </c>
      <c r="I55" s="269" t="s">
        <v>521</v>
      </c>
      <c r="J55" s="269" t="s">
        <v>522</v>
      </c>
      <c r="K55" s="269" t="s">
        <v>523</v>
      </c>
      <c r="L55" s="269" t="s">
        <v>524</v>
      </c>
      <c r="M55" s="587"/>
      <c r="N55" s="68" t="s">
        <v>678</v>
      </c>
      <c r="O55" s="248" t="e">
        <f t="shared" ref="O55:R55" si="97">V25*((V44/V19-1)/(-2.25)+1+7%)</f>
        <v>#DIV/0!</v>
      </c>
      <c r="P55" s="248" t="e">
        <f t="shared" si="97"/>
        <v>#DIV/0!</v>
      </c>
      <c r="Q55" s="248" t="e">
        <f t="shared" si="97"/>
        <v>#DIV/0!</v>
      </c>
      <c r="R55" s="248" t="e">
        <f t="shared" si="97"/>
        <v>#DIV/0!</v>
      </c>
      <c r="S55" s="91"/>
      <c r="T55" s="613"/>
      <c r="U55" s="68" t="s">
        <v>465</v>
      </c>
      <c r="V55" s="115" t="e">
        <f t="shared" si="95"/>
        <v>#DIV/0!</v>
      </c>
      <c r="W55" s="115" t="e">
        <f t="shared" si="95"/>
        <v>#DIV/0!</v>
      </c>
      <c r="X55" s="115" t="e">
        <f t="shared" si="95"/>
        <v>#DIV/0!</v>
      </c>
      <c r="Y55" s="115" t="e">
        <f t="shared" si="95"/>
        <v>#DIV/0!</v>
      </c>
      <c r="Z55" s="91"/>
      <c r="AA55" s="307"/>
      <c r="AB55" s="91"/>
      <c r="AC55" s="91"/>
      <c r="AD55" s="91"/>
      <c r="AE55" s="91"/>
      <c r="AF55" s="91"/>
      <c r="AG55" s="91"/>
      <c r="AH55" s="307"/>
      <c r="AI55" s="535"/>
      <c r="AJ55" s="536"/>
      <c r="AK55" s="536"/>
      <c r="AL55" s="536"/>
      <c r="AM55" s="536"/>
      <c r="AN55" s="536"/>
      <c r="AO55" s="536"/>
      <c r="AP55" s="536"/>
      <c r="AQ55" s="536"/>
      <c r="AR55" s="536"/>
      <c r="AS55" s="536"/>
      <c r="AT55" s="536"/>
      <c r="AU55" s="536"/>
      <c r="AV55" s="536"/>
      <c r="AW55" s="536"/>
      <c r="AX55" s="536"/>
      <c r="AY55" s="536"/>
      <c r="AZ55" s="63"/>
      <c r="BA55" s="270">
        <f t="shared" si="96"/>
        <v>0</v>
      </c>
      <c r="BB55" s="544">
        <f>IF(BT6=1,AL108/(AP108+初期!H147/2),0)</f>
        <v>0</v>
      </c>
      <c r="BC55" s="61"/>
      <c r="BD55" s="269">
        <f t="shared" ref="BD55:BD73" si="98">BA55</f>
        <v>0</v>
      </c>
      <c r="BE55" s="547" t="e">
        <f t="shared" ref="BE55:BE66" si="99">BB32/$BB$31</f>
        <v>#DIV/0!</v>
      </c>
      <c r="BF55" s="547" t="e">
        <f t="shared" ref="BF55:BF66" si="100">BC32/$BC$31</f>
        <v>#DIV/0!</v>
      </c>
      <c r="BG55" s="547" t="e">
        <f t="shared" ref="BG55:BG66" si="101">BD32/$BD$31</f>
        <v>#DIV/0!</v>
      </c>
      <c r="BH55" s="547" t="e">
        <f t="shared" ref="BH55:BH66" si="102">BE32/$BE$31</f>
        <v>#DIV/0!</v>
      </c>
      <c r="BI55" s="61"/>
      <c r="BJ55" s="61"/>
      <c r="BK55" s="61"/>
      <c r="BL55" s="61"/>
      <c r="BM55" s="61"/>
      <c r="BN55" s="61"/>
      <c r="BO55" s="61"/>
      <c r="BP55" s="61"/>
      <c r="BQ55" s="61"/>
      <c r="BR55" s="62"/>
      <c r="BS55" s="62"/>
      <c r="BT55" s="62"/>
      <c r="BU55" s="62"/>
      <c r="BV55" s="62"/>
      <c r="BW55" s="62"/>
      <c r="BX55" s="62"/>
      <c r="BY55" s="62"/>
      <c r="BZ55" s="62"/>
      <c r="CA55" s="62"/>
      <c r="CB55" s="62"/>
      <c r="CC55" s="62"/>
      <c r="CD55" s="62"/>
      <c r="CE55" s="62"/>
      <c r="CF55" s="62"/>
      <c r="CG55" s="62"/>
      <c r="CH55" s="62"/>
      <c r="CI55" s="62"/>
      <c r="CJ55" s="62"/>
      <c r="CK55" s="61"/>
      <c r="CL55" s="61"/>
      <c r="CM55" s="61"/>
      <c r="CN55" s="61"/>
      <c r="CO55" s="61"/>
      <c r="CP55" s="61"/>
      <c r="CQ55" s="61"/>
      <c r="CR55" s="61"/>
      <c r="CS55" s="61"/>
      <c r="CT55" s="61"/>
      <c r="CU55" s="61"/>
    </row>
    <row r="56" s="543" customFormat="1" ht="16" customHeight="1" spans="1:99">
      <c r="A56" s="269" t="s">
        <v>385</v>
      </c>
      <c r="B56" s="270"/>
      <c r="C56" s="261">
        <f>N37*初始化表!B23/4</f>
        <v>0</v>
      </c>
      <c r="D56" s="586" t="e">
        <f>D49+C56</f>
        <v>#DIV/0!</v>
      </c>
      <c r="E56" s="586"/>
      <c r="F56" s="586" t="e">
        <f t="shared" si="93"/>
        <v>#DIV/0!</v>
      </c>
      <c r="G56" s="307"/>
      <c r="H56" s="269" t="s">
        <v>665</v>
      </c>
      <c r="I56" s="248">
        <f>SUM(B17:E17)+Z5-SUM(B12:E12)</f>
        <v>0</v>
      </c>
      <c r="J56" s="248">
        <f>SUM(B18:E18)+Z6-SUM(B13:E13)</f>
        <v>0</v>
      </c>
      <c r="K56" s="248">
        <f>SUM(B19:E19)+Z7-SUM(B14:E14)</f>
        <v>0</v>
      </c>
      <c r="L56" s="248">
        <f>SUM(B20:E20)+Z8-SUM(B15:E15)</f>
        <v>0</v>
      </c>
      <c r="M56" s="587"/>
      <c r="N56" s="68" t="s">
        <v>679</v>
      </c>
      <c r="O56" s="248" t="e">
        <f t="shared" ref="O56:R56" si="103">V26*((V45/V20-1)/(-2.25)+1+7%)</f>
        <v>#DIV/0!</v>
      </c>
      <c r="P56" s="248" t="e">
        <f t="shared" si="103"/>
        <v>#DIV/0!</v>
      </c>
      <c r="Q56" s="248" t="e">
        <f t="shared" si="103"/>
        <v>#DIV/0!</v>
      </c>
      <c r="R56" s="248" t="e">
        <f t="shared" si="103"/>
        <v>#DIV/0!</v>
      </c>
      <c r="S56" s="91"/>
      <c r="T56" s="613"/>
      <c r="U56" s="68" t="s">
        <v>466</v>
      </c>
      <c r="V56" s="115" t="e">
        <f t="shared" si="95"/>
        <v>#DIV/0!</v>
      </c>
      <c r="W56" s="115" t="e">
        <f t="shared" si="95"/>
        <v>#DIV/0!</v>
      </c>
      <c r="X56" s="115" t="e">
        <f t="shared" si="95"/>
        <v>#DIV/0!</v>
      </c>
      <c r="Y56" s="115" t="e">
        <f t="shared" si="95"/>
        <v>#DIV/0!</v>
      </c>
      <c r="Z56" s="91"/>
      <c r="AA56" s="307"/>
      <c r="AB56" s="91"/>
      <c r="AC56" s="91"/>
      <c r="AD56" s="91"/>
      <c r="AE56" s="91"/>
      <c r="AF56" s="91"/>
      <c r="AG56" s="91"/>
      <c r="AH56" s="307"/>
      <c r="AI56" s="535"/>
      <c r="AJ56" s="536"/>
      <c r="AK56" s="536"/>
      <c r="AL56" s="536"/>
      <c r="AM56" s="536"/>
      <c r="AN56" s="536"/>
      <c r="AO56" s="536"/>
      <c r="AP56" s="536"/>
      <c r="AQ56" s="536"/>
      <c r="AR56" s="536"/>
      <c r="AS56" s="536"/>
      <c r="AT56" s="536"/>
      <c r="AU56" s="536"/>
      <c r="AV56" s="536"/>
      <c r="AW56" s="536"/>
      <c r="AX56" s="536"/>
      <c r="AY56" s="536"/>
      <c r="AZ56" s="63"/>
      <c r="BA56" s="270">
        <f t="shared" si="96"/>
        <v>0</v>
      </c>
      <c r="BB56" s="544">
        <f>IF(BT7=1,AL109/(AP109+初期!H148/2),0)</f>
        <v>0</v>
      </c>
      <c r="BC56" s="61"/>
      <c r="BD56" s="269">
        <f t="shared" si="98"/>
        <v>0</v>
      </c>
      <c r="BE56" s="547" t="e">
        <f t="shared" si="99"/>
        <v>#DIV/0!</v>
      </c>
      <c r="BF56" s="547" t="e">
        <f t="shared" si="100"/>
        <v>#DIV/0!</v>
      </c>
      <c r="BG56" s="547" t="e">
        <f t="shared" si="101"/>
        <v>#DIV/0!</v>
      </c>
      <c r="BH56" s="547" t="e">
        <f t="shared" si="102"/>
        <v>#DIV/0!</v>
      </c>
      <c r="BI56" s="61"/>
      <c r="BJ56" s="61"/>
      <c r="BK56" s="61"/>
      <c r="BL56" s="61"/>
      <c r="BM56" s="61"/>
      <c r="BN56" s="61"/>
      <c r="BO56" s="61"/>
      <c r="BP56" s="61"/>
      <c r="BQ56" s="61"/>
      <c r="BR56" s="62"/>
      <c r="BS56" s="62"/>
      <c r="BT56" s="62"/>
      <c r="BU56" s="62"/>
      <c r="BV56" s="62"/>
      <c r="BW56" s="62"/>
      <c r="BX56" s="62"/>
      <c r="BY56" s="62"/>
      <c r="BZ56" s="62"/>
      <c r="CA56" s="62"/>
      <c r="CB56" s="62"/>
      <c r="CC56" s="62"/>
      <c r="CD56" s="62"/>
      <c r="CE56" s="62"/>
      <c r="CF56" s="62"/>
      <c r="CG56" s="62"/>
      <c r="CH56" s="62"/>
      <c r="CI56" s="62"/>
      <c r="CJ56" s="62"/>
      <c r="CK56" s="61"/>
      <c r="CL56" s="61"/>
      <c r="CM56" s="61"/>
      <c r="CN56" s="61"/>
      <c r="CO56" s="61"/>
      <c r="CP56" s="61"/>
      <c r="CQ56" s="61"/>
      <c r="CR56" s="61"/>
      <c r="CS56" s="61"/>
      <c r="CT56" s="61"/>
      <c r="CU56" s="61"/>
    </row>
    <row r="57" s="543" customFormat="1" ht="16" customHeight="1" spans="1:99">
      <c r="A57" s="269" t="s">
        <v>386</v>
      </c>
      <c r="B57" s="270"/>
      <c r="C57" s="261">
        <f>-B24</f>
        <v>0</v>
      </c>
      <c r="D57" s="586"/>
      <c r="E57" s="586"/>
      <c r="F57" s="586" t="e">
        <f t="shared" si="93"/>
        <v>#DIV/0!</v>
      </c>
      <c r="G57" s="307"/>
      <c r="H57" s="269" t="s">
        <v>680</v>
      </c>
      <c r="I57" s="269" t="s">
        <v>513</v>
      </c>
      <c r="J57" s="269" t="s">
        <v>514</v>
      </c>
      <c r="K57" s="269" t="s">
        <v>515</v>
      </c>
      <c r="L57" s="269" t="s">
        <v>516</v>
      </c>
      <c r="M57" s="587"/>
      <c r="N57" s="91"/>
      <c r="O57" s="611"/>
      <c r="P57" s="611"/>
      <c r="Q57" s="611"/>
      <c r="R57" s="611"/>
      <c r="S57" s="611"/>
      <c r="T57" s="613"/>
      <c r="U57" s="68" t="s">
        <v>468</v>
      </c>
      <c r="V57" s="115" t="e">
        <f t="shared" si="95"/>
        <v>#DIV/0!</v>
      </c>
      <c r="W57" s="115" t="e">
        <f t="shared" si="95"/>
        <v>#DIV/0!</v>
      </c>
      <c r="X57" s="115" t="e">
        <f t="shared" si="95"/>
        <v>#DIV/0!</v>
      </c>
      <c r="Y57" s="115" t="e">
        <f t="shared" si="95"/>
        <v>#DIV/0!</v>
      </c>
      <c r="Z57" s="91"/>
      <c r="AA57" s="307"/>
      <c r="AB57" s="91"/>
      <c r="AC57" s="91"/>
      <c r="AD57" s="91"/>
      <c r="AE57" s="91"/>
      <c r="AF57" s="91"/>
      <c r="AG57" s="91"/>
      <c r="AH57" s="307"/>
      <c r="AI57" s="179" t="s">
        <v>681</v>
      </c>
      <c r="AJ57" s="180">
        <f>IF(AJ37="",0,SUM(AJ37:AJ56)/TEXT(COUNTA(AJ37:AJ56),"0;;"))</f>
        <v>0</v>
      </c>
      <c r="AK57" s="180">
        <f t="shared" ref="AK57:AY57" si="104">IF(AK37="",0,SUM(AK37:AK56)/TEXT(COUNTA(AK37:AK56),"0;;"))</f>
        <v>0</v>
      </c>
      <c r="AL57" s="180">
        <f t="shared" si="104"/>
        <v>0</v>
      </c>
      <c r="AM57" s="180">
        <f t="shared" si="104"/>
        <v>0</v>
      </c>
      <c r="AN57" s="180">
        <f t="shared" si="104"/>
        <v>0</v>
      </c>
      <c r="AO57" s="180">
        <f t="shared" si="104"/>
        <v>0</v>
      </c>
      <c r="AP57" s="180">
        <f t="shared" si="104"/>
        <v>0</v>
      </c>
      <c r="AQ57" s="180">
        <f t="shared" si="104"/>
        <v>0</v>
      </c>
      <c r="AR57" s="180">
        <f t="shared" si="104"/>
        <v>0</v>
      </c>
      <c r="AS57" s="180">
        <f t="shared" si="104"/>
        <v>0</v>
      </c>
      <c r="AT57" s="180">
        <f t="shared" si="104"/>
        <v>0</v>
      </c>
      <c r="AU57" s="180">
        <f t="shared" si="104"/>
        <v>0</v>
      </c>
      <c r="AV57" s="180">
        <f t="shared" si="104"/>
        <v>0</v>
      </c>
      <c r="AW57" s="180">
        <f t="shared" si="104"/>
        <v>0</v>
      </c>
      <c r="AX57" s="180">
        <f t="shared" si="104"/>
        <v>0</v>
      </c>
      <c r="AY57" s="180">
        <f t="shared" si="104"/>
        <v>0</v>
      </c>
      <c r="AZ57" s="63"/>
      <c r="BA57" s="270">
        <f t="shared" si="96"/>
        <v>0</v>
      </c>
      <c r="BB57" s="544">
        <f>IF(BT8=1,AL110/(AP110+初期!H149/2),0)</f>
        <v>0</v>
      </c>
      <c r="BC57" s="61"/>
      <c r="BD57" s="269">
        <f t="shared" si="98"/>
        <v>0</v>
      </c>
      <c r="BE57" s="547" t="e">
        <f t="shared" si="99"/>
        <v>#DIV/0!</v>
      </c>
      <c r="BF57" s="547" t="e">
        <f t="shared" si="100"/>
        <v>#DIV/0!</v>
      </c>
      <c r="BG57" s="547" t="e">
        <f t="shared" si="101"/>
        <v>#DIV/0!</v>
      </c>
      <c r="BH57" s="547" t="e">
        <f t="shared" si="102"/>
        <v>#DIV/0!</v>
      </c>
      <c r="BI57" s="61"/>
      <c r="BJ57" s="61"/>
      <c r="BK57" s="61"/>
      <c r="BL57" s="61"/>
      <c r="BM57" s="61"/>
      <c r="BN57" s="61"/>
      <c r="BO57" s="61"/>
      <c r="BP57" s="61"/>
      <c r="BQ57" s="61"/>
      <c r="BR57" s="62"/>
      <c r="BS57" s="62"/>
      <c r="BT57" s="62"/>
      <c r="BU57" s="62"/>
      <c r="BV57" s="62"/>
      <c r="BW57" s="62"/>
      <c r="BX57" s="62"/>
      <c r="BY57" s="62"/>
      <c r="BZ57" s="62"/>
      <c r="CA57" s="62"/>
      <c r="CB57" s="62"/>
      <c r="CC57" s="62"/>
      <c r="CD57" s="62"/>
      <c r="CE57" s="62"/>
      <c r="CF57" s="62"/>
      <c r="CG57" s="62"/>
      <c r="CH57" s="62"/>
      <c r="CI57" s="62"/>
      <c r="CJ57" s="62"/>
      <c r="CK57" s="61"/>
      <c r="CL57" s="61"/>
      <c r="CM57" s="61"/>
      <c r="CN57" s="61"/>
      <c r="CO57" s="61"/>
      <c r="CP57" s="61"/>
      <c r="CQ57" s="61"/>
      <c r="CR57" s="61"/>
      <c r="CS57" s="61"/>
      <c r="CT57" s="61"/>
      <c r="CU57" s="61"/>
    </row>
    <row r="58" s="543" customFormat="1" ht="16" customHeight="1" spans="1:99">
      <c r="A58" s="269" t="s">
        <v>387</v>
      </c>
      <c r="B58" s="270"/>
      <c r="C58" s="261">
        <f>-B24*初始化表!B22/4</f>
        <v>0</v>
      </c>
      <c r="D58" s="586"/>
      <c r="E58" s="586" t="e">
        <f>E54-C58</f>
        <v>#DIV/0!</v>
      </c>
      <c r="F58" s="586" t="e">
        <f t="shared" si="93"/>
        <v>#DIV/0!</v>
      </c>
      <c r="G58" s="307"/>
      <c r="H58" s="269" t="s">
        <v>521</v>
      </c>
      <c r="I58" s="248">
        <f>INT(IF($F$24=1,IF(MOD(($I52+SUM($V5:$Y5)-SUM($V11:$Y11))*I47/SUM($I47:$L47)-V5+V11-9,20)&gt;11,(($I52+SUM($V5:$Y5)-SUM($V11:$Y11))*I47/SUM($I47:$L47)-V5+V11),(($I52+SUM($V5:$Y5)-SUM($V11:$Y11))*I47/SUM($I47:$L47)-V5+V11)-MOD(($I52+SUM($V5:$Y5)-SUM($V11:$Y11))*I47/SUM($I47:$L47)-V5+V11-9,20)),($I52+SUM($V5:$Y5)-SUM($V11:$Y11))*I47/SUM($I47:$L47)-V5+V11))</f>
        <v>-11</v>
      </c>
      <c r="J58" s="248">
        <f>INT(IF($F$24=1,IF(MOD(($I52+SUM($V5:$Y5)-SUM($V11:$Y11))*J47/SUM($I47:$L47)-W5+W11-9,20)&gt;11,(($I52+SUM($V5:$Y5)-SUM($V11:$Y11))*J47/SUM($I47:$L47)-W5+W11),(($I52+SUM($V5:$Y5)-SUM($V11:$Y11))*J47/SUM($I47:$L47)-W5+W11)-MOD(($I52+SUM($V5:$Y5)-SUM($V11:$Y11))*J47/SUM($I47:$L47)-W5+W11-9,20)),($I52+SUM($V5:$Y5)-SUM($V11:$Y11))*J47/SUM($I47:$L47)-W5+W11))</f>
        <v>-11</v>
      </c>
      <c r="K58" s="248">
        <f>INT(IF($F$24=1,IF(MOD(($I52+SUM($V5:$Y5)-SUM($V11:$Y11))*K47/SUM($I47:$L47)-X5+X11-9,20)&gt;11,(($I52+SUM($V5:$Y5)-SUM($V11:$Y11))*K47/SUM($I47:$L47)-X5+X11),(($I52+SUM($V5:$Y5)-SUM($V11:$Y11))*K47/SUM($I47:$L47)-X5+X11)-MOD(($I52+SUM($V5:$Y5)-SUM($V11:$Y11))*K47/SUM($I47:$L47)-X5+X11-9,20)),($I52+SUM($V5:$Y5)-SUM($V11:$Y11))*K47/SUM($I47:$L47)-X5+X11))</f>
        <v>-11</v>
      </c>
      <c r="L58" s="248">
        <f>INT(IF($F$24=1,IF(MOD(($I52+SUM($V5:$Y5)-SUM($V11:$Y11))*L47/SUM($I47:$L47)-Y5+Y11-9,20)&gt;11,(($I52+SUM($V5:$Y5)-SUM($V11:$Y11))*L47/SUM($I47:$L47)-Y5+Y11),(($I52+SUM($V5:$Y5)-SUM($V11:$Y11))*L47/SUM($I47:$L47)-Y5+Y11)-MOD(($I52+SUM($V5:$Y5)-SUM($V11:$Y11))*L47/SUM($I47:$L47)-Y5+Y11-9,20)),($I52+SUM($V5:$Y5)-SUM($V11:$Y11))*L47/SUM($I47:$L47)-Y5+Y11))</f>
        <v>-11</v>
      </c>
      <c r="M58" s="587"/>
      <c r="N58" s="91"/>
      <c r="O58" s="611"/>
      <c r="P58" s="611"/>
      <c r="Q58" s="611"/>
      <c r="R58" s="611"/>
      <c r="S58" s="611"/>
      <c r="T58" s="613"/>
      <c r="U58" s="123"/>
      <c r="V58" s="91"/>
      <c r="W58" s="91"/>
      <c r="X58" s="91"/>
      <c r="Y58" s="91"/>
      <c r="Z58" s="91"/>
      <c r="AA58" s="307"/>
      <c r="AB58" s="91"/>
      <c r="AC58" s="91"/>
      <c r="AD58" s="91"/>
      <c r="AE58" s="91"/>
      <c r="AF58" s="91"/>
      <c r="AG58" s="91"/>
      <c r="AH58" s="307"/>
      <c r="AI58" s="68" t="s">
        <v>481</v>
      </c>
      <c r="AJ58" s="69"/>
      <c r="AK58" s="69"/>
      <c r="AL58" s="69"/>
      <c r="AM58" s="69"/>
      <c r="AN58" s="69"/>
      <c r="AO58" s="69"/>
      <c r="AP58" s="69"/>
      <c r="AQ58" s="69"/>
      <c r="AR58" s="69"/>
      <c r="AS58" s="69"/>
      <c r="AT58" s="69"/>
      <c r="AU58" s="69"/>
      <c r="AV58" s="69"/>
      <c r="AW58" s="69"/>
      <c r="AX58" s="69"/>
      <c r="AY58" s="69"/>
      <c r="AZ58" s="63"/>
      <c r="BA58" s="270">
        <f t="shared" si="96"/>
        <v>0</v>
      </c>
      <c r="BB58" s="544">
        <f>IF(BT9=1,AL111/(AP111+初期!H150/2),0)</f>
        <v>0</v>
      </c>
      <c r="BC58" s="61"/>
      <c r="BD58" s="269">
        <f t="shared" si="98"/>
        <v>0</v>
      </c>
      <c r="BE58" s="547" t="e">
        <f t="shared" si="99"/>
        <v>#DIV/0!</v>
      </c>
      <c r="BF58" s="547" t="e">
        <f t="shared" si="100"/>
        <v>#DIV/0!</v>
      </c>
      <c r="BG58" s="547" t="e">
        <f t="shared" si="101"/>
        <v>#DIV/0!</v>
      </c>
      <c r="BH58" s="547" t="e">
        <f t="shared" si="102"/>
        <v>#DIV/0!</v>
      </c>
      <c r="BI58" s="61"/>
      <c r="BJ58" s="61"/>
      <c r="BK58" s="61"/>
      <c r="BL58" s="61"/>
      <c r="BM58" s="61"/>
      <c r="BN58" s="61"/>
      <c r="BO58" s="61"/>
      <c r="BP58" s="61"/>
      <c r="BQ58" s="61"/>
      <c r="BR58" s="62"/>
      <c r="BS58" s="62"/>
      <c r="BT58" s="62"/>
      <c r="BU58" s="62"/>
      <c r="BV58" s="62"/>
      <c r="BW58" s="62"/>
      <c r="BX58" s="62"/>
      <c r="BY58" s="62"/>
      <c r="BZ58" s="62"/>
      <c r="CA58" s="62"/>
      <c r="CB58" s="62"/>
      <c r="CC58" s="62"/>
      <c r="CD58" s="62"/>
      <c r="CE58" s="62"/>
      <c r="CF58" s="62"/>
      <c r="CG58" s="62"/>
      <c r="CH58" s="62"/>
      <c r="CI58" s="62"/>
      <c r="CJ58" s="62"/>
      <c r="CK58" s="61"/>
      <c r="CL58" s="61"/>
      <c r="CM58" s="61"/>
      <c r="CN58" s="61"/>
      <c r="CO58" s="61"/>
      <c r="CP58" s="61"/>
      <c r="CQ58" s="61"/>
      <c r="CR58" s="61"/>
      <c r="CS58" s="61"/>
      <c r="CT58" s="61"/>
      <c r="CU58" s="61"/>
    </row>
    <row r="59" s="543" customFormat="1" ht="16" customHeight="1" spans="1:99">
      <c r="A59" s="269" t="s">
        <v>388</v>
      </c>
      <c r="B59" s="270"/>
      <c r="C59" s="261">
        <f>-R33</f>
        <v>0</v>
      </c>
      <c r="D59" s="586"/>
      <c r="E59" s="586"/>
      <c r="F59" s="586" t="e">
        <f t="shared" si="93"/>
        <v>#DIV/0!</v>
      </c>
      <c r="G59" s="307"/>
      <c r="H59" s="269" t="s">
        <v>522</v>
      </c>
      <c r="I59" s="248">
        <f>INT(IF($F$24=1,IF(MOD(($J52+SUM($V6:$Y6)-SUM($V12:$Y12))*I48/SUM($I48:$L48)-V6+V12-9,20)&gt;11,(($J52+SUM($V6:$Y6)-SUM($V12:$Y12))*I48/SUM($I48:$L48)-V6+V12),(($J52+SUM($V6:$Y6)-SUM($V12:$Y12))*I48/SUM($I48:$L48)-V6+V12)-MOD(($J52+SUM($V6:$Y6)-SUM($V12:$Y12))*I48/SUM($I48:$L48)-V6+V12-9,20)),($J52+SUM($V6:$Y6)-SUM($V12:$Y12))*I48/SUM($I48:$L48)-V6+V12))</f>
        <v>-11</v>
      </c>
      <c r="J59" s="248">
        <f>INT(IF($F$24=1,IF(MOD(($J52+SUM($V6:$Y6)-SUM($V12:$Y12))*J48/SUM($I48:$L48)-W6+W12-9,20)&gt;11,(($J52+SUM($V6:$Y6)-SUM($V12:$Y12))*J48/SUM($I48:$L48)-W6+W12),(($J52+SUM($V6:$Y6)-SUM($V12:$Y12))*J48/SUM($I48:$L48)-W6+W12)-MOD(($J52+SUM($V6:$Y6)-SUM($V12:$Y12))*J48/SUM($I48:$L48)-W6+W12-9,20)),($J52+SUM($V6:$Y6)-SUM($V12:$Y12))*J48/SUM($I48:$L48)-W6+W12))</f>
        <v>-11</v>
      </c>
      <c r="K59" s="248">
        <f>INT(IF($F$24=1,IF(MOD(($J52+SUM($V6:$Y6)-SUM($V12:$Y12))*K48/SUM($I48:$L48)-X6+X12-9,20)&gt;11,(($J52+SUM($V6:$Y6)-SUM($V12:$Y12))*K48/SUM($I48:$L48)-X6+X12),(($J52+SUM($V6:$Y6)-SUM($V12:$Y12))*K48/SUM($I48:$L48)-X6+X12)-MOD(($J52+SUM($V6:$Y6)-SUM($V12:$Y12))*K48/SUM($I48:$L48)-X6+X12-9,20)),($J52+SUM($V6:$Y6)-SUM($V12:$Y12))*K48/SUM($I48:$L48)-X6+X12))</f>
        <v>-11</v>
      </c>
      <c r="L59" s="248">
        <f>INT(IF($F$24=1,IF(MOD(($J52+SUM($V6:$Y6)-SUM($V12:$Y12))*L48/SUM($I48:$L48)-Y6+Y12-9,20)&gt;11,(($J52+SUM($V6:$Y6)-SUM($V12:$Y12))*L48/SUM($I48:$L48)-Y6+Y12),(($J52+SUM($V6:$Y6)-SUM($V12:$Y12))*L48/SUM($I48:$L48)-Y6+Y12)-MOD(($J52+SUM($V6:$Y6)-SUM($V12:$Y12))*L48/SUM($I48:$L48)-Y6+Y12-9,20)),($J52+SUM($V6:$Y6)-SUM($V12:$Y12))*L48/SUM($I48:$L48)-Y6+Y12))</f>
        <v>-11</v>
      </c>
      <c r="M59" s="587"/>
      <c r="N59" s="91"/>
      <c r="O59" s="611"/>
      <c r="P59" s="611"/>
      <c r="Q59" s="611"/>
      <c r="R59" s="611"/>
      <c r="S59" s="611"/>
      <c r="T59" s="613"/>
      <c r="U59" s="68" t="s">
        <v>682</v>
      </c>
      <c r="V59" s="68" t="s">
        <v>38</v>
      </c>
      <c r="W59" s="68" t="s">
        <v>39</v>
      </c>
      <c r="X59" s="68" t="s">
        <v>40</v>
      </c>
      <c r="Y59" s="68" t="s">
        <v>41</v>
      </c>
      <c r="Z59" s="91"/>
      <c r="AA59" s="307"/>
      <c r="AB59" s="91"/>
      <c r="AC59" s="91"/>
      <c r="AD59" s="91"/>
      <c r="AE59" s="91"/>
      <c r="AF59" s="91"/>
      <c r="AG59" s="91"/>
      <c r="AH59" s="307"/>
      <c r="AI59" s="68" t="s">
        <v>37</v>
      </c>
      <c r="AJ59" s="68" t="s">
        <v>35</v>
      </c>
      <c r="AK59" s="69"/>
      <c r="AL59" s="69"/>
      <c r="AM59" s="69"/>
      <c r="AN59" s="68" t="s">
        <v>465</v>
      </c>
      <c r="AO59" s="69"/>
      <c r="AP59" s="69"/>
      <c r="AQ59" s="69"/>
      <c r="AR59" s="68" t="s">
        <v>466</v>
      </c>
      <c r="AS59" s="69"/>
      <c r="AT59" s="69"/>
      <c r="AU59" s="69"/>
      <c r="AV59" s="68" t="s">
        <v>468</v>
      </c>
      <c r="AW59" s="69"/>
      <c r="AX59" s="69"/>
      <c r="AY59" s="69"/>
      <c r="AZ59" s="63"/>
      <c r="BA59" s="270">
        <f t="shared" si="96"/>
        <v>0</v>
      </c>
      <c r="BB59" s="544">
        <f>IF(BT10=1,AL112/(AP112+初期!H151/2),0)</f>
        <v>0</v>
      </c>
      <c r="BC59" s="61"/>
      <c r="BD59" s="269">
        <f t="shared" si="98"/>
        <v>0</v>
      </c>
      <c r="BE59" s="547" t="e">
        <f t="shared" si="99"/>
        <v>#DIV/0!</v>
      </c>
      <c r="BF59" s="547" t="e">
        <f t="shared" si="100"/>
        <v>#DIV/0!</v>
      </c>
      <c r="BG59" s="547" t="e">
        <f t="shared" si="101"/>
        <v>#DIV/0!</v>
      </c>
      <c r="BH59" s="547" t="e">
        <f t="shared" si="102"/>
        <v>#DIV/0!</v>
      </c>
      <c r="BI59" s="61"/>
      <c r="BJ59" s="61"/>
      <c r="BK59" s="61"/>
      <c r="BL59" s="61"/>
      <c r="BM59" s="61"/>
      <c r="BN59" s="61"/>
      <c r="BO59" s="61"/>
      <c r="BP59" s="61"/>
      <c r="BQ59" s="61"/>
      <c r="BR59" s="62"/>
      <c r="BS59" s="62"/>
      <c r="BT59" s="62"/>
      <c r="BU59" s="62"/>
      <c r="BV59" s="62"/>
      <c r="BW59" s="62"/>
      <c r="BX59" s="62"/>
      <c r="BY59" s="62"/>
      <c r="BZ59" s="62"/>
      <c r="CA59" s="62"/>
      <c r="CB59" s="62"/>
      <c r="CC59" s="62"/>
      <c r="CD59" s="62"/>
      <c r="CE59" s="62"/>
      <c r="CF59" s="62"/>
      <c r="CG59" s="62"/>
      <c r="CH59" s="62"/>
      <c r="CI59" s="62"/>
      <c r="CJ59" s="62"/>
      <c r="CK59" s="61"/>
      <c r="CL59" s="61"/>
      <c r="CM59" s="61"/>
      <c r="CN59" s="61"/>
      <c r="CO59" s="61"/>
      <c r="CP59" s="61"/>
      <c r="CQ59" s="61"/>
      <c r="CR59" s="61"/>
      <c r="CS59" s="61"/>
      <c r="CT59" s="61"/>
      <c r="CU59" s="61"/>
    </row>
    <row r="60" s="543" customFormat="1" ht="16" customHeight="1" spans="1:99">
      <c r="A60" s="269" t="s">
        <v>389</v>
      </c>
      <c r="B60" s="270"/>
      <c r="C60" s="261">
        <f>C59*0.1</f>
        <v>0</v>
      </c>
      <c r="D60" s="586"/>
      <c r="E60" s="586" t="e">
        <f>E58-C60</f>
        <v>#DIV/0!</v>
      </c>
      <c r="F60" s="586" t="e">
        <f t="shared" si="93"/>
        <v>#DIV/0!</v>
      </c>
      <c r="G60" s="307"/>
      <c r="H60" s="269" t="s">
        <v>523</v>
      </c>
      <c r="I60" s="248">
        <f>INT(IF($F$24=1,IF(MOD(($K52+SUM($V7:$Y7)-SUM($V13:$Y13))*I49/SUM($I49:$L49)-V7+V13-9,20)&gt;11,(($K52+SUM($V7:$Y7)-SUM($V13:$Y13))*I49/SUM($I49:$L49)-V7+V13),(($K52+SUM($V7:$Y7)-SUM($V13:$Y13))*I49/SUM($I49:$L49)-V7+V13)-MOD(($K52+SUM($V7:$Y7)-SUM($V13:$Y13))*I49/SUM($I49:$L49)-V7+V13-9,20)),($K52+SUM($V7:$Y7)-SUM($V13:$Y13))*I49/SUM($I49:$L49)-V7+V13))</f>
        <v>-11</v>
      </c>
      <c r="J60" s="248">
        <f>INT(IF($F$24=1,IF(MOD(($K52+SUM($V7:$Y7)-SUM($V13:$Y13))*J49/SUM($I49:$L49)-W7+W13-9,20)&gt;11,(($K52+SUM($V7:$Y7)-SUM($V13:$Y13))*J49/SUM($I49:$L49)-W7+W13),(($K52+SUM($V7:$Y7)-SUM($V13:$Y13))*J49/SUM($I49:$L49)-W7+W13)-MOD(($K52+SUM($V7:$Y7)-SUM($V13:$Y13))*J49/SUM($I49:$L49)-W7+W13-9,20)),($K52+SUM($V7:$Y7)-SUM($V13:$Y13))*J49/SUM($I49:$L49)-W7+W13))</f>
        <v>-11</v>
      </c>
      <c r="K60" s="248">
        <f>INT(IF($F$24=1,IF(MOD(($K52+SUM($V7:$Y7)-SUM($V13:$Y13))*K49/SUM($I49:$L49)-X7+X13-9,20)&gt;11,(($K52+SUM($V7:$Y7)-SUM($V13:$Y13))*K49/SUM($I49:$L49)-X7+X13),(($K52+SUM($V7:$Y7)-SUM($V13:$Y13))*K49/SUM($I49:$L49)-X7+X13)-MOD(($K52+SUM($V7:$Y7)-SUM($V13:$Y13))*K49/SUM($I49:$L49)-X7+X13-9,20)),($K52+SUM($V7:$Y7)-SUM($V13:$Y13))*K49/SUM($I49:$L49)-X7+X13))</f>
        <v>-11</v>
      </c>
      <c r="L60" s="248">
        <f>INT(IF($F$24=1,IF(MOD(($K52+SUM($V7:$Y7)-SUM($V13:$Y13))*L49/SUM($I49:$L49)-Y7+Y13-9,20)&gt;11,(($K52+SUM($V7:$Y7)-SUM($V13:$Y13))*L49/SUM($I49:$L49)-Y7+Y13),(($K52+SUM($V7:$Y7)-SUM($V13:$Y13))*L49/SUM($I49:$L49)-Y7+Y13)-MOD(($K52+SUM($V7:$Y7)-SUM($V13:$Y13))*L49/SUM($I49:$L49)-Y7+Y13-9,20)),($K52+SUM($V7:$Y7)-SUM($V13:$Y13))*L49/SUM($I49:$L49)-Y7+Y13))</f>
        <v>-11</v>
      </c>
      <c r="M60" s="587"/>
      <c r="N60" s="612" t="s">
        <v>683</v>
      </c>
      <c r="O60" s="612"/>
      <c r="P60" s="612"/>
      <c r="Q60" s="612"/>
      <c r="R60" s="612"/>
      <c r="S60" s="611"/>
      <c r="T60" s="613"/>
      <c r="U60" s="68" t="s">
        <v>464</v>
      </c>
      <c r="V60" s="115" t="e">
        <f>IF(V48&gt;V42,INT((V48-V42)*初始化表!E11),0)</f>
        <v>#DIV/0!</v>
      </c>
      <c r="W60" s="115" t="e">
        <f>IF(W48&gt;W42,INT((W48-W42)*初始化表!F11),0)</f>
        <v>#DIV/0!</v>
      </c>
      <c r="X60" s="115" t="e">
        <f>IF(X48&gt;X42,INT((X48-X42)*初始化表!G11),0)</f>
        <v>#DIV/0!</v>
      </c>
      <c r="Y60" s="115" t="e">
        <f>IF(Y48&gt;Y42,INT((Y48-Y42)*初始化表!H11),0)</f>
        <v>#DIV/0!</v>
      </c>
      <c r="Z60" s="91"/>
      <c r="AA60" s="307"/>
      <c r="AB60" s="91"/>
      <c r="AC60" s="91"/>
      <c r="AD60" s="91"/>
      <c r="AE60" s="91"/>
      <c r="AF60" s="91"/>
      <c r="AG60" s="91"/>
      <c r="AH60" s="307"/>
      <c r="AI60" s="69"/>
      <c r="AJ60" s="68" t="s">
        <v>320</v>
      </c>
      <c r="AK60" s="68" t="s">
        <v>321</v>
      </c>
      <c r="AL60" s="68" t="s">
        <v>322</v>
      </c>
      <c r="AM60" s="68" t="s">
        <v>319</v>
      </c>
      <c r="AN60" s="68" t="s">
        <v>320</v>
      </c>
      <c r="AO60" s="68" t="s">
        <v>321</v>
      </c>
      <c r="AP60" s="68" t="s">
        <v>322</v>
      </c>
      <c r="AQ60" s="68" t="s">
        <v>319</v>
      </c>
      <c r="AR60" s="68" t="s">
        <v>320</v>
      </c>
      <c r="AS60" s="68" t="s">
        <v>321</v>
      </c>
      <c r="AT60" s="68" t="s">
        <v>322</v>
      </c>
      <c r="AU60" s="68" t="s">
        <v>319</v>
      </c>
      <c r="AV60" s="68" t="s">
        <v>320</v>
      </c>
      <c r="AW60" s="68" t="s">
        <v>321</v>
      </c>
      <c r="AX60" s="68" t="s">
        <v>322</v>
      </c>
      <c r="AY60" s="68" t="s">
        <v>41</v>
      </c>
      <c r="AZ60" s="63"/>
      <c r="BA60" s="270">
        <f t="shared" si="96"/>
        <v>0</v>
      </c>
      <c r="BB60" s="544">
        <f>IF(BT11=1,AL113/(AP113+初期!H152/2),0)</f>
        <v>0</v>
      </c>
      <c r="BC60" s="61"/>
      <c r="BD60" s="269">
        <f t="shared" si="98"/>
        <v>0</v>
      </c>
      <c r="BE60" s="547" t="e">
        <f t="shared" si="99"/>
        <v>#DIV/0!</v>
      </c>
      <c r="BF60" s="547" t="e">
        <f t="shared" si="100"/>
        <v>#DIV/0!</v>
      </c>
      <c r="BG60" s="547" t="e">
        <f t="shared" si="101"/>
        <v>#DIV/0!</v>
      </c>
      <c r="BH60" s="547" t="e">
        <f t="shared" si="102"/>
        <v>#DIV/0!</v>
      </c>
      <c r="BI60" s="61"/>
      <c r="BJ60" s="61"/>
      <c r="BK60" s="61"/>
      <c r="BL60" s="61"/>
      <c r="BM60" s="61"/>
      <c r="BN60" s="61"/>
      <c r="BO60" s="61"/>
      <c r="BP60" s="61"/>
      <c r="BQ60" s="61"/>
      <c r="BR60" s="62"/>
      <c r="BS60" s="62"/>
      <c r="BT60" s="62"/>
      <c r="BU60" s="62"/>
      <c r="BV60" s="62"/>
      <c r="BW60" s="62"/>
      <c r="BX60" s="62"/>
      <c r="BY60" s="62"/>
      <c r="BZ60" s="62"/>
      <c r="CA60" s="62"/>
      <c r="CB60" s="62"/>
      <c r="CC60" s="62"/>
      <c r="CD60" s="62"/>
      <c r="CE60" s="62"/>
      <c r="CF60" s="62"/>
      <c r="CG60" s="62"/>
      <c r="CH60" s="62"/>
      <c r="CI60" s="62"/>
      <c r="CJ60" s="62"/>
      <c r="CK60" s="61"/>
      <c r="CL60" s="61"/>
      <c r="CM60" s="61"/>
      <c r="CN60" s="61"/>
      <c r="CO60" s="61"/>
      <c r="CP60" s="61"/>
      <c r="CQ60" s="61"/>
      <c r="CR60" s="61"/>
      <c r="CS60" s="61"/>
      <c r="CT60" s="61"/>
      <c r="CU60" s="61"/>
    </row>
    <row r="61" s="543" customFormat="1" ht="16" customHeight="1" spans="1:99">
      <c r="A61" s="269" t="s">
        <v>684</v>
      </c>
      <c r="B61" s="270"/>
      <c r="C61" s="261" t="e">
        <f>-IF(F77*初始化表!B25&gt;-初期!H37,F77*初始化表!B25+初期!H37,0)</f>
        <v>#DIV/0!</v>
      </c>
      <c r="D61" s="586"/>
      <c r="E61" s="586"/>
      <c r="F61" s="586" t="e">
        <f t="shared" si="93"/>
        <v>#DIV/0!</v>
      </c>
      <c r="G61" s="307"/>
      <c r="H61" s="269" t="s">
        <v>524</v>
      </c>
      <c r="I61" s="248">
        <f>INT(IF($F$24=1,IF(MOD(($L52+SUM($V8:$Y8)-SUM($V14:$Y14))*I50/SUM($I50:$L50)-V8+V14-9,20)&gt;11,(($L52+SUM($V8:$Y8)-SUM($V14:$Y14))*I50/SUM($I50:$L50)-V8+V14),(($L52+SUM($V8:$Y8)-SUM($V14:$Y14))*I50/SUM($I50:$L50)-V8+V14)-MOD(($L52+SUM($V8:$Y8)-SUM($V14:$Y14))*I50/SUM($I50:$L50)-V8+V14-9,20)),($L52+SUM($V8:$Y8)-SUM($V14:$Y14))*I50/SUM($I50:$L50)-V8+V14))</f>
        <v>-11</v>
      </c>
      <c r="J61" s="248">
        <f>INT(IF($F$24=1,IF(MOD(($L52+SUM($V8:$Y8)-SUM($V14:$Y14))*J50/SUM($I50:$L50)-W8+W14-9,20)&gt;11,(($L52+SUM($V8:$Y8)-SUM($V14:$Y14))*J50/SUM($I50:$L50)-W8+W14),(($L52+SUM($V8:$Y8)-SUM($V14:$Y14))*J50/SUM($I50:$L50)-W8+W14)-MOD(($L52+SUM($V8:$Y8)-SUM($V14:$Y14))*J50/SUM($I50:$L50)-W8+W14-9,20)),($L52+SUM($V8:$Y8)-SUM($V14:$Y14))*J50/SUM($I50:$L50)-W8+W14))</f>
        <v>-11</v>
      </c>
      <c r="K61" s="248">
        <f>INT(IF($F$24=1,IF(MOD(($L52+SUM($V8:$Y8)-SUM($V14:$Y14))*K50/SUM($I50:$L50)-X8+X14-9,20)&gt;11,(($L52+SUM($V8:$Y8)-SUM($V14:$Y14))*K50/SUM($I50:$L50)-X8+X14),(($L52+SUM($V8:$Y8)-SUM($V14:$Y14))*K50/SUM($I50:$L50)-X8+X14)-MOD(($L52+SUM($V8:$Y8)-SUM($V14:$Y14))*K50/SUM($I50:$L50)-X8+X14-9,20)),($L52+SUM($V8:$Y8)-SUM($V14:$Y14))*K50/SUM($I50:$L50)-X8+X14))</f>
        <v>-11</v>
      </c>
      <c r="L61" s="248">
        <f>INT(IF($F$24=1,IF(MOD(($L52+SUM($V8:$Y8)-SUM($V14:$Y14))*L50/SUM($I50:$L50)-Y8+Y14-9,20)&gt;11,(($L52+SUM($V8:$Y8)-SUM($V14:$Y14))*L50/SUM($I50:$L50)-Y8+Y14),(($L52+SUM($V8:$Y8)-SUM($V14:$Y14))*L50/SUM($I50:$L50)-Y8+Y14)-MOD(($L52+SUM($V8:$Y8)-SUM($V14:$Y14))*L50/SUM($I50:$L50)-Y8+Y14-9,20)),($L52+SUM($V8:$Y8)-SUM($V14:$Y14))*L50/SUM($I50:$L50)-Y8+Y14))</f>
        <v>-11</v>
      </c>
      <c r="M61" s="587"/>
      <c r="N61" s="612"/>
      <c r="O61" s="612"/>
      <c r="P61" s="612"/>
      <c r="Q61" s="612"/>
      <c r="R61" s="612"/>
      <c r="S61" s="91"/>
      <c r="T61" s="613"/>
      <c r="U61" s="68" t="s">
        <v>465</v>
      </c>
      <c r="V61" s="115" t="e">
        <f>IF(V49&gt;V43,INT((V49-V43)*初始化表!E12),0)</f>
        <v>#DIV/0!</v>
      </c>
      <c r="W61" s="115" t="e">
        <f>IF(W49&gt;W43,INT((W49-W43)*初始化表!F12),0)</f>
        <v>#DIV/0!</v>
      </c>
      <c r="X61" s="115" t="e">
        <f>IF(X49&gt;X43,INT((X49-X43)*初始化表!G12),0)</f>
        <v>#DIV/0!</v>
      </c>
      <c r="Y61" s="115" t="e">
        <f>IF(Y49&gt;Y43,INT((Y49-Y43)*初始化表!H12),0)</f>
        <v>#DIV/0!</v>
      </c>
      <c r="Z61" s="91"/>
      <c r="AA61" s="307"/>
      <c r="AB61" s="91"/>
      <c r="AC61" s="91"/>
      <c r="AD61" s="91"/>
      <c r="AE61" s="91"/>
      <c r="AF61" s="91"/>
      <c r="AG61" s="91"/>
      <c r="AH61" s="307"/>
      <c r="AI61" s="630"/>
      <c r="AJ61" s="631"/>
      <c r="AK61" s="631"/>
      <c r="AL61" s="631"/>
      <c r="AM61" s="631"/>
      <c r="AN61" s="631"/>
      <c r="AO61" s="631"/>
      <c r="AP61" s="631"/>
      <c r="AQ61" s="631"/>
      <c r="AR61" s="631"/>
      <c r="AS61" s="631"/>
      <c r="AT61" s="631"/>
      <c r="AU61" s="631"/>
      <c r="AV61" s="631"/>
      <c r="AW61" s="631"/>
      <c r="AX61" s="631"/>
      <c r="AY61" s="631"/>
      <c r="AZ61" s="63"/>
      <c r="BA61" s="270">
        <f t="shared" si="96"/>
        <v>0</v>
      </c>
      <c r="BB61" s="544">
        <f>IF(BT12=1,AL114/(AP114+初期!H153/2),0)</f>
        <v>0</v>
      </c>
      <c r="BC61" s="61"/>
      <c r="BD61" s="269">
        <f t="shared" si="98"/>
        <v>0</v>
      </c>
      <c r="BE61" s="547" t="e">
        <f t="shared" si="99"/>
        <v>#DIV/0!</v>
      </c>
      <c r="BF61" s="547" t="e">
        <f t="shared" si="100"/>
        <v>#DIV/0!</v>
      </c>
      <c r="BG61" s="547" t="e">
        <f t="shared" si="101"/>
        <v>#DIV/0!</v>
      </c>
      <c r="BH61" s="547" t="e">
        <f t="shared" si="102"/>
        <v>#DIV/0!</v>
      </c>
      <c r="BI61" s="61"/>
      <c r="BJ61" s="61"/>
      <c r="BK61" s="61"/>
      <c r="BL61" s="61"/>
      <c r="BM61" s="61"/>
      <c r="BN61" s="61"/>
      <c r="BO61" s="61"/>
      <c r="BP61" s="61"/>
      <c r="BQ61" s="61"/>
      <c r="BR61" s="62"/>
      <c r="BS61" s="62"/>
      <c r="BT61" s="62"/>
      <c r="BU61" s="62"/>
      <c r="BV61" s="62"/>
      <c r="BW61" s="62"/>
      <c r="BX61" s="62"/>
      <c r="BY61" s="62"/>
      <c r="BZ61" s="62"/>
      <c r="CA61" s="62"/>
      <c r="CB61" s="62"/>
      <c r="CC61" s="62"/>
      <c r="CD61" s="62"/>
      <c r="CE61" s="62"/>
      <c r="CF61" s="62"/>
      <c r="CG61" s="62"/>
      <c r="CH61" s="62"/>
      <c r="CI61" s="62"/>
      <c r="CJ61" s="62"/>
      <c r="CK61" s="61"/>
      <c r="CL61" s="61"/>
      <c r="CM61" s="61"/>
      <c r="CN61" s="61"/>
      <c r="CO61" s="61"/>
      <c r="CP61" s="61"/>
      <c r="CQ61" s="61"/>
      <c r="CR61" s="61"/>
      <c r="CS61" s="61"/>
      <c r="CT61" s="61"/>
      <c r="CU61" s="61"/>
    </row>
    <row r="62" s="543" customFormat="1" ht="16" customHeight="1" spans="1:99">
      <c r="A62" s="269" t="s">
        <v>306</v>
      </c>
      <c r="B62" s="270"/>
      <c r="C62" s="261">
        <f>-D22*初始化表!B8</f>
        <v>0</v>
      </c>
      <c r="D62" s="586"/>
      <c r="E62" s="586"/>
      <c r="F62" s="586" t="e">
        <f t="shared" si="93"/>
        <v>#DIV/0!</v>
      </c>
      <c r="G62" s="307"/>
      <c r="H62" s="269" t="s">
        <v>685</v>
      </c>
      <c r="I62" s="269" t="s">
        <v>513</v>
      </c>
      <c r="J62" s="269" t="s">
        <v>514</v>
      </c>
      <c r="K62" s="269" t="s">
        <v>515</v>
      </c>
      <c r="L62" s="269" t="s">
        <v>516</v>
      </c>
      <c r="M62" s="587"/>
      <c r="N62" s="612"/>
      <c r="O62" s="612"/>
      <c r="P62" s="612"/>
      <c r="Q62" s="612"/>
      <c r="R62" s="612"/>
      <c r="S62" s="625"/>
      <c r="T62" s="613"/>
      <c r="U62" s="68" t="s">
        <v>466</v>
      </c>
      <c r="V62" s="115" t="e">
        <f>IF(V50&gt;V44,INT((V50-V44)*初始化表!E13),0)</f>
        <v>#DIV/0!</v>
      </c>
      <c r="W62" s="115" t="e">
        <f>IF(W50&gt;W44,INT((W50-W44)*初始化表!F13),0)</f>
        <v>#DIV/0!</v>
      </c>
      <c r="X62" s="115" t="e">
        <f>IF(X50&gt;X44,INT((X50-X44)*初始化表!G13),0)</f>
        <v>#DIV/0!</v>
      </c>
      <c r="Y62" s="115" t="e">
        <f>IF(Y50&gt;Y44,INT((Y50-Y44)*初始化表!H13),0)</f>
        <v>#DIV/0!</v>
      </c>
      <c r="Z62" s="91"/>
      <c r="AA62" s="307"/>
      <c r="AB62" s="91"/>
      <c r="AC62" s="91"/>
      <c r="AD62" s="91"/>
      <c r="AE62" s="91"/>
      <c r="AF62" s="91"/>
      <c r="AG62" s="91"/>
      <c r="AH62" s="307"/>
      <c r="AI62" s="630"/>
      <c r="AJ62" s="631"/>
      <c r="AK62" s="631"/>
      <c r="AL62" s="631"/>
      <c r="AM62" s="631"/>
      <c r="AN62" s="631"/>
      <c r="AO62" s="631"/>
      <c r="AP62" s="631"/>
      <c r="AQ62" s="631"/>
      <c r="AR62" s="631"/>
      <c r="AS62" s="631"/>
      <c r="AT62" s="631"/>
      <c r="AU62" s="631"/>
      <c r="AV62" s="631"/>
      <c r="AW62" s="631"/>
      <c r="AX62" s="631"/>
      <c r="AY62" s="631"/>
      <c r="AZ62" s="63"/>
      <c r="BA62" s="270">
        <f t="shared" si="96"/>
        <v>0</v>
      </c>
      <c r="BB62" s="544">
        <f>IF(BT13=1,AL115/(AP115+初期!H154/2),0)</f>
        <v>0</v>
      </c>
      <c r="BC62" s="61"/>
      <c r="BD62" s="269">
        <f t="shared" si="98"/>
        <v>0</v>
      </c>
      <c r="BE62" s="547" t="e">
        <f t="shared" si="99"/>
        <v>#DIV/0!</v>
      </c>
      <c r="BF62" s="547" t="e">
        <f t="shared" si="100"/>
        <v>#DIV/0!</v>
      </c>
      <c r="BG62" s="547" t="e">
        <f t="shared" si="101"/>
        <v>#DIV/0!</v>
      </c>
      <c r="BH62" s="547" t="e">
        <f t="shared" si="102"/>
        <v>#DIV/0!</v>
      </c>
      <c r="BI62" s="61"/>
      <c r="BJ62" s="61"/>
      <c r="BK62" s="61"/>
      <c r="BL62" s="61"/>
      <c r="BM62" s="61"/>
      <c r="BN62" s="61"/>
      <c r="BO62" s="61"/>
      <c r="BP62" s="61"/>
      <c r="BQ62" s="61"/>
      <c r="BR62" s="62"/>
      <c r="BS62" s="62"/>
      <c r="BT62" s="62"/>
      <c r="BU62" s="62"/>
      <c r="BV62" s="62"/>
      <c r="BW62" s="62"/>
      <c r="BX62" s="62"/>
      <c r="BY62" s="62"/>
      <c r="BZ62" s="62"/>
      <c r="CA62" s="62"/>
      <c r="CB62" s="62"/>
      <c r="CC62" s="62"/>
      <c r="CD62" s="62"/>
      <c r="CE62" s="62"/>
      <c r="CF62" s="62"/>
      <c r="CG62" s="62"/>
      <c r="CH62" s="62"/>
      <c r="CI62" s="62"/>
      <c r="CJ62" s="62"/>
      <c r="CK62" s="61"/>
      <c r="CL62" s="61"/>
      <c r="CM62" s="61"/>
      <c r="CN62" s="61"/>
      <c r="CO62" s="61"/>
      <c r="CP62" s="61"/>
      <c r="CQ62" s="61"/>
      <c r="CR62" s="61"/>
      <c r="CS62" s="61"/>
      <c r="CT62" s="61"/>
      <c r="CU62" s="61"/>
    </row>
    <row r="63" s="543" customFormat="1" ht="16" customHeight="1" spans="1:99">
      <c r="A63" s="269" t="s">
        <v>686</v>
      </c>
      <c r="B63" s="270"/>
      <c r="C63" s="261" t="e">
        <f>IF(R37&gt;P37,-P37,-R37)</f>
        <v>#DIV/0!</v>
      </c>
      <c r="D63" s="586"/>
      <c r="E63" s="586"/>
      <c r="F63" s="586" t="e">
        <f t="shared" si="93"/>
        <v>#DIV/0!</v>
      </c>
      <c r="G63" s="307"/>
      <c r="H63" s="269" t="s">
        <v>521</v>
      </c>
      <c r="I63" s="601"/>
      <c r="J63" s="601"/>
      <c r="K63" s="601"/>
      <c r="L63" s="601"/>
      <c r="M63" s="587"/>
      <c r="N63" s="612"/>
      <c r="O63" s="612"/>
      <c r="P63" s="612"/>
      <c r="Q63" s="612"/>
      <c r="R63" s="612"/>
      <c r="S63" s="625"/>
      <c r="T63" s="613"/>
      <c r="U63" s="68" t="s">
        <v>468</v>
      </c>
      <c r="V63" s="115" t="e">
        <f>IF(V51&gt;V45,INT((V51-V45)*初始化表!E14),0)</f>
        <v>#DIV/0!</v>
      </c>
      <c r="W63" s="115" t="e">
        <f>IF(W51&gt;W45,INT((W51-W45)*初始化表!F14),0)</f>
        <v>#DIV/0!</v>
      </c>
      <c r="X63" s="115" t="e">
        <f>IF(X51&gt;X45,INT((X51-X45)*初始化表!G14),0)</f>
        <v>#DIV/0!</v>
      </c>
      <c r="Y63" s="115" t="e">
        <f>IF(Y51&gt;Y45,INT((Y51-Y45)*初始化表!H14),0)</f>
        <v>#DIV/0!</v>
      </c>
      <c r="Z63" s="91"/>
      <c r="AA63" s="307"/>
      <c r="AB63" s="91"/>
      <c r="AC63" s="91"/>
      <c r="AD63" s="91"/>
      <c r="AE63" s="91"/>
      <c r="AF63" s="91"/>
      <c r="AG63" s="91"/>
      <c r="AH63" s="307"/>
      <c r="AI63" s="630"/>
      <c r="AJ63" s="631"/>
      <c r="AK63" s="631"/>
      <c r="AL63" s="631"/>
      <c r="AM63" s="631"/>
      <c r="AN63" s="631"/>
      <c r="AO63" s="631"/>
      <c r="AP63" s="631"/>
      <c r="AQ63" s="631"/>
      <c r="AR63" s="631"/>
      <c r="AS63" s="631"/>
      <c r="AT63" s="631"/>
      <c r="AU63" s="631"/>
      <c r="AV63" s="631"/>
      <c r="AW63" s="631"/>
      <c r="AX63" s="631"/>
      <c r="AY63" s="631"/>
      <c r="AZ63" s="63"/>
      <c r="BA63" s="270">
        <f t="shared" si="96"/>
        <v>0</v>
      </c>
      <c r="BB63" s="544">
        <f>IF(BT14=1,AL116/(AP116+初期!H155/2),0)</f>
        <v>0</v>
      </c>
      <c r="BC63" s="61"/>
      <c r="BD63" s="269">
        <f t="shared" si="98"/>
        <v>0</v>
      </c>
      <c r="BE63" s="547" t="e">
        <f t="shared" si="99"/>
        <v>#DIV/0!</v>
      </c>
      <c r="BF63" s="547" t="e">
        <f t="shared" si="100"/>
        <v>#DIV/0!</v>
      </c>
      <c r="BG63" s="547" t="e">
        <f t="shared" si="101"/>
        <v>#DIV/0!</v>
      </c>
      <c r="BH63" s="547" t="e">
        <f t="shared" si="102"/>
        <v>#DIV/0!</v>
      </c>
      <c r="BI63" s="61"/>
      <c r="BJ63" s="61"/>
      <c r="BK63" s="61"/>
      <c r="BL63" s="61"/>
      <c r="BM63" s="61"/>
      <c r="BN63" s="61"/>
      <c r="BO63" s="61"/>
      <c r="BP63" s="61"/>
      <c r="BQ63" s="61"/>
      <c r="BR63" s="62"/>
      <c r="BS63" s="62"/>
      <c r="BT63" s="62"/>
      <c r="BU63" s="62"/>
      <c r="BV63" s="62"/>
      <c r="BW63" s="62"/>
      <c r="BX63" s="62"/>
      <c r="BY63" s="62"/>
      <c r="BZ63" s="62"/>
      <c r="CA63" s="62"/>
      <c r="CB63" s="62"/>
      <c r="CC63" s="62"/>
      <c r="CD63" s="62"/>
      <c r="CE63" s="62"/>
      <c r="CF63" s="62"/>
      <c r="CG63" s="62"/>
      <c r="CH63" s="62"/>
      <c r="CI63" s="62"/>
      <c r="CJ63" s="62"/>
      <c r="CK63" s="61"/>
      <c r="CL63" s="61"/>
      <c r="CM63" s="61"/>
      <c r="CN63" s="61"/>
      <c r="CO63" s="61"/>
      <c r="CP63" s="61"/>
      <c r="CQ63" s="61"/>
      <c r="CR63" s="61"/>
      <c r="CS63" s="61"/>
      <c r="CT63" s="61"/>
      <c r="CU63" s="61"/>
    </row>
    <row r="64" s="543" customFormat="1" ht="16" customHeight="1" spans="1:99">
      <c r="A64" s="269" t="s">
        <v>392</v>
      </c>
      <c r="B64" s="270"/>
      <c r="C64" s="261">
        <f>-D24</f>
        <v>0</v>
      </c>
      <c r="D64" s="586"/>
      <c r="E64" s="586"/>
      <c r="F64" s="586" t="e">
        <f t="shared" si="93"/>
        <v>#DIV/0!</v>
      </c>
      <c r="G64" s="307"/>
      <c r="H64" s="269" t="s">
        <v>522</v>
      </c>
      <c r="I64" s="601"/>
      <c r="J64" s="601"/>
      <c r="K64" s="601"/>
      <c r="L64" s="601"/>
      <c r="M64" s="587"/>
      <c r="N64" s="269"/>
      <c r="O64" s="269" t="s">
        <v>513</v>
      </c>
      <c r="P64" s="269" t="s">
        <v>514</v>
      </c>
      <c r="Q64" s="269" t="s">
        <v>515</v>
      </c>
      <c r="R64" s="269" t="s">
        <v>516</v>
      </c>
      <c r="S64" s="625"/>
      <c r="T64" s="613"/>
      <c r="U64" s="91"/>
      <c r="V64" s="91"/>
      <c r="W64" s="91"/>
      <c r="X64" s="91"/>
      <c r="Y64" s="91"/>
      <c r="Z64" s="91"/>
      <c r="AA64" s="307"/>
      <c r="AB64" s="91"/>
      <c r="AC64" s="91"/>
      <c r="AD64" s="91"/>
      <c r="AE64" s="91"/>
      <c r="AF64" s="91"/>
      <c r="AG64" s="91"/>
      <c r="AH64" s="307"/>
      <c r="AI64" s="630"/>
      <c r="AJ64" s="631"/>
      <c r="AK64" s="631"/>
      <c r="AL64" s="631"/>
      <c r="AM64" s="631"/>
      <c r="AN64" s="631"/>
      <c r="AO64" s="631"/>
      <c r="AP64" s="631"/>
      <c r="AQ64" s="631"/>
      <c r="AR64" s="631"/>
      <c r="AS64" s="631"/>
      <c r="AT64" s="631"/>
      <c r="AU64" s="631"/>
      <c r="AV64" s="631"/>
      <c r="AW64" s="631"/>
      <c r="AX64" s="631"/>
      <c r="AY64" s="631"/>
      <c r="AZ64" s="63"/>
      <c r="BA64" s="270">
        <f t="shared" si="96"/>
        <v>0</v>
      </c>
      <c r="BB64" s="544">
        <f>IF(BT15=1,AL117/(AP117+初期!H156/2),0)</f>
        <v>0</v>
      </c>
      <c r="BC64" s="61"/>
      <c r="BD64" s="269">
        <f t="shared" si="98"/>
        <v>0</v>
      </c>
      <c r="BE64" s="547" t="e">
        <f t="shared" si="99"/>
        <v>#DIV/0!</v>
      </c>
      <c r="BF64" s="547" t="e">
        <f t="shared" si="100"/>
        <v>#DIV/0!</v>
      </c>
      <c r="BG64" s="547" t="e">
        <f t="shared" si="101"/>
        <v>#DIV/0!</v>
      </c>
      <c r="BH64" s="547" t="e">
        <f t="shared" si="102"/>
        <v>#DIV/0!</v>
      </c>
      <c r="BI64" s="61"/>
      <c r="BJ64" s="61"/>
      <c r="BK64" s="61"/>
      <c r="BL64" s="61"/>
      <c r="BM64" s="61"/>
      <c r="BN64" s="61"/>
      <c r="BO64" s="61"/>
      <c r="BP64" s="61"/>
      <c r="BQ64" s="61"/>
      <c r="BR64" s="62"/>
      <c r="BS64" s="62"/>
      <c r="BT64" s="62"/>
      <c r="BU64" s="62"/>
      <c r="BV64" s="62"/>
      <c r="BW64" s="62"/>
      <c r="BX64" s="62"/>
      <c r="BY64" s="62"/>
      <c r="BZ64" s="62"/>
      <c r="CA64" s="62"/>
      <c r="CB64" s="62"/>
      <c r="CC64" s="62"/>
      <c r="CD64" s="62"/>
      <c r="CE64" s="62"/>
      <c r="CF64" s="62"/>
      <c r="CG64" s="62"/>
      <c r="CH64" s="62"/>
      <c r="CI64" s="62"/>
      <c r="CJ64" s="62"/>
      <c r="CK64" s="61"/>
      <c r="CL64" s="61"/>
      <c r="CM64" s="61"/>
      <c r="CN64" s="61"/>
      <c r="CO64" s="61"/>
      <c r="CP64" s="61"/>
      <c r="CQ64" s="61"/>
      <c r="CR64" s="61"/>
      <c r="CS64" s="61"/>
      <c r="CT64" s="61"/>
      <c r="CU64" s="61"/>
    </row>
    <row r="65" s="543" customFormat="1" ht="16" customHeight="1" spans="1:99">
      <c r="A65" s="91"/>
      <c r="B65" s="91"/>
      <c r="C65" s="91"/>
      <c r="D65" s="91"/>
      <c r="E65" s="91"/>
      <c r="F65" s="91"/>
      <c r="G65" s="307"/>
      <c r="H65" s="269" t="s">
        <v>523</v>
      </c>
      <c r="I65" s="601"/>
      <c r="J65" s="601"/>
      <c r="K65" s="601"/>
      <c r="L65" s="601"/>
      <c r="M65" s="587"/>
      <c r="N65" s="269" t="s">
        <v>521</v>
      </c>
      <c r="O65" s="572">
        <f>IF(V17=0,0,ROUND((ABS((V42/V17-1)/-3.5)+0.1+1)*V23,0))</f>
        <v>0</v>
      </c>
      <c r="P65" s="572">
        <f>IF(W17=0,0,ROUND((ABS((W42/W17-1)/-3.5)+0.1+1)*W23,0))</f>
        <v>0</v>
      </c>
      <c r="Q65" s="572">
        <f>IF(X17=0,0,ROUND((ABS((X42/X17-1)/-3.5)+0.125+1)*X23,0))</f>
        <v>0</v>
      </c>
      <c r="R65" s="572">
        <f>IF(Y17=0,0,ROUND((ABS((Y42/Y17-1)/-3.5)+0.125+1)*Y23,0))</f>
        <v>0</v>
      </c>
      <c r="S65" s="625"/>
      <c r="T65" s="613"/>
      <c r="U65" s="68" t="s">
        <v>687</v>
      </c>
      <c r="V65" s="68" t="s">
        <v>459</v>
      </c>
      <c r="W65" s="68" t="s">
        <v>460</v>
      </c>
      <c r="X65" s="68" t="s">
        <v>461</v>
      </c>
      <c r="Y65" s="68" t="s">
        <v>462</v>
      </c>
      <c r="Z65" s="91"/>
      <c r="AA65" s="307"/>
      <c r="AB65" s="91"/>
      <c r="AC65" s="91"/>
      <c r="AD65" s="91"/>
      <c r="AE65" s="91"/>
      <c r="AF65" s="91"/>
      <c r="AG65" s="91"/>
      <c r="AH65" s="307"/>
      <c r="AI65" s="630"/>
      <c r="AJ65" s="631"/>
      <c r="AK65" s="631"/>
      <c r="AL65" s="631"/>
      <c r="AM65" s="631"/>
      <c r="AN65" s="631"/>
      <c r="AO65" s="631"/>
      <c r="AP65" s="631"/>
      <c r="AQ65" s="631"/>
      <c r="AR65" s="631"/>
      <c r="AS65" s="631"/>
      <c r="AT65" s="631"/>
      <c r="AU65" s="631"/>
      <c r="AV65" s="631"/>
      <c r="AW65" s="631"/>
      <c r="AX65" s="631"/>
      <c r="AY65" s="631"/>
      <c r="AZ65" s="63"/>
      <c r="BA65" s="270">
        <f t="shared" si="96"/>
        <v>0</v>
      </c>
      <c r="BB65" s="544">
        <f>IF(BT16=1,AL118/(AP118+初期!H157/2),0)</f>
        <v>0</v>
      </c>
      <c r="BC65" s="61"/>
      <c r="BD65" s="269">
        <f t="shared" si="98"/>
        <v>0</v>
      </c>
      <c r="BE65" s="547" t="e">
        <f t="shared" si="99"/>
        <v>#DIV/0!</v>
      </c>
      <c r="BF65" s="547" t="e">
        <f t="shared" si="100"/>
        <v>#DIV/0!</v>
      </c>
      <c r="BG65" s="547" t="e">
        <f t="shared" si="101"/>
        <v>#DIV/0!</v>
      </c>
      <c r="BH65" s="547" t="e">
        <f t="shared" si="102"/>
        <v>#DIV/0!</v>
      </c>
      <c r="BI65" s="61"/>
      <c r="BJ65" s="61"/>
      <c r="BK65" s="61"/>
      <c r="BL65" s="61"/>
      <c r="BM65" s="61"/>
      <c r="BN65" s="61"/>
      <c r="BO65" s="61"/>
      <c r="BP65" s="61"/>
      <c r="BQ65" s="61"/>
      <c r="BR65" s="62"/>
      <c r="BS65" s="62"/>
      <c r="BT65" s="62"/>
      <c r="BU65" s="62"/>
      <c r="BV65" s="62"/>
      <c r="BW65" s="62"/>
      <c r="BX65" s="62"/>
      <c r="BY65" s="62"/>
      <c r="BZ65" s="62"/>
      <c r="CA65" s="62"/>
      <c r="CB65" s="62"/>
      <c r="CC65" s="62"/>
      <c r="CD65" s="62"/>
      <c r="CE65" s="62"/>
      <c r="CF65" s="62"/>
      <c r="CG65" s="62"/>
      <c r="CH65" s="62"/>
      <c r="CI65" s="62"/>
      <c r="CJ65" s="62"/>
      <c r="CK65" s="61"/>
      <c r="CL65" s="61"/>
      <c r="CM65" s="61"/>
      <c r="CN65" s="61"/>
      <c r="CO65" s="61"/>
      <c r="CP65" s="61"/>
      <c r="CQ65" s="61"/>
      <c r="CR65" s="61"/>
      <c r="CS65" s="61"/>
      <c r="CT65" s="61"/>
      <c r="CU65" s="61"/>
    </row>
    <row r="66" s="543" customFormat="1" ht="16" customHeight="1" spans="1:99">
      <c r="A66" s="269" t="s">
        <v>423</v>
      </c>
      <c r="B66" s="270"/>
      <c r="C66" s="270"/>
      <c r="D66" s="91"/>
      <c r="E66" s="269" t="s">
        <v>448</v>
      </c>
      <c r="F66" s="270"/>
      <c r="G66" s="307"/>
      <c r="H66" s="409" t="s">
        <v>524</v>
      </c>
      <c r="I66" s="646"/>
      <c r="J66" s="646"/>
      <c r="K66" s="646"/>
      <c r="L66" s="646"/>
      <c r="M66" s="587"/>
      <c r="N66" s="269" t="s">
        <v>522</v>
      </c>
      <c r="O66" s="572">
        <f>IF(V18=0,0,ROUND((ABS((V43/V18-1)/-3.5)+0.1+1)*V24,0))</f>
        <v>0</v>
      </c>
      <c r="P66" s="572">
        <f>IF(W18=0,0,ROUND((ABS((W43/W18-1)/-3.5)+0.1+1)*W24,0))</f>
        <v>0</v>
      </c>
      <c r="Q66" s="572">
        <f>IF(X18=0,0,ROUND((ABS((X43/X18-1)/-3.5)+0.125+1)*X24,0))</f>
        <v>0</v>
      </c>
      <c r="R66" s="572">
        <f>IF(Y18=0,0,ROUND((ABS((Y43/Y18-1)/-3.5)+0.125+1)*Y24,0))</f>
        <v>0</v>
      </c>
      <c r="S66" s="91"/>
      <c r="T66" s="613"/>
      <c r="U66" s="68" t="s">
        <v>464</v>
      </c>
      <c r="V66" s="251">
        <f>INT(B12*(1-$O$43)+0.5)</f>
        <v>0</v>
      </c>
      <c r="W66" s="251">
        <f>INT(C12*(1-$O$43)+0.5)</f>
        <v>0</v>
      </c>
      <c r="X66" s="251">
        <f>INT(D12*(1-$O$43)+0.5)</f>
        <v>0</v>
      </c>
      <c r="Y66" s="251">
        <f>INT(E12*(1-$O$43)+0.5)</f>
        <v>0</v>
      </c>
      <c r="Z66" s="91"/>
      <c r="AA66" s="307"/>
      <c r="AB66" s="91"/>
      <c r="AC66" s="91"/>
      <c r="AD66" s="91"/>
      <c r="AE66" s="91"/>
      <c r="AF66" s="91"/>
      <c r="AG66" s="91"/>
      <c r="AH66" s="307"/>
      <c r="AI66" s="630"/>
      <c r="AJ66" s="631"/>
      <c r="AK66" s="631"/>
      <c r="AL66" s="631"/>
      <c r="AM66" s="631"/>
      <c r="AN66" s="631"/>
      <c r="AO66" s="631"/>
      <c r="AP66" s="631"/>
      <c r="AQ66" s="631"/>
      <c r="AR66" s="631"/>
      <c r="AS66" s="631"/>
      <c r="AT66" s="631"/>
      <c r="AU66" s="631"/>
      <c r="AV66" s="631"/>
      <c r="AW66" s="631"/>
      <c r="AX66" s="631"/>
      <c r="AY66" s="631"/>
      <c r="AZ66" s="63"/>
      <c r="BA66" s="270">
        <f t="shared" si="96"/>
        <v>0</v>
      </c>
      <c r="BB66" s="544">
        <f>IF(BT17=1,AL119/(AP119+初期!H158/2),0)</f>
        <v>0</v>
      </c>
      <c r="BC66" s="61"/>
      <c r="BD66" s="269">
        <f t="shared" si="98"/>
        <v>0</v>
      </c>
      <c r="BE66" s="547" t="e">
        <f t="shared" si="99"/>
        <v>#DIV/0!</v>
      </c>
      <c r="BF66" s="547" t="e">
        <f t="shared" si="100"/>
        <v>#DIV/0!</v>
      </c>
      <c r="BG66" s="547" t="e">
        <f t="shared" si="101"/>
        <v>#DIV/0!</v>
      </c>
      <c r="BH66" s="547" t="e">
        <f t="shared" si="102"/>
        <v>#DIV/0!</v>
      </c>
      <c r="BI66" s="61"/>
      <c r="BJ66" s="61"/>
      <c r="BK66" s="61"/>
      <c r="BL66" s="61"/>
      <c r="BM66" s="61"/>
      <c r="BN66" s="61"/>
      <c r="BO66" s="61"/>
      <c r="BP66" s="61"/>
      <c r="BQ66" s="61"/>
      <c r="BR66" s="62"/>
      <c r="BS66" s="62"/>
      <c r="BT66" s="62"/>
      <c r="BU66" s="62"/>
      <c r="BV66" s="62"/>
      <c r="BW66" s="62"/>
      <c r="BX66" s="62"/>
      <c r="BY66" s="62"/>
      <c r="BZ66" s="62"/>
      <c r="CA66" s="62"/>
      <c r="CB66" s="62"/>
      <c r="CC66" s="62"/>
      <c r="CD66" s="62"/>
      <c r="CE66" s="62"/>
      <c r="CF66" s="62"/>
      <c r="CG66" s="62"/>
      <c r="CH66" s="62"/>
      <c r="CI66" s="62"/>
      <c r="CJ66" s="62"/>
      <c r="CK66" s="61"/>
      <c r="CL66" s="61"/>
      <c r="CM66" s="61"/>
      <c r="CN66" s="61"/>
      <c r="CO66" s="61"/>
      <c r="CP66" s="61"/>
      <c r="CQ66" s="61"/>
      <c r="CR66" s="61"/>
      <c r="CS66" s="61"/>
      <c r="CT66" s="61"/>
      <c r="CU66" s="61"/>
    </row>
    <row r="67" s="543" customFormat="1" ht="16" customHeight="1" spans="1:99">
      <c r="A67" s="269" t="s">
        <v>688</v>
      </c>
      <c r="B67" s="269" t="s">
        <v>689</v>
      </c>
      <c r="C67" s="269" t="s">
        <v>690</v>
      </c>
      <c r="D67" s="91"/>
      <c r="E67" s="328" t="s">
        <v>691</v>
      </c>
      <c r="F67" s="328" t="s">
        <v>692</v>
      </c>
      <c r="G67" s="307"/>
      <c r="H67" s="269" t="s">
        <v>687</v>
      </c>
      <c r="I67" s="270" t="str">
        <f>I62</f>
        <v>市场1</v>
      </c>
      <c r="J67" s="270" t="str">
        <f>J62</f>
        <v>市场2</v>
      </c>
      <c r="K67" s="270" t="str">
        <f>K62</f>
        <v>市场3</v>
      </c>
      <c r="L67" s="270" t="str">
        <f>L62</f>
        <v>市场4</v>
      </c>
      <c r="M67" s="410" t="s">
        <v>693</v>
      </c>
      <c r="N67" s="269" t="s">
        <v>523</v>
      </c>
      <c r="O67" s="572">
        <f>IF(V19=0,0,ROUND((ABS((V44/V19-1)/-2.25)+0.075+1)*V25,0))</f>
        <v>0</v>
      </c>
      <c r="P67" s="572">
        <f>IF(W19=0,0,ROUND((ABS((W44/W19-1)/-2.25)+0.075+1)*W25,0))</f>
        <v>0</v>
      </c>
      <c r="Q67" s="572">
        <f>IF(X19=0,0,ROUND((ABS((X44/X19-1)/-2.25)+0.1+1)*X25,0))</f>
        <v>0</v>
      </c>
      <c r="R67" s="572">
        <f>IF(Y19=0,0,ROUND((ABS((Y44/Y19-1)/-2.25)+0.1+1)*Y25,0))</f>
        <v>0</v>
      </c>
      <c r="S67" s="611"/>
      <c r="T67" s="613"/>
      <c r="U67" s="68" t="s">
        <v>465</v>
      </c>
      <c r="V67" s="251">
        <f>INT(B13*(1-$P$43)+0.5)</f>
        <v>0</v>
      </c>
      <c r="W67" s="251">
        <f>INT(C13*(1-$P$43)+0.5)</f>
        <v>0</v>
      </c>
      <c r="X67" s="251">
        <f>INT(D13*(1-$P$43)+0.5)</f>
        <v>0</v>
      </c>
      <c r="Y67" s="251">
        <f>INT(E13*(1-$P$43)+0.5)</f>
        <v>0</v>
      </c>
      <c r="Z67" s="91"/>
      <c r="AA67" s="307"/>
      <c r="AB67" s="91"/>
      <c r="AC67" s="91"/>
      <c r="AD67" s="91"/>
      <c r="AE67" s="91"/>
      <c r="AF67" s="91"/>
      <c r="AG67" s="91"/>
      <c r="AH67" s="307"/>
      <c r="AI67" s="630"/>
      <c r="AJ67" s="631"/>
      <c r="AK67" s="631"/>
      <c r="AL67" s="631"/>
      <c r="AM67" s="631"/>
      <c r="AN67" s="631"/>
      <c r="AO67" s="631"/>
      <c r="AP67" s="631"/>
      <c r="AQ67" s="631"/>
      <c r="AR67" s="631"/>
      <c r="AS67" s="631"/>
      <c r="AT67" s="631"/>
      <c r="AU67" s="631"/>
      <c r="AV67" s="631"/>
      <c r="AW67" s="631"/>
      <c r="AX67" s="631"/>
      <c r="AY67" s="631"/>
      <c r="AZ67" s="63"/>
      <c r="BA67" s="270">
        <f t="shared" ref="BA67:BA73" si="105">BA44</f>
        <v>0</v>
      </c>
      <c r="BB67" s="544">
        <f>IF(BT18=1,AL120/(AP120+初期!H159/2),0)</f>
        <v>0</v>
      </c>
      <c r="BC67" s="61"/>
      <c r="BD67" s="269">
        <f t="shared" si="98"/>
        <v>0</v>
      </c>
      <c r="BE67" s="547" t="e">
        <f t="shared" ref="BE67:BE73" si="106">BB44/$BB$31</f>
        <v>#DIV/0!</v>
      </c>
      <c r="BF67" s="547" t="e">
        <f t="shared" ref="BF67:BF73" si="107">BC44/$BC$31</f>
        <v>#DIV/0!</v>
      </c>
      <c r="BG67" s="547" t="e">
        <f t="shared" ref="BG67:BG73" si="108">BD44/$BD$31</f>
        <v>#DIV/0!</v>
      </c>
      <c r="BH67" s="547" t="e">
        <f t="shared" ref="BH67:BH73" si="109">BE44/$BE$31</f>
        <v>#DIV/0!</v>
      </c>
      <c r="BI67" s="61"/>
      <c r="BJ67" s="61"/>
      <c r="BK67" s="61"/>
      <c r="BL67" s="61"/>
      <c r="BM67" s="61"/>
      <c r="BN67" s="61"/>
      <c r="BO67" s="61"/>
      <c r="BP67" s="61"/>
      <c r="BQ67" s="61"/>
      <c r="BR67" s="62"/>
      <c r="BS67" s="62"/>
      <c r="BT67" s="62"/>
      <c r="BU67" s="62"/>
      <c r="BV67" s="62"/>
      <c r="BW67" s="62"/>
      <c r="BX67" s="62"/>
      <c r="BY67" s="62"/>
      <c r="BZ67" s="62"/>
      <c r="CA67" s="62"/>
      <c r="CB67" s="62"/>
      <c r="CC67" s="62"/>
      <c r="CD67" s="62"/>
      <c r="CE67" s="62"/>
      <c r="CF67" s="62"/>
      <c r="CG67" s="62"/>
      <c r="CH67" s="62"/>
      <c r="CI67" s="62"/>
      <c r="CJ67" s="62"/>
      <c r="CK67" s="61"/>
      <c r="CL67" s="61"/>
      <c r="CM67" s="61"/>
      <c r="CN67" s="61"/>
      <c r="CO67" s="61"/>
      <c r="CP67" s="61"/>
      <c r="CQ67" s="61"/>
      <c r="CR67" s="61"/>
      <c r="CS67" s="61"/>
      <c r="CT67" s="61"/>
      <c r="CU67" s="61"/>
    </row>
    <row r="68" s="543" customFormat="1" ht="16" customHeight="1" spans="1:99">
      <c r="A68" s="269" t="s">
        <v>694</v>
      </c>
      <c r="B68" s="261" t="e">
        <f>F64</f>
        <v>#DIV/0!</v>
      </c>
      <c r="C68" s="261" t="e">
        <f>B68</f>
        <v>#DIV/0!</v>
      </c>
      <c r="D68" s="91"/>
      <c r="E68" s="328" t="s">
        <v>345</v>
      </c>
      <c r="F68" s="641">
        <f>L17</f>
        <v>0</v>
      </c>
      <c r="G68" s="307"/>
      <c r="H68" s="270" t="str">
        <f>H63</f>
        <v>产品1</v>
      </c>
      <c r="I68" s="248">
        <f t="shared" ref="I68:L71" si="110">V66</f>
        <v>0</v>
      </c>
      <c r="J68" s="248">
        <f t="shared" si="110"/>
        <v>0</v>
      </c>
      <c r="K68" s="248">
        <f t="shared" si="110"/>
        <v>0</v>
      </c>
      <c r="L68" s="248">
        <f t="shared" si="110"/>
        <v>0</v>
      </c>
      <c r="M68" s="647">
        <f>SUM(I63:L63)</f>
        <v>0</v>
      </c>
      <c r="N68" s="269" t="s">
        <v>524</v>
      </c>
      <c r="O68" s="572">
        <f>IF(V20=0,0,ROUND((ABS((V45/V20-1)/-2.25)+0.075+1)*V26,0))</f>
        <v>0</v>
      </c>
      <c r="P68" s="572">
        <f>IF(W20=0,0,ROUND((ABS((W45/W20-1)/-2.25)+0.075+1)*W26,0))</f>
        <v>0</v>
      </c>
      <c r="Q68" s="572">
        <f>IF(X20=0,0,ROUND((ABS((X45/X20-1)/-2.25)+0.1+1)*X26,0))</f>
        <v>0</v>
      </c>
      <c r="R68" s="572">
        <f>IF(Y20=0,0,ROUND((ABS((Y45/Y20-1)/-2.25)+0.1+1)*Y26,0))</f>
        <v>0</v>
      </c>
      <c r="S68" s="611"/>
      <c r="T68" s="613"/>
      <c r="U68" s="68" t="s">
        <v>466</v>
      </c>
      <c r="V68" s="251">
        <f>INT(B14*(1-$Q$43)+0.5)</f>
        <v>0</v>
      </c>
      <c r="W68" s="251">
        <f>INT(C14*(1-$Q$43)+0.5)</f>
        <v>0</v>
      </c>
      <c r="X68" s="251">
        <f>INT(D14*(1-$Q$43)+0.5)</f>
        <v>0</v>
      </c>
      <c r="Y68" s="251">
        <f>INT(E14*(1-$Q$43)+0.5)</f>
        <v>0</v>
      </c>
      <c r="Z68" s="91"/>
      <c r="AA68" s="307"/>
      <c r="AB68" s="91"/>
      <c r="AC68" s="91"/>
      <c r="AD68" s="91"/>
      <c r="AE68" s="91"/>
      <c r="AF68" s="91"/>
      <c r="AG68" s="91"/>
      <c r="AH68" s="307"/>
      <c r="AI68" s="630"/>
      <c r="AJ68" s="631"/>
      <c r="AK68" s="631"/>
      <c r="AL68" s="631"/>
      <c r="AM68" s="631"/>
      <c r="AN68" s="631"/>
      <c r="AO68" s="631"/>
      <c r="AP68" s="631"/>
      <c r="AQ68" s="631"/>
      <c r="AR68" s="631"/>
      <c r="AS68" s="631"/>
      <c r="AT68" s="631"/>
      <c r="AU68" s="631"/>
      <c r="AV68" s="631"/>
      <c r="AW68" s="631"/>
      <c r="AX68" s="631"/>
      <c r="AY68" s="631"/>
      <c r="AZ68" s="63"/>
      <c r="BA68" s="270">
        <f t="shared" si="105"/>
        <v>0</v>
      </c>
      <c r="BB68" s="544">
        <f>IF(BT19=1,AL121/(AP121+初期!H160/2),0)</f>
        <v>0</v>
      </c>
      <c r="BC68" s="61"/>
      <c r="BD68" s="269">
        <f t="shared" si="98"/>
        <v>0</v>
      </c>
      <c r="BE68" s="547" t="e">
        <f t="shared" si="106"/>
        <v>#DIV/0!</v>
      </c>
      <c r="BF68" s="547" t="e">
        <f t="shared" si="107"/>
        <v>#DIV/0!</v>
      </c>
      <c r="BG68" s="547" t="e">
        <f t="shared" si="108"/>
        <v>#DIV/0!</v>
      </c>
      <c r="BH68" s="547" t="e">
        <f t="shared" si="109"/>
        <v>#DIV/0!</v>
      </c>
      <c r="BI68" s="61"/>
      <c r="BJ68" s="61"/>
      <c r="BK68" s="61"/>
      <c r="BL68" s="61"/>
      <c r="BM68" s="61"/>
      <c r="BN68" s="61"/>
      <c r="BO68" s="61"/>
      <c r="BP68" s="61"/>
      <c r="BQ68" s="61"/>
      <c r="BR68" s="62"/>
      <c r="BS68" s="62"/>
      <c r="BT68" s="62"/>
      <c r="BU68" s="62"/>
      <c r="BV68" s="62"/>
      <c r="BW68" s="62"/>
      <c r="BX68" s="62"/>
      <c r="BY68" s="62"/>
      <c r="BZ68" s="62"/>
      <c r="CA68" s="62"/>
      <c r="CB68" s="62"/>
      <c r="CC68" s="62"/>
      <c r="CD68" s="62"/>
      <c r="CE68" s="62"/>
      <c r="CF68" s="62"/>
      <c r="CG68" s="62"/>
      <c r="CH68" s="62"/>
      <c r="CI68" s="62"/>
      <c r="CJ68" s="62"/>
      <c r="CK68" s="61"/>
      <c r="CL68" s="61"/>
      <c r="CM68" s="61"/>
      <c r="CN68" s="61"/>
      <c r="CO68" s="61"/>
      <c r="CP68" s="61"/>
      <c r="CQ68" s="61"/>
      <c r="CR68" s="61"/>
      <c r="CS68" s="61"/>
      <c r="CT68" s="61"/>
      <c r="CU68" s="61"/>
    </row>
    <row r="69" s="543" customFormat="1" ht="16" customHeight="1" spans="1:99">
      <c r="A69" s="269" t="s">
        <v>695</v>
      </c>
      <c r="B69" s="261">
        <f>D24</f>
        <v>0</v>
      </c>
      <c r="C69" s="261" t="e">
        <f t="shared" ref="C69:C76" si="111">C68+B69</f>
        <v>#DIV/0!</v>
      </c>
      <c r="D69" s="91"/>
      <c r="E69" s="328" t="s">
        <v>346</v>
      </c>
      <c r="F69" s="641" t="e">
        <f>O49</f>
        <v>#DIV/0!</v>
      </c>
      <c r="G69" s="307"/>
      <c r="H69" s="270" t="str">
        <f>H64</f>
        <v>产品2</v>
      </c>
      <c r="I69" s="248">
        <f t="shared" si="110"/>
        <v>0</v>
      </c>
      <c r="J69" s="248">
        <f t="shared" si="110"/>
        <v>0</v>
      </c>
      <c r="K69" s="248">
        <f t="shared" si="110"/>
        <v>0</v>
      </c>
      <c r="L69" s="248">
        <f t="shared" si="110"/>
        <v>0</v>
      </c>
      <c r="M69" s="648">
        <f>SUM(I64:L64)</f>
        <v>0</v>
      </c>
      <c r="N69" s="91"/>
      <c r="O69" s="611"/>
      <c r="P69" s="611"/>
      <c r="Q69" s="611"/>
      <c r="R69" s="611"/>
      <c r="S69" s="611"/>
      <c r="T69" s="613"/>
      <c r="U69" s="68" t="s">
        <v>468</v>
      </c>
      <c r="V69" s="251">
        <f>INT(B15*(1-$R$43)+0.5)</f>
        <v>0</v>
      </c>
      <c r="W69" s="251">
        <f>INT(C15*(1-$R$43)+0.5)</f>
        <v>0</v>
      </c>
      <c r="X69" s="251">
        <f>INT(D15*(1-$R$43)+0.5)</f>
        <v>0</v>
      </c>
      <c r="Y69" s="251">
        <f>INT(E15*(1-$R$43)+0.5)</f>
        <v>0</v>
      </c>
      <c r="Z69" s="91"/>
      <c r="AA69" s="307"/>
      <c r="AB69" s="91"/>
      <c r="AC69" s="91"/>
      <c r="AD69" s="91"/>
      <c r="AE69" s="91"/>
      <c r="AF69" s="91"/>
      <c r="AG69" s="91"/>
      <c r="AH69" s="307"/>
      <c r="AI69" s="630"/>
      <c r="AJ69" s="631"/>
      <c r="AK69" s="631"/>
      <c r="AL69" s="631"/>
      <c r="AM69" s="631"/>
      <c r="AN69" s="631"/>
      <c r="AO69" s="631"/>
      <c r="AP69" s="631"/>
      <c r="AQ69" s="631"/>
      <c r="AR69" s="631"/>
      <c r="AS69" s="631"/>
      <c r="AT69" s="631"/>
      <c r="AU69" s="631"/>
      <c r="AV69" s="631"/>
      <c r="AW69" s="631"/>
      <c r="AX69" s="631"/>
      <c r="AY69" s="631"/>
      <c r="AZ69" s="63"/>
      <c r="BA69" s="270">
        <f t="shared" si="105"/>
        <v>0</v>
      </c>
      <c r="BB69" s="544">
        <f>IF(BT20=1,AL122/(AP122+初期!H161/2),0)</f>
        <v>0</v>
      </c>
      <c r="BC69" s="61"/>
      <c r="BD69" s="269">
        <f t="shared" si="98"/>
        <v>0</v>
      </c>
      <c r="BE69" s="547" t="e">
        <f t="shared" si="106"/>
        <v>#DIV/0!</v>
      </c>
      <c r="BF69" s="547" t="e">
        <f t="shared" si="107"/>
        <v>#DIV/0!</v>
      </c>
      <c r="BG69" s="547" t="e">
        <f t="shared" si="108"/>
        <v>#DIV/0!</v>
      </c>
      <c r="BH69" s="547" t="e">
        <f t="shared" si="109"/>
        <v>#DIV/0!</v>
      </c>
      <c r="BI69" s="61"/>
      <c r="BJ69" s="61"/>
      <c r="BK69" s="61"/>
      <c r="BL69" s="61"/>
      <c r="BM69" s="61"/>
      <c r="BN69" s="61"/>
      <c r="BO69" s="61"/>
      <c r="BP69" s="61"/>
      <c r="BQ69" s="61"/>
      <c r="BR69" s="62"/>
      <c r="BS69" s="62"/>
      <c r="BT69" s="62"/>
      <c r="BU69" s="62"/>
      <c r="BV69" s="62"/>
      <c r="BW69" s="62"/>
      <c r="BX69" s="62"/>
      <c r="BY69" s="62"/>
      <c r="BZ69" s="62"/>
      <c r="CA69" s="62"/>
      <c r="CB69" s="62"/>
      <c r="CC69" s="62"/>
      <c r="CD69" s="62"/>
      <c r="CE69" s="62"/>
      <c r="CF69" s="62"/>
      <c r="CG69" s="62"/>
      <c r="CH69" s="62"/>
      <c r="CI69" s="62"/>
      <c r="CJ69" s="62"/>
      <c r="CK69" s="61"/>
      <c r="CL69" s="61"/>
      <c r="CM69" s="61"/>
      <c r="CN69" s="61"/>
      <c r="CO69" s="61"/>
      <c r="CP69" s="61"/>
      <c r="CQ69" s="61"/>
      <c r="CR69" s="61"/>
      <c r="CS69" s="61"/>
      <c r="CT69" s="61"/>
      <c r="CU69" s="61"/>
    </row>
    <row r="70" s="543" customFormat="1" ht="16" customHeight="1" spans="1:99">
      <c r="A70" s="269" t="s">
        <v>441</v>
      </c>
      <c r="B70" s="261">
        <f>L43</f>
        <v>0</v>
      </c>
      <c r="C70" s="261" t="e">
        <f t="shared" si="111"/>
        <v>#DIV/0!</v>
      </c>
      <c r="D70" s="91"/>
      <c r="E70" s="328" t="s">
        <v>441</v>
      </c>
      <c r="F70" s="642">
        <f>L43</f>
        <v>0</v>
      </c>
      <c r="G70" s="307"/>
      <c r="H70" s="270" t="str">
        <f>H65</f>
        <v>产品3</v>
      </c>
      <c r="I70" s="248">
        <f t="shared" si="110"/>
        <v>0</v>
      </c>
      <c r="J70" s="248">
        <f t="shared" si="110"/>
        <v>0</v>
      </c>
      <c r="K70" s="248">
        <f t="shared" si="110"/>
        <v>0</v>
      </c>
      <c r="L70" s="248">
        <f t="shared" si="110"/>
        <v>0</v>
      </c>
      <c r="M70" s="648">
        <f>SUM(I65:L65)</f>
        <v>0</v>
      </c>
      <c r="N70" s="91"/>
      <c r="O70" s="611"/>
      <c r="P70" s="611"/>
      <c r="Q70" s="611"/>
      <c r="R70" s="611"/>
      <c r="S70" s="611"/>
      <c r="T70" s="613"/>
      <c r="U70" s="91"/>
      <c r="V70" s="91"/>
      <c r="W70" s="91"/>
      <c r="X70" s="91"/>
      <c r="Y70" s="91"/>
      <c r="Z70" s="91"/>
      <c r="AA70" s="307"/>
      <c r="AB70" s="91"/>
      <c r="AC70" s="91"/>
      <c r="AD70" s="91"/>
      <c r="AE70" s="91"/>
      <c r="AF70" s="91"/>
      <c r="AG70" s="91"/>
      <c r="AH70" s="307"/>
      <c r="AI70" s="630"/>
      <c r="AJ70" s="631"/>
      <c r="AK70" s="631"/>
      <c r="AL70" s="631"/>
      <c r="AM70" s="631"/>
      <c r="AN70" s="631"/>
      <c r="AO70" s="631"/>
      <c r="AP70" s="631"/>
      <c r="AQ70" s="631"/>
      <c r="AR70" s="631"/>
      <c r="AS70" s="631"/>
      <c r="AT70" s="631"/>
      <c r="AU70" s="631"/>
      <c r="AV70" s="631"/>
      <c r="AW70" s="631"/>
      <c r="AX70" s="631"/>
      <c r="AY70" s="631"/>
      <c r="AZ70" s="63"/>
      <c r="BA70" s="270">
        <f t="shared" si="105"/>
        <v>0</v>
      </c>
      <c r="BB70" s="544">
        <f>IF(BT21=1,AL123/(AP123+初期!H162/2),0)</f>
        <v>0</v>
      </c>
      <c r="BC70" s="61"/>
      <c r="BD70" s="269">
        <f t="shared" si="98"/>
        <v>0</v>
      </c>
      <c r="BE70" s="547" t="e">
        <f t="shared" si="106"/>
        <v>#DIV/0!</v>
      </c>
      <c r="BF70" s="547" t="e">
        <f t="shared" si="107"/>
        <v>#DIV/0!</v>
      </c>
      <c r="BG70" s="547" t="e">
        <f t="shared" si="108"/>
        <v>#DIV/0!</v>
      </c>
      <c r="BH70" s="547" t="e">
        <f t="shared" si="109"/>
        <v>#DIV/0!</v>
      </c>
      <c r="BI70" s="61"/>
      <c r="BJ70" s="61"/>
      <c r="BK70" s="61"/>
      <c r="BL70" s="61"/>
      <c r="BM70" s="61"/>
      <c r="BN70" s="61"/>
      <c r="BO70" s="61"/>
      <c r="BP70" s="61"/>
      <c r="BQ70" s="61"/>
      <c r="BR70" s="62"/>
      <c r="BS70" s="62"/>
      <c r="BT70" s="62"/>
      <c r="BU70" s="62"/>
      <c r="BV70" s="62"/>
      <c r="BW70" s="62"/>
      <c r="BX70" s="62"/>
      <c r="BY70" s="62"/>
      <c r="BZ70" s="62"/>
      <c r="CA70" s="62"/>
      <c r="CB70" s="62"/>
      <c r="CC70" s="62"/>
      <c r="CD70" s="62"/>
      <c r="CE70" s="62"/>
      <c r="CF70" s="62"/>
      <c r="CG70" s="62"/>
      <c r="CH70" s="62"/>
      <c r="CI70" s="62"/>
      <c r="CJ70" s="62"/>
      <c r="CK70" s="61"/>
      <c r="CL70" s="61"/>
      <c r="CM70" s="61"/>
      <c r="CN70" s="61"/>
      <c r="CO70" s="61"/>
      <c r="CP70" s="61"/>
      <c r="CQ70" s="61"/>
      <c r="CR70" s="61"/>
      <c r="CS70" s="61"/>
      <c r="CT70" s="61"/>
      <c r="CU70" s="61"/>
    </row>
    <row r="71" s="543" customFormat="1" ht="16" customHeight="1" spans="1:99">
      <c r="A71" s="269" t="s">
        <v>696</v>
      </c>
      <c r="B71" s="261">
        <f>(SUM(AP9:AP12)+I56)*初始化表!E22</f>
        <v>0</v>
      </c>
      <c r="C71" s="261" t="e">
        <f t="shared" si="111"/>
        <v>#DIV/0!</v>
      </c>
      <c r="D71" s="91"/>
      <c r="E71" s="328" t="s">
        <v>697</v>
      </c>
      <c r="F71" s="642" t="e">
        <f>F64</f>
        <v>#DIV/0!</v>
      </c>
      <c r="G71" s="307"/>
      <c r="H71" s="270" t="str">
        <f>H66</f>
        <v>产品4</v>
      </c>
      <c r="I71" s="248">
        <f t="shared" si="110"/>
        <v>0</v>
      </c>
      <c r="J71" s="248">
        <f t="shared" si="110"/>
        <v>0</v>
      </c>
      <c r="K71" s="248">
        <f t="shared" si="110"/>
        <v>0</v>
      </c>
      <c r="L71" s="248">
        <f t="shared" si="110"/>
        <v>0</v>
      </c>
      <c r="M71" s="648">
        <f>SUM(I66:L66)</f>
        <v>0</v>
      </c>
      <c r="N71" s="269" t="s">
        <v>598</v>
      </c>
      <c r="O71" s="269" t="s">
        <v>698</v>
      </c>
      <c r="P71" s="91"/>
      <c r="Q71" s="91"/>
      <c r="R71" s="91"/>
      <c r="S71" s="91"/>
      <c r="T71" s="613"/>
      <c r="U71" s="91"/>
      <c r="V71" s="91"/>
      <c r="W71" s="91"/>
      <c r="X71" s="91"/>
      <c r="Y71" s="91"/>
      <c r="Z71" s="91"/>
      <c r="AA71" s="307"/>
      <c r="AB71" s="91"/>
      <c r="AC71" s="91"/>
      <c r="AD71" s="91"/>
      <c r="AE71" s="91"/>
      <c r="AF71" s="91"/>
      <c r="AG71" s="91"/>
      <c r="AH71" s="307"/>
      <c r="AI71" s="630"/>
      <c r="AJ71" s="631"/>
      <c r="AK71" s="631"/>
      <c r="AL71" s="631"/>
      <c r="AM71" s="631"/>
      <c r="AN71" s="631"/>
      <c r="AO71" s="631"/>
      <c r="AP71" s="631"/>
      <c r="AQ71" s="631"/>
      <c r="AR71" s="631"/>
      <c r="AS71" s="631"/>
      <c r="AT71" s="631"/>
      <c r="AU71" s="631"/>
      <c r="AV71" s="631"/>
      <c r="AW71" s="631"/>
      <c r="AX71" s="631"/>
      <c r="AY71" s="631"/>
      <c r="AZ71" s="63"/>
      <c r="BA71" s="270">
        <f t="shared" si="105"/>
        <v>0</v>
      </c>
      <c r="BB71" s="544">
        <f>IF(BT22=1,AL124/(AP124+初期!H163/2),0)</f>
        <v>0</v>
      </c>
      <c r="BC71" s="61"/>
      <c r="BD71" s="269">
        <f t="shared" si="98"/>
        <v>0</v>
      </c>
      <c r="BE71" s="547" t="e">
        <f t="shared" si="106"/>
        <v>#DIV/0!</v>
      </c>
      <c r="BF71" s="547" t="e">
        <f t="shared" si="107"/>
        <v>#DIV/0!</v>
      </c>
      <c r="BG71" s="547" t="e">
        <f t="shared" si="108"/>
        <v>#DIV/0!</v>
      </c>
      <c r="BH71" s="547" t="e">
        <f t="shared" si="109"/>
        <v>#DIV/0!</v>
      </c>
      <c r="BI71" s="61"/>
      <c r="BJ71" s="61"/>
      <c r="BK71" s="61"/>
      <c r="BL71" s="61"/>
      <c r="BM71" s="61"/>
      <c r="BN71" s="61"/>
      <c r="BO71" s="61"/>
      <c r="BP71" s="61"/>
      <c r="BQ71" s="61"/>
      <c r="BR71" s="62"/>
      <c r="BS71" s="62"/>
      <c r="BT71" s="62"/>
      <c r="BU71" s="62"/>
      <c r="BV71" s="62"/>
      <c r="BW71" s="62"/>
      <c r="BX71" s="62"/>
      <c r="BY71" s="62"/>
      <c r="BZ71" s="62"/>
      <c r="CA71" s="62"/>
      <c r="CB71" s="62"/>
      <c r="CC71" s="62"/>
      <c r="CD71" s="62"/>
      <c r="CE71" s="62"/>
      <c r="CF71" s="62"/>
      <c r="CG71" s="62"/>
      <c r="CH71" s="62"/>
      <c r="CI71" s="62"/>
      <c r="CJ71" s="62"/>
      <c r="CK71" s="61"/>
      <c r="CL71" s="61"/>
      <c r="CM71" s="61"/>
      <c r="CN71" s="61"/>
      <c r="CO71" s="61"/>
      <c r="CP71" s="61"/>
      <c r="CQ71" s="61"/>
      <c r="CR71" s="61"/>
      <c r="CS71" s="61"/>
      <c r="CT71" s="61"/>
      <c r="CU71" s="61"/>
    </row>
    <row r="72" s="543" customFormat="1" ht="16" customHeight="1" spans="1:99">
      <c r="A72" s="269" t="s">
        <v>699</v>
      </c>
      <c r="B72" s="261">
        <f>(SUM(AP13:AP16)+J56)*初始化表!F22</f>
        <v>0</v>
      </c>
      <c r="C72" s="261" t="e">
        <f t="shared" si="111"/>
        <v>#DIV/0!</v>
      </c>
      <c r="D72" s="91"/>
      <c r="E72" s="328" t="s">
        <v>457</v>
      </c>
      <c r="F72" s="642">
        <f>B77</f>
        <v>0</v>
      </c>
      <c r="G72" s="307"/>
      <c r="H72" s="270" t="str">
        <f t="shared" ref="H72:L76" si="112">U41</f>
        <v>本期待销</v>
      </c>
      <c r="I72" s="270" t="str">
        <f t="shared" si="112"/>
        <v>市场1</v>
      </c>
      <c r="J72" s="270" t="str">
        <f t="shared" si="112"/>
        <v>市场2</v>
      </c>
      <c r="K72" s="270" t="str">
        <f t="shared" si="112"/>
        <v>市场3</v>
      </c>
      <c r="L72" s="270" t="str">
        <f t="shared" si="112"/>
        <v>市场4</v>
      </c>
      <c r="M72" s="378" t="s">
        <v>700</v>
      </c>
      <c r="N72" s="269" t="s">
        <v>198</v>
      </c>
      <c r="O72" s="649">
        <v>0</v>
      </c>
      <c r="P72" s="650"/>
      <c r="Q72" s="650"/>
      <c r="R72" s="650"/>
      <c r="S72" s="650"/>
      <c r="T72" s="613"/>
      <c r="U72" s="91"/>
      <c r="V72" s="91"/>
      <c r="W72" s="91"/>
      <c r="X72" s="91"/>
      <c r="Y72" s="91"/>
      <c r="Z72" s="91"/>
      <c r="AA72" s="307"/>
      <c r="AB72" s="91"/>
      <c r="AC72" s="91"/>
      <c r="AD72" s="91"/>
      <c r="AE72" s="91"/>
      <c r="AF72" s="91"/>
      <c r="AG72" s="91"/>
      <c r="AH72" s="307"/>
      <c r="AI72" s="630"/>
      <c r="AJ72" s="631"/>
      <c r="AK72" s="631"/>
      <c r="AL72" s="631"/>
      <c r="AM72" s="631"/>
      <c r="AN72" s="631"/>
      <c r="AO72" s="631"/>
      <c r="AP72" s="631"/>
      <c r="AQ72" s="631"/>
      <c r="AR72" s="631"/>
      <c r="AS72" s="631"/>
      <c r="AT72" s="631"/>
      <c r="AU72" s="631"/>
      <c r="AV72" s="631"/>
      <c r="AW72" s="631"/>
      <c r="AX72" s="631"/>
      <c r="AY72" s="631"/>
      <c r="AZ72" s="63"/>
      <c r="BA72" s="270">
        <f t="shared" si="105"/>
        <v>0</v>
      </c>
      <c r="BB72" s="544">
        <f>IF(BT23=1,AL125/(AP125+初期!H164/2),0)</f>
        <v>0</v>
      </c>
      <c r="BC72" s="61"/>
      <c r="BD72" s="269">
        <f t="shared" si="98"/>
        <v>0</v>
      </c>
      <c r="BE72" s="547" t="e">
        <f t="shared" si="106"/>
        <v>#DIV/0!</v>
      </c>
      <c r="BF72" s="547" t="e">
        <f t="shared" si="107"/>
        <v>#DIV/0!</v>
      </c>
      <c r="BG72" s="547" t="e">
        <f t="shared" si="108"/>
        <v>#DIV/0!</v>
      </c>
      <c r="BH72" s="547" t="e">
        <f t="shared" si="109"/>
        <v>#DIV/0!</v>
      </c>
      <c r="BI72" s="61"/>
      <c r="BJ72" s="61"/>
      <c r="BK72" s="61"/>
      <c r="BL72" s="61"/>
      <c r="BM72" s="61"/>
      <c r="BN72" s="61"/>
      <c r="BO72" s="61"/>
      <c r="BP72" s="61"/>
      <c r="BQ72" s="61"/>
      <c r="BR72" s="62"/>
      <c r="BS72" s="62"/>
      <c r="BT72" s="62"/>
      <c r="BU72" s="62"/>
      <c r="BV72" s="62"/>
      <c r="BW72" s="62"/>
      <c r="BX72" s="62"/>
      <c r="BY72" s="62"/>
      <c r="BZ72" s="62"/>
      <c r="CA72" s="62"/>
      <c r="CB72" s="62"/>
      <c r="CC72" s="62"/>
      <c r="CD72" s="62"/>
      <c r="CE72" s="62"/>
      <c r="CF72" s="62"/>
      <c r="CG72" s="62"/>
      <c r="CH72" s="62"/>
      <c r="CI72" s="62"/>
      <c r="CJ72" s="62"/>
      <c r="CK72" s="61"/>
      <c r="CL72" s="61"/>
      <c r="CM72" s="61"/>
      <c r="CN72" s="61"/>
      <c r="CO72" s="61"/>
      <c r="CP72" s="61"/>
      <c r="CQ72" s="61"/>
      <c r="CR72" s="61"/>
      <c r="CS72" s="61"/>
      <c r="CT72" s="61"/>
      <c r="CU72" s="61"/>
    </row>
    <row r="73" s="543" customFormat="1" ht="16" customHeight="1" spans="1:99">
      <c r="A73" s="269" t="s">
        <v>701</v>
      </c>
      <c r="B73" s="261">
        <f>(SUM(AP17:AP20)+K56)*初始化表!G22</f>
        <v>0</v>
      </c>
      <c r="C73" s="261" t="e">
        <f t="shared" si="111"/>
        <v>#DIV/0!</v>
      </c>
      <c r="D73" s="91"/>
      <c r="E73" s="328" t="s">
        <v>463</v>
      </c>
      <c r="F73" s="642">
        <f>MAX(P33-B24,0)</f>
        <v>0</v>
      </c>
      <c r="G73" s="307"/>
      <c r="H73" s="270" t="str">
        <f t="shared" si="112"/>
        <v>产品1</v>
      </c>
      <c r="I73" s="248">
        <f t="shared" si="112"/>
        <v>0</v>
      </c>
      <c r="J73" s="248">
        <f t="shared" si="112"/>
        <v>0</v>
      </c>
      <c r="K73" s="248">
        <f t="shared" si="112"/>
        <v>0</v>
      </c>
      <c r="L73" s="248">
        <f t="shared" si="112"/>
        <v>0</v>
      </c>
      <c r="M73" s="651" t="e">
        <f>INT((M68-初期!M23)/初始化表!$B$4)</f>
        <v>#DIV/0!</v>
      </c>
      <c r="N73" s="269" t="s">
        <v>202</v>
      </c>
      <c r="O73" s="649">
        <v>0</v>
      </c>
      <c r="P73" s="650"/>
      <c r="Q73" s="650"/>
      <c r="R73" s="650"/>
      <c r="S73" s="650"/>
      <c r="T73" s="613"/>
      <c r="U73" s="91"/>
      <c r="V73" s="91"/>
      <c r="W73" s="91"/>
      <c r="X73" s="91"/>
      <c r="Y73" s="91"/>
      <c r="Z73" s="91"/>
      <c r="AA73" s="307"/>
      <c r="AB73" s="91"/>
      <c r="AC73" s="91"/>
      <c r="AD73" s="91"/>
      <c r="AE73" s="91"/>
      <c r="AF73" s="91"/>
      <c r="AG73" s="91"/>
      <c r="AH73" s="307"/>
      <c r="AI73" s="630"/>
      <c r="AJ73" s="631"/>
      <c r="AK73" s="631"/>
      <c r="AL73" s="631"/>
      <c r="AM73" s="631"/>
      <c r="AN73" s="631"/>
      <c r="AO73" s="631"/>
      <c r="AP73" s="631"/>
      <c r="AQ73" s="631"/>
      <c r="AR73" s="631"/>
      <c r="AS73" s="631"/>
      <c r="AT73" s="631"/>
      <c r="AU73" s="631"/>
      <c r="AV73" s="631"/>
      <c r="AW73" s="631"/>
      <c r="AX73" s="631"/>
      <c r="AY73" s="631"/>
      <c r="AZ73" s="63"/>
      <c r="BA73" s="270">
        <f t="shared" si="105"/>
        <v>0</v>
      </c>
      <c r="BB73" s="544">
        <f>IF(BT24=1,AL126/(AP126+初期!H165/2),0)</f>
        <v>0</v>
      </c>
      <c r="BC73" s="61"/>
      <c r="BD73" s="269">
        <f t="shared" si="98"/>
        <v>0</v>
      </c>
      <c r="BE73" s="547" t="e">
        <f t="shared" si="106"/>
        <v>#DIV/0!</v>
      </c>
      <c r="BF73" s="547" t="e">
        <f t="shared" si="107"/>
        <v>#DIV/0!</v>
      </c>
      <c r="BG73" s="547" t="e">
        <f t="shared" si="108"/>
        <v>#DIV/0!</v>
      </c>
      <c r="BH73" s="547" t="e">
        <f t="shared" si="109"/>
        <v>#DIV/0!</v>
      </c>
      <c r="BI73" s="61"/>
      <c r="BJ73" s="61"/>
      <c r="BK73" s="61"/>
      <c r="BL73" s="61"/>
      <c r="BM73" s="61"/>
      <c r="BN73" s="61"/>
      <c r="BO73" s="61"/>
      <c r="BP73" s="61"/>
      <c r="BQ73" s="61"/>
      <c r="BR73" s="62"/>
      <c r="BS73" s="62"/>
      <c r="BT73" s="62"/>
      <c r="BU73" s="62"/>
      <c r="BV73" s="62"/>
      <c r="BW73" s="62"/>
      <c r="BX73" s="62"/>
      <c r="BY73" s="62"/>
      <c r="BZ73" s="62"/>
      <c r="CA73" s="62"/>
      <c r="CB73" s="62"/>
      <c r="CC73" s="62"/>
      <c r="CD73" s="62"/>
      <c r="CE73" s="62"/>
      <c r="CF73" s="62"/>
      <c r="CG73" s="62"/>
      <c r="CH73" s="62"/>
      <c r="CI73" s="62"/>
      <c r="CJ73" s="62"/>
      <c r="CK73" s="61"/>
      <c r="CL73" s="61"/>
      <c r="CM73" s="61"/>
      <c r="CN73" s="61"/>
      <c r="CO73" s="61"/>
      <c r="CP73" s="61"/>
      <c r="CQ73" s="61"/>
      <c r="CR73" s="61"/>
      <c r="CS73" s="61"/>
      <c r="CT73" s="61"/>
      <c r="CU73" s="61"/>
    </row>
    <row r="74" s="543" customFormat="1" ht="16" customHeight="1" spans="1:99">
      <c r="A74" s="269" t="s">
        <v>702</v>
      </c>
      <c r="B74" s="261">
        <f>(SUM(AP21:AP24)+L56)*初始化表!H22</f>
        <v>0</v>
      </c>
      <c r="C74" s="261" t="e">
        <f t="shared" si="111"/>
        <v>#DIV/0!</v>
      </c>
      <c r="D74" s="91"/>
      <c r="E74" s="328" t="s">
        <v>703</v>
      </c>
      <c r="F74" s="642">
        <f>D24</f>
        <v>0</v>
      </c>
      <c r="G74" s="307"/>
      <c r="H74" s="270" t="str">
        <f t="shared" si="112"/>
        <v>产品2</v>
      </c>
      <c r="I74" s="248">
        <f>V43</f>
        <v>0</v>
      </c>
      <c r="J74" s="248">
        <f t="shared" si="112"/>
        <v>0</v>
      </c>
      <c r="K74" s="248">
        <f t="shared" si="112"/>
        <v>0</v>
      </c>
      <c r="L74" s="248">
        <f t="shared" si="112"/>
        <v>0</v>
      </c>
      <c r="M74" s="651" t="e">
        <f>INT((M69-初期!M24)/初始化表!$B$4)</f>
        <v>#DIV/0!</v>
      </c>
      <c r="N74" s="269" t="s">
        <v>206</v>
      </c>
      <c r="O74" s="649">
        <v>0</v>
      </c>
      <c r="P74" s="650"/>
      <c r="Q74" s="650"/>
      <c r="R74" s="650"/>
      <c r="S74" s="650"/>
      <c r="T74" s="613"/>
      <c r="U74" s="91"/>
      <c r="V74" s="91"/>
      <c r="W74" s="91"/>
      <c r="X74" s="91"/>
      <c r="Y74" s="91"/>
      <c r="Z74" s="91"/>
      <c r="AA74" s="307"/>
      <c r="AB74" s="91"/>
      <c r="AC74" s="91"/>
      <c r="AD74" s="91"/>
      <c r="AE74" s="91"/>
      <c r="AF74" s="91"/>
      <c r="AG74" s="91"/>
      <c r="AH74" s="307"/>
      <c r="AI74" s="630"/>
      <c r="AJ74" s="631"/>
      <c r="AK74" s="631"/>
      <c r="AL74" s="631"/>
      <c r="AM74" s="631"/>
      <c r="AN74" s="631"/>
      <c r="AO74" s="631"/>
      <c r="AP74" s="631"/>
      <c r="AQ74" s="631"/>
      <c r="AR74" s="631"/>
      <c r="AS74" s="631"/>
      <c r="AT74" s="631"/>
      <c r="AU74" s="631"/>
      <c r="AV74" s="631"/>
      <c r="AW74" s="631"/>
      <c r="AX74" s="631"/>
      <c r="AY74" s="631"/>
      <c r="AZ74" s="63"/>
      <c r="BA74" s="61"/>
      <c r="BB74" s="61"/>
      <c r="BC74" s="61"/>
      <c r="BD74" s="61"/>
      <c r="BE74" s="61"/>
      <c r="BF74" s="61"/>
      <c r="BG74" s="61"/>
      <c r="BH74" s="61"/>
      <c r="BI74" s="61"/>
      <c r="BJ74" s="61"/>
      <c r="BK74" s="61"/>
      <c r="BL74" s="61"/>
      <c r="BM74" s="61"/>
      <c r="BN74" s="61"/>
      <c r="BO74" s="61"/>
      <c r="BP74" s="61"/>
      <c r="BQ74" s="61"/>
      <c r="BR74" s="62"/>
      <c r="BS74" s="62"/>
      <c r="BT74" s="62"/>
      <c r="BU74" s="62"/>
      <c r="BV74" s="62"/>
      <c r="BW74" s="62"/>
      <c r="BX74" s="62"/>
      <c r="BY74" s="62"/>
      <c r="BZ74" s="62"/>
      <c r="CA74" s="62"/>
      <c r="CB74" s="62"/>
      <c r="CC74" s="62"/>
      <c r="CD74" s="62"/>
      <c r="CE74" s="62"/>
      <c r="CF74" s="62"/>
      <c r="CG74" s="62"/>
      <c r="CH74" s="62"/>
      <c r="CI74" s="62"/>
      <c r="CJ74" s="62"/>
      <c r="CK74" s="61"/>
      <c r="CL74" s="61"/>
      <c r="CM74" s="61"/>
      <c r="CN74" s="61"/>
      <c r="CO74" s="61"/>
      <c r="CP74" s="61"/>
      <c r="CQ74" s="61"/>
      <c r="CR74" s="61"/>
      <c r="CS74" s="61"/>
      <c r="CT74" s="61"/>
      <c r="CU74" s="61"/>
    </row>
    <row r="75" s="543" customFormat="1" ht="16" customHeight="1" spans="1:99">
      <c r="A75" s="269" t="s">
        <v>442</v>
      </c>
      <c r="B75" s="261">
        <f>SUM(F17:F20)/2</f>
        <v>0</v>
      </c>
      <c r="C75" s="261" t="e">
        <f t="shared" si="111"/>
        <v>#DIV/0!</v>
      </c>
      <c r="D75" s="91"/>
      <c r="E75" s="328" t="s">
        <v>704</v>
      </c>
      <c r="F75" s="642">
        <f>B78</f>
        <v>0</v>
      </c>
      <c r="G75" s="307"/>
      <c r="H75" s="270" t="str">
        <f t="shared" si="112"/>
        <v>产品3</v>
      </c>
      <c r="I75" s="248">
        <f t="shared" si="112"/>
        <v>0</v>
      </c>
      <c r="J75" s="248">
        <f t="shared" si="112"/>
        <v>0</v>
      </c>
      <c r="K75" s="248">
        <f t="shared" si="112"/>
        <v>0</v>
      </c>
      <c r="L75" s="248">
        <f t="shared" si="112"/>
        <v>0</v>
      </c>
      <c r="M75" s="651" t="e">
        <f>INT((M70-初期!M25)/初始化表!$B$4)</f>
        <v>#DIV/0!</v>
      </c>
      <c r="N75" s="269" t="s">
        <v>208</v>
      </c>
      <c r="O75" s="649">
        <v>0</v>
      </c>
      <c r="P75" s="650"/>
      <c r="Q75" s="650"/>
      <c r="R75" s="650"/>
      <c r="S75" s="650"/>
      <c r="T75" s="613"/>
      <c r="U75" s="91"/>
      <c r="V75" s="91"/>
      <c r="W75" s="91"/>
      <c r="X75" s="91"/>
      <c r="Y75" s="91"/>
      <c r="Z75" s="91"/>
      <c r="AA75" s="307"/>
      <c r="AB75" s="91"/>
      <c r="AC75" s="91"/>
      <c r="AD75" s="91"/>
      <c r="AE75" s="91"/>
      <c r="AF75" s="91"/>
      <c r="AG75" s="91"/>
      <c r="AH75" s="307"/>
      <c r="AI75" s="630"/>
      <c r="AJ75" s="631"/>
      <c r="AK75" s="631"/>
      <c r="AL75" s="631"/>
      <c r="AM75" s="631"/>
      <c r="AN75" s="631"/>
      <c r="AO75" s="631"/>
      <c r="AP75" s="631"/>
      <c r="AQ75" s="631"/>
      <c r="AR75" s="631"/>
      <c r="AS75" s="631"/>
      <c r="AT75" s="631"/>
      <c r="AU75" s="631"/>
      <c r="AV75" s="631"/>
      <c r="AW75" s="631"/>
      <c r="AX75" s="631"/>
      <c r="AY75" s="631"/>
      <c r="AZ75" s="63"/>
      <c r="BA75" s="61"/>
      <c r="BB75" s="61"/>
      <c r="BC75" s="61"/>
      <c r="BD75" s="61"/>
      <c r="BE75" s="61"/>
      <c r="BF75" s="61"/>
      <c r="BG75" s="61"/>
      <c r="BH75" s="61"/>
      <c r="BI75" s="61"/>
      <c r="BJ75" s="61"/>
      <c r="BK75" s="61"/>
      <c r="BL75" s="61"/>
      <c r="BM75" s="61"/>
      <c r="BN75" s="61"/>
      <c r="BO75" s="61"/>
      <c r="BP75" s="61"/>
      <c r="BQ75" s="61"/>
      <c r="BR75" s="62"/>
      <c r="BS75" s="62"/>
      <c r="BT75" s="62"/>
      <c r="BU75" s="62"/>
      <c r="BV75" s="62"/>
      <c r="BW75" s="62"/>
      <c r="BX75" s="62"/>
      <c r="BY75" s="62"/>
      <c r="BZ75" s="62"/>
      <c r="CA75" s="62"/>
      <c r="CB75" s="62"/>
      <c r="CC75" s="62"/>
      <c r="CD75" s="62"/>
      <c r="CE75" s="62"/>
      <c r="CF75" s="62"/>
      <c r="CG75" s="62"/>
      <c r="CH75" s="62"/>
      <c r="CI75" s="62"/>
      <c r="CJ75" s="62"/>
      <c r="CK75" s="61"/>
      <c r="CL75" s="61"/>
      <c r="CM75" s="61"/>
      <c r="CN75" s="61"/>
      <c r="CO75" s="61"/>
      <c r="CP75" s="61"/>
      <c r="CQ75" s="61"/>
      <c r="CR75" s="61"/>
      <c r="CS75" s="61"/>
      <c r="CT75" s="61"/>
      <c r="CU75" s="61"/>
    </row>
    <row r="76" s="543" customFormat="1" ht="16" customHeight="1" spans="1:88">
      <c r="A76" s="269" t="s">
        <v>443</v>
      </c>
      <c r="B76" s="261" t="e">
        <f>O49*初始化表!B8</f>
        <v>#DIV/0!</v>
      </c>
      <c r="C76" s="261" t="e">
        <f t="shared" si="111"/>
        <v>#DIV/0!</v>
      </c>
      <c r="D76" s="91"/>
      <c r="E76" s="328" t="s">
        <v>467</v>
      </c>
      <c r="F76" s="642">
        <f>SUM(I6:I9,F17:F20)</f>
        <v>0</v>
      </c>
      <c r="G76" s="307"/>
      <c r="H76" s="270" t="str">
        <f t="shared" si="112"/>
        <v>产品4</v>
      </c>
      <c r="I76" s="248">
        <f t="shared" si="112"/>
        <v>0</v>
      </c>
      <c r="J76" s="248">
        <f t="shared" si="112"/>
        <v>0</v>
      </c>
      <c r="K76" s="248">
        <f t="shared" si="112"/>
        <v>0</v>
      </c>
      <c r="L76" s="248">
        <f t="shared" si="112"/>
        <v>0</v>
      </c>
      <c r="M76" s="651" t="e">
        <f>INT((M71-初期!M26)/初始化表!$B$4)</f>
        <v>#DIV/0!</v>
      </c>
      <c r="N76" s="91"/>
      <c r="O76" s="91"/>
      <c r="P76" s="91"/>
      <c r="Q76" s="91"/>
      <c r="R76" s="91"/>
      <c r="S76" s="91"/>
      <c r="T76" s="613"/>
      <c r="U76" s="91"/>
      <c r="V76" s="91"/>
      <c r="W76" s="91"/>
      <c r="X76" s="91"/>
      <c r="Y76" s="91"/>
      <c r="Z76" s="91"/>
      <c r="AA76" s="307"/>
      <c r="AB76" s="91"/>
      <c r="AC76" s="91"/>
      <c r="AD76" s="91"/>
      <c r="AE76" s="91"/>
      <c r="AF76" s="91"/>
      <c r="AG76" s="91"/>
      <c r="AH76" s="307"/>
      <c r="AI76" s="630"/>
      <c r="AJ76" s="631"/>
      <c r="AK76" s="631"/>
      <c r="AL76" s="631"/>
      <c r="AM76" s="631"/>
      <c r="AN76" s="631"/>
      <c r="AO76" s="631"/>
      <c r="AP76" s="631"/>
      <c r="AQ76" s="631"/>
      <c r="AR76" s="631"/>
      <c r="AS76" s="631"/>
      <c r="AT76" s="631"/>
      <c r="AU76" s="631"/>
      <c r="AV76" s="631"/>
      <c r="AW76" s="631"/>
      <c r="AX76" s="631"/>
      <c r="AY76" s="631"/>
      <c r="AZ76" s="425"/>
      <c r="BR76" s="265"/>
      <c r="BS76" s="265"/>
      <c r="BT76" s="265"/>
      <c r="BU76" s="265"/>
      <c r="BV76" s="265"/>
      <c r="BW76" s="265"/>
      <c r="BX76" s="265"/>
      <c r="BY76" s="265"/>
      <c r="BZ76" s="265"/>
      <c r="CA76" s="265"/>
      <c r="CB76" s="265"/>
      <c r="CC76" s="265"/>
      <c r="CD76" s="265"/>
      <c r="CE76" s="265"/>
      <c r="CF76" s="265"/>
      <c r="CG76" s="265"/>
      <c r="CH76" s="265"/>
      <c r="CI76" s="265"/>
      <c r="CJ76" s="265"/>
    </row>
    <row r="77" s="543" customFormat="1" ht="16" customHeight="1" spans="1:88">
      <c r="A77" s="269" t="s">
        <v>444</v>
      </c>
      <c r="B77" s="261">
        <f>初期!I15-C51</f>
        <v>0</v>
      </c>
      <c r="C77" s="261" t="e">
        <f>C76-B77</f>
        <v>#DIV/0!</v>
      </c>
      <c r="D77" s="91"/>
      <c r="E77" s="328" t="s">
        <v>255</v>
      </c>
      <c r="F77" s="643" t="e">
        <f>D56-E60</f>
        <v>#DIV/0!</v>
      </c>
      <c r="G77" s="307"/>
      <c r="H77" s="644"/>
      <c r="I77" s="644"/>
      <c r="J77" s="644"/>
      <c r="K77" s="644"/>
      <c r="L77" s="644"/>
      <c r="M77" s="644"/>
      <c r="N77" s="91"/>
      <c r="O77" s="616"/>
      <c r="P77" s="616"/>
      <c r="Q77" s="91"/>
      <c r="R77" s="616"/>
      <c r="S77" s="616"/>
      <c r="T77" s="616"/>
      <c r="U77" s="616"/>
      <c r="V77" s="91"/>
      <c r="W77" s="91"/>
      <c r="X77" s="91"/>
      <c r="Y77" s="91"/>
      <c r="Z77" s="91"/>
      <c r="AA77" s="307"/>
      <c r="AB77" s="91"/>
      <c r="AC77" s="91"/>
      <c r="AD77" s="91"/>
      <c r="AE77" s="91"/>
      <c r="AF77" s="91"/>
      <c r="AG77" s="91"/>
      <c r="AH77" s="307"/>
      <c r="AI77" s="630"/>
      <c r="AJ77" s="631"/>
      <c r="AK77" s="631"/>
      <c r="AL77" s="631"/>
      <c r="AM77" s="631"/>
      <c r="AN77" s="631"/>
      <c r="AO77" s="631"/>
      <c r="AP77" s="631"/>
      <c r="AQ77" s="631"/>
      <c r="AR77" s="631"/>
      <c r="AS77" s="631"/>
      <c r="AT77" s="631"/>
      <c r="AU77" s="631"/>
      <c r="AV77" s="631"/>
      <c r="AW77" s="631"/>
      <c r="AX77" s="631"/>
      <c r="AY77" s="631"/>
      <c r="AZ77" s="425"/>
      <c r="BR77" s="265"/>
      <c r="BS77" s="265"/>
      <c r="BT77" s="265"/>
      <c r="BU77" s="265"/>
      <c r="BV77" s="265"/>
      <c r="BX77" s="579"/>
      <c r="BY77" s="265"/>
      <c r="BZ77" s="265"/>
      <c r="CA77" s="265"/>
      <c r="CB77" s="265"/>
      <c r="CC77" s="265"/>
      <c r="CD77" s="265"/>
      <c r="CE77" s="265"/>
      <c r="CF77" s="265"/>
      <c r="CG77" s="265"/>
      <c r="CH77" s="265"/>
      <c r="CI77" s="265"/>
      <c r="CJ77" s="265"/>
    </row>
    <row r="78" s="543" customFormat="1" ht="16" customHeight="1" spans="1:88">
      <c r="A78" s="269" t="s">
        <v>310</v>
      </c>
      <c r="B78" s="582">
        <f>O35+C24+C31</f>
        <v>0</v>
      </c>
      <c r="C78" s="582" t="e">
        <f>C77-B78</f>
        <v>#DIV/0!</v>
      </c>
      <c r="D78" s="91"/>
      <c r="E78" s="328" t="s">
        <v>469</v>
      </c>
      <c r="F78" s="642" t="e">
        <f>-C61</f>
        <v>#DIV/0!</v>
      </c>
      <c r="G78" s="307"/>
      <c r="H78" s="644"/>
      <c r="I78" s="644"/>
      <c r="J78" s="644"/>
      <c r="K78" s="644"/>
      <c r="L78" s="644"/>
      <c r="M78" s="644"/>
      <c r="N78" s="652"/>
      <c r="O78" s="653"/>
      <c r="P78" s="653"/>
      <c r="Q78" s="652"/>
      <c r="R78" s="653"/>
      <c r="S78" s="616"/>
      <c r="T78" s="616"/>
      <c r="U78" s="616"/>
      <c r="V78" s="91"/>
      <c r="W78" s="91"/>
      <c r="X78" s="91"/>
      <c r="Y78" s="91"/>
      <c r="Z78" s="91"/>
      <c r="AA78" s="307"/>
      <c r="AB78" s="91"/>
      <c r="AC78" s="91"/>
      <c r="AD78" s="91"/>
      <c r="AE78" s="91"/>
      <c r="AF78" s="91"/>
      <c r="AG78" s="91"/>
      <c r="AH78" s="307"/>
      <c r="AI78" s="630"/>
      <c r="AJ78" s="631"/>
      <c r="AK78" s="631"/>
      <c r="AL78" s="631"/>
      <c r="AM78" s="631"/>
      <c r="AN78" s="631"/>
      <c r="AO78" s="631"/>
      <c r="AP78" s="631"/>
      <c r="AQ78" s="631"/>
      <c r="AR78" s="631"/>
      <c r="AS78" s="631"/>
      <c r="AT78" s="631"/>
      <c r="AU78" s="631"/>
      <c r="AV78" s="631"/>
      <c r="AW78" s="631"/>
      <c r="AX78" s="631"/>
      <c r="AY78" s="631"/>
      <c r="AZ78" s="425"/>
      <c r="BR78" s="265"/>
      <c r="BS78" s="265"/>
      <c r="BT78" s="265"/>
      <c r="BU78" s="265"/>
      <c r="BV78" s="265"/>
      <c r="BW78" s="265"/>
      <c r="BX78" s="265"/>
      <c r="BY78" s="265"/>
      <c r="BZ78" s="265"/>
      <c r="CA78" s="265"/>
      <c r="CB78" s="265"/>
      <c r="CC78" s="265"/>
      <c r="CD78" s="265"/>
      <c r="CE78" s="265"/>
      <c r="CF78" s="265"/>
      <c r="CG78" s="265"/>
      <c r="CH78" s="265"/>
      <c r="CI78" s="265"/>
      <c r="CJ78" s="265"/>
    </row>
    <row r="79" s="543" customFormat="1" ht="16" customHeight="1" spans="1:88">
      <c r="A79" s="269" t="s">
        <v>446</v>
      </c>
      <c r="B79" s="261">
        <f>-C62</f>
        <v>0</v>
      </c>
      <c r="C79" s="261" t="e">
        <f>C78+B79</f>
        <v>#DIV/0!</v>
      </c>
      <c r="D79" s="91"/>
      <c r="E79" s="328" t="s">
        <v>470</v>
      </c>
      <c r="F79" s="642" t="e">
        <f>初期!H36*(1+初始化表!B27/4)+F78</f>
        <v>#DIV/0!</v>
      </c>
      <c r="G79" s="307"/>
      <c r="H79" s="644"/>
      <c r="I79" s="644"/>
      <c r="J79" s="644"/>
      <c r="K79" s="644"/>
      <c r="L79" s="644"/>
      <c r="M79" s="644"/>
      <c r="N79" s="652"/>
      <c r="O79" s="654"/>
      <c r="P79" s="654"/>
      <c r="Q79" s="655"/>
      <c r="R79" s="655"/>
      <c r="S79" s="91"/>
      <c r="T79" s="91"/>
      <c r="U79" s="91"/>
      <c r="V79" s="91"/>
      <c r="W79" s="91"/>
      <c r="X79" s="91"/>
      <c r="Y79" s="91"/>
      <c r="Z79" s="91"/>
      <c r="AA79" s="307"/>
      <c r="AB79" s="91"/>
      <c r="AC79" s="91"/>
      <c r="AD79" s="91"/>
      <c r="AE79" s="91"/>
      <c r="AF79" s="91"/>
      <c r="AG79" s="91"/>
      <c r="AH79" s="307"/>
      <c r="AI79" s="630"/>
      <c r="AJ79" s="631"/>
      <c r="AK79" s="631"/>
      <c r="AL79" s="631"/>
      <c r="AM79" s="631"/>
      <c r="AN79" s="631"/>
      <c r="AO79" s="631"/>
      <c r="AP79" s="631"/>
      <c r="AQ79" s="631"/>
      <c r="AR79" s="631"/>
      <c r="AS79" s="631"/>
      <c r="AT79" s="631"/>
      <c r="AU79" s="631"/>
      <c r="AV79" s="631"/>
      <c r="AW79" s="631"/>
      <c r="AX79" s="631"/>
      <c r="AY79" s="631"/>
      <c r="AZ79" s="425"/>
      <c r="BR79" s="265"/>
      <c r="BS79" s="265"/>
      <c r="BT79" s="265"/>
      <c r="BU79" s="265"/>
      <c r="BV79" s="265"/>
      <c r="BW79" s="265"/>
      <c r="BX79" s="265"/>
      <c r="BY79" s="265"/>
      <c r="BZ79" s="265"/>
      <c r="CA79" s="265"/>
      <c r="CB79" s="265"/>
      <c r="CC79" s="265"/>
      <c r="CD79" s="265"/>
      <c r="CE79" s="265"/>
      <c r="CF79" s="265"/>
      <c r="CG79" s="265"/>
      <c r="CH79" s="265"/>
      <c r="CI79" s="265"/>
      <c r="CJ79" s="265"/>
    </row>
    <row r="80" s="543" customFormat="1" ht="16" customHeight="1" spans="1:88">
      <c r="A80" s="269" t="s">
        <v>705</v>
      </c>
      <c r="B80" s="261" t="e">
        <f>C79</f>
        <v>#DIV/0!</v>
      </c>
      <c r="C80" s="261"/>
      <c r="D80" s="91"/>
      <c r="E80" s="328" t="s">
        <v>471</v>
      </c>
      <c r="F80" s="642" t="e">
        <f>IF(F77&lt;0,F77*初始化表!B26+初期!H37,IF(F77*初始化表!B25&gt;-初期!H37,0,初期!H37+F77*初始化表!B25))</f>
        <v>#DIV/0!</v>
      </c>
      <c r="G80" s="307"/>
      <c r="H80" s="644"/>
      <c r="I80" s="644"/>
      <c r="J80" s="644"/>
      <c r="K80" s="644"/>
      <c r="L80" s="644"/>
      <c r="M80" s="644"/>
      <c r="N80" s="652"/>
      <c r="O80" s="654"/>
      <c r="P80" s="654"/>
      <c r="Q80" s="655"/>
      <c r="R80" s="655"/>
      <c r="S80" s="91"/>
      <c r="T80" s="91"/>
      <c r="U80" s="91"/>
      <c r="V80" s="91"/>
      <c r="W80" s="91"/>
      <c r="X80" s="91"/>
      <c r="Y80" s="91"/>
      <c r="Z80" s="91"/>
      <c r="AA80" s="307"/>
      <c r="AB80" s="91"/>
      <c r="AC80" s="91"/>
      <c r="AD80" s="91"/>
      <c r="AE80" s="91"/>
      <c r="AF80" s="91"/>
      <c r="AG80" s="91"/>
      <c r="AH80" s="307"/>
      <c r="AI80" s="630"/>
      <c r="AJ80" s="631"/>
      <c r="AK80" s="631"/>
      <c r="AL80" s="631"/>
      <c r="AM80" s="631"/>
      <c r="AN80" s="631"/>
      <c r="AO80" s="631"/>
      <c r="AP80" s="631"/>
      <c r="AQ80" s="631"/>
      <c r="AR80" s="631"/>
      <c r="AS80" s="631"/>
      <c r="AT80" s="631"/>
      <c r="AU80" s="631"/>
      <c r="AV80" s="631"/>
      <c r="AW80" s="631"/>
      <c r="AX80" s="631"/>
      <c r="AY80" s="631"/>
      <c r="AZ80" s="425"/>
      <c r="BR80" s="265"/>
      <c r="BS80" s="265"/>
      <c r="BT80" s="265"/>
      <c r="BU80" s="265"/>
      <c r="BV80" s="265"/>
      <c r="BW80" s="265"/>
      <c r="BX80" s="265"/>
      <c r="BY80" s="265"/>
      <c r="BZ80" s="265"/>
      <c r="CA80" s="265"/>
      <c r="CB80" s="265"/>
      <c r="CC80" s="265"/>
      <c r="CD80" s="265"/>
      <c r="CE80" s="265"/>
      <c r="CF80" s="265"/>
      <c r="CG80" s="265"/>
      <c r="CH80" s="265"/>
      <c r="CI80" s="265"/>
      <c r="CJ80" s="265"/>
    </row>
    <row r="81" s="543" customFormat="1" ht="16" customHeight="1" spans="1:88">
      <c r="A81" s="91"/>
      <c r="B81" s="91"/>
      <c r="C81" s="91"/>
      <c r="D81" s="91"/>
      <c r="E81" s="328" t="s">
        <v>264</v>
      </c>
      <c r="F81" s="642" t="e">
        <f>初期!H38*(1+初始化表!B27/4)+E24</f>
        <v>#DIV/0!</v>
      </c>
      <c r="G81" s="307"/>
      <c r="H81" s="644"/>
      <c r="I81" s="644"/>
      <c r="J81" s="644"/>
      <c r="K81" s="644"/>
      <c r="L81" s="644"/>
      <c r="M81" s="644"/>
      <c r="N81" s="652"/>
      <c r="O81" s="655"/>
      <c r="P81" s="655"/>
      <c r="Q81" s="655"/>
      <c r="R81" s="655"/>
      <c r="S81" s="91"/>
      <c r="T81" s="91"/>
      <c r="U81" s="91"/>
      <c r="V81" s="91"/>
      <c r="W81" s="91"/>
      <c r="X81" s="91"/>
      <c r="Y81" s="91"/>
      <c r="Z81" s="91"/>
      <c r="AA81" s="307"/>
      <c r="AB81" s="91"/>
      <c r="AC81" s="91"/>
      <c r="AD81" s="91"/>
      <c r="AE81" s="91"/>
      <c r="AF81" s="91"/>
      <c r="AG81" s="91"/>
      <c r="AH81" s="307"/>
      <c r="AI81" s="527" t="s">
        <v>706</v>
      </c>
      <c r="AJ81" s="248">
        <f>SUM(AJ61:AJ80)</f>
        <v>0</v>
      </c>
      <c r="AK81" s="248">
        <f t="shared" ref="AK81:AY81" si="113">SUM(AK61:AK80)</f>
        <v>0</v>
      </c>
      <c r="AL81" s="248">
        <f t="shared" si="113"/>
        <v>0</v>
      </c>
      <c r="AM81" s="248">
        <f t="shared" si="113"/>
        <v>0</v>
      </c>
      <c r="AN81" s="248">
        <f t="shared" si="113"/>
        <v>0</v>
      </c>
      <c r="AO81" s="248">
        <f t="shared" si="113"/>
        <v>0</v>
      </c>
      <c r="AP81" s="248">
        <f t="shared" si="113"/>
        <v>0</v>
      </c>
      <c r="AQ81" s="248">
        <f t="shared" si="113"/>
        <v>0</v>
      </c>
      <c r="AR81" s="248">
        <f t="shared" si="113"/>
        <v>0</v>
      </c>
      <c r="AS81" s="248">
        <f t="shared" si="113"/>
        <v>0</v>
      </c>
      <c r="AT81" s="248">
        <f t="shared" si="113"/>
        <v>0</v>
      </c>
      <c r="AU81" s="248">
        <f t="shared" si="113"/>
        <v>0</v>
      </c>
      <c r="AV81" s="248">
        <f t="shared" si="113"/>
        <v>0</v>
      </c>
      <c r="AW81" s="248">
        <f t="shared" si="113"/>
        <v>0</v>
      </c>
      <c r="AX81" s="248">
        <f t="shared" si="113"/>
        <v>0</v>
      </c>
      <c r="AY81" s="248">
        <f t="shared" si="113"/>
        <v>0</v>
      </c>
      <c r="AZ81" s="425"/>
      <c r="BR81" s="265"/>
      <c r="BS81" s="265"/>
      <c r="BT81" s="265"/>
      <c r="BU81" s="265"/>
      <c r="BV81" s="265"/>
      <c r="BW81" s="265"/>
      <c r="BX81" s="265"/>
      <c r="BY81" s="265"/>
      <c r="BZ81" s="265"/>
      <c r="CA81" s="265"/>
      <c r="CB81" s="265"/>
      <c r="CC81" s="265"/>
      <c r="CD81" s="265"/>
      <c r="CE81" s="265"/>
      <c r="CF81" s="265"/>
      <c r="CG81" s="265"/>
      <c r="CH81" s="265"/>
      <c r="CI81" s="265"/>
      <c r="CJ81" s="265"/>
    </row>
    <row r="82" s="543" customFormat="1" ht="16" customHeight="1" spans="1:88">
      <c r="A82" s="91"/>
      <c r="B82" s="91"/>
      <c r="C82" s="91"/>
      <c r="D82" s="91"/>
      <c r="E82" s="328" t="s">
        <v>268</v>
      </c>
      <c r="F82" s="642" t="e">
        <f>B80</f>
        <v>#DIV/0!</v>
      </c>
      <c r="G82" s="307"/>
      <c r="H82" s="91"/>
      <c r="I82" s="91"/>
      <c r="J82" s="91"/>
      <c r="K82" s="91"/>
      <c r="L82" s="91"/>
      <c r="M82" s="587"/>
      <c r="N82" s="652"/>
      <c r="O82" s="655"/>
      <c r="P82" s="655"/>
      <c r="Q82" s="655"/>
      <c r="R82" s="655"/>
      <c r="S82" s="91"/>
      <c r="T82" s="613"/>
      <c r="U82" s="91"/>
      <c r="V82" s="91"/>
      <c r="W82" s="91"/>
      <c r="X82" s="91"/>
      <c r="Y82" s="91"/>
      <c r="Z82" s="91"/>
      <c r="AA82" s="307"/>
      <c r="AB82" s="91"/>
      <c r="AC82" s="91"/>
      <c r="AD82" s="91"/>
      <c r="AE82" s="91"/>
      <c r="AF82" s="91"/>
      <c r="AG82" s="91"/>
      <c r="AH82" s="307"/>
      <c r="AI82" s="526" t="s">
        <v>488</v>
      </c>
      <c r="AJ82" s="527"/>
      <c r="AK82" s="527"/>
      <c r="AL82" s="527"/>
      <c r="AM82" s="527"/>
      <c r="AN82" s="527"/>
      <c r="AO82" s="527"/>
      <c r="AP82" s="527"/>
      <c r="AQ82" s="527"/>
      <c r="AR82" s="527"/>
      <c r="AS82" s="527"/>
      <c r="AT82" s="527"/>
      <c r="AU82" s="527"/>
      <c r="AV82" s="527"/>
      <c r="AZ82" s="425"/>
      <c r="BR82" s="265"/>
      <c r="BS82" s="265"/>
      <c r="BT82" s="265"/>
      <c r="BU82" s="265"/>
      <c r="BV82" s="265"/>
      <c r="BW82" s="265"/>
      <c r="BX82" s="265"/>
      <c r="BY82" s="265"/>
      <c r="BZ82" s="265"/>
      <c r="CA82" s="265"/>
      <c r="CB82" s="265"/>
      <c r="CC82" s="265"/>
      <c r="CD82" s="265"/>
      <c r="CE82" s="265"/>
      <c r="CF82" s="265"/>
      <c r="CG82" s="265"/>
      <c r="CH82" s="265"/>
      <c r="CI82" s="265"/>
      <c r="CJ82" s="265"/>
    </row>
    <row r="83" s="543" customFormat="1" ht="16" customHeight="1" spans="1:88">
      <c r="A83" s="91"/>
      <c r="B83" s="91"/>
      <c r="C83" s="91"/>
      <c r="D83" s="91"/>
      <c r="E83" s="328" t="s">
        <v>270</v>
      </c>
      <c r="F83" s="642" t="e">
        <f>IF(初始化表!B1=1,F77/(L17+K18),F77/L17)</f>
        <v>#DIV/0!</v>
      </c>
      <c r="G83" s="307"/>
      <c r="H83" s="91"/>
      <c r="I83" s="91"/>
      <c r="J83" s="91"/>
      <c r="K83" s="91"/>
      <c r="L83" s="91"/>
      <c r="M83" s="587"/>
      <c r="N83" s="91"/>
      <c r="O83" s="91"/>
      <c r="P83" s="91"/>
      <c r="Q83" s="91"/>
      <c r="R83" s="91"/>
      <c r="S83" s="91"/>
      <c r="T83" s="613"/>
      <c r="U83" s="91"/>
      <c r="V83" s="91"/>
      <c r="W83" s="91"/>
      <c r="X83" s="91"/>
      <c r="Y83" s="91"/>
      <c r="Z83" s="91"/>
      <c r="AA83" s="307"/>
      <c r="AB83" s="91"/>
      <c r="AC83" s="91"/>
      <c r="AD83" s="91"/>
      <c r="AE83" s="91"/>
      <c r="AF83" s="91"/>
      <c r="AG83" s="91"/>
      <c r="AH83" s="307"/>
      <c r="AI83" s="163" t="s">
        <v>37</v>
      </c>
      <c r="AJ83" s="69" t="s">
        <v>343</v>
      </c>
      <c r="AK83" s="69" t="s">
        <v>344</v>
      </c>
      <c r="AL83" s="69" t="s">
        <v>345</v>
      </c>
      <c r="AM83" s="69" t="s">
        <v>346</v>
      </c>
      <c r="AN83" s="69" t="s">
        <v>310</v>
      </c>
      <c r="AO83" s="69" t="s">
        <v>313</v>
      </c>
      <c r="AP83" s="69" t="s">
        <v>347</v>
      </c>
      <c r="AQ83" s="69" t="s">
        <v>264</v>
      </c>
      <c r="AR83" s="69" t="s">
        <v>268</v>
      </c>
      <c r="AS83" s="69" t="s">
        <v>270</v>
      </c>
      <c r="AT83" s="69" t="s">
        <v>272</v>
      </c>
      <c r="AU83" s="527" t="str">
        <f>IF(初始化表!$B1=1,"综合评分","")</f>
        <v/>
      </c>
      <c r="AV83" s="527" t="str">
        <f>IF(初始化表!$B1=1,"总评名次","")</f>
        <v/>
      </c>
      <c r="AX83" s="659"/>
      <c r="AZ83" s="425"/>
      <c r="BR83" s="265"/>
      <c r="BS83" s="265"/>
      <c r="BT83" s="265"/>
      <c r="BU83" s="265"/>
      <c r="BV83" s="265"/>
      <c r="BW83" s="265"/>
      <c r="BX83" s="265"/>
      <c r="BY83" s="265"/>
      <c r="BZ83" s="265"/>
      <c r="CA83" s="265"/>
      <c r="CB83" s="265"/>
      <c r="CC83" s="265"/>
      <c r="CD83" s="265"/>
      <c r="CE83" s="265"/>
      <c r="CF83" s="265"/>
      <c r="CG83" s="265"/>
      <c r="CH83" s="265"/>
      <c r="CI83" s="265"/>
      <c r="CJ83" s="265"/>
    </row>
    <row r="84" s="543" customFormat="1" ht="16" customHeight="1" spans="1:88">
      <c r="A84" s="91"/>
      <c r="B84" s="91"/>
      <c r="C84" s="91"/>
      <c r="D84" s="91"/>
      <c r="E84" s="328" t="s">
        <v>707</v>
      </c>
      <c r="F84" s="645" t="e">
        <f>F77/(F82+F75+C37)</f>
        <v>#DIV/0!</v>
      </c>
      <c r="G84" s="307"/>
      <c r="H84" s="91"/>
      <c r="I84" s="91"/>
      <c r="J84" s="91"/>
      <c r="K84" s="91"/>
      <c r="L84" s="91"/>
      <c r="M84" s="587"/>
      <c r="N84" s="91"/>
      <c r="O84" s="91"/>
      <c r="P84" s="91"/>
      <c r="Q84" s="91"/>
      <c r="R84" s="91"/>
      <c r="S84" s="91"/>
      <c r="T84" s="613"/>
      <c r="U84" s="91"/>
      <c r="V84" s="91"/>
      <c r="W84" s="91"/>
      <c r="X84" s="91"/>
      <c r="Y84" s="91"/>
      <c r="Z84" s="91"/>
      <c r="AA84" s="307"/>
      <c r="AB84" s="91"/>
      <c r="AC84" s="91"/>
      <c r="AD84" s="91"/>
      <c r="AE84" s="91"/>
      <c r="AF84" s="91"/>
      <c r="AG84" s="91"/>
      <c r="AH84" s="307"/>
      <c r="AI84" s="535"/>
      <c r="AJ84" s="529"/>
      <c r="AK84" s="529"/>
      <c r="AL84" s="529"/>
      <c r="AM84" s="529"/>
      <c r="AN84" s="529"/>
      <c r="AO84" s="529"/>
      <c r="AP84" s="529"/>
      <c r="AQ84" s="529"/>
      <c r="AR84" s="529"/>
      <c r="AS84" s="529"/>
      <c r="AT84" s="529"/>
      <c r="AU84" s="657"/>
      <c r="AV84" s="657"/>
      <c r="AZ84" s="425"/>
      <c r="BR84" s="265"/>
      <c r="BS84" s="265"/>
      <c r="BT84" s="265"/>
      <c r="BU84" s="265"/>
      <c r="BV84" s="265"/>
      <c r="BW84" s="265"/>
      <c r="BX84" s="265"/>
      <c r="BY84" s="265"/>
      <c r="BZ84" s="265"/>
      <c r="CA84" s="265"/>
      <c r="CB84" s="265"/>
      <c r="CC84" s="265"/>
      <c r="CD84" s="265"/>
      <c r="CE84" s="265"/>
      <c r="CF84" s="265"/>
      <c r="CG84" s="265"/>
      <c r="CH84" s="265"/>
      <c r="CI84" s="265"/>
      <c r="CJ84" s="265"/>
    </row>
    <row r="85" s="543" customFormat="1" ht="16" customHeight="1" spans="7:88">
      <c r="G85" s="425"/>
      <c r="M85" s="656"/>
      <c r="T85" s="580"/>
      <c r="AA85" s="425"/>
      <c r="AH85" s="425"/>
      <c r="AI85" s="535"/>
      <c r="AJ85" s="529"/>
      <c r="AK85" s="529"/>
      <c r="AL85" s="529"/>
      <c r="AM85" s="529"/>
      <c r="AN85" s="529"/>
      <c r="AO85" s="529"/>
      <c r="AP85" s="529"/>
      <c r="AQ85" s="529"/>
      <c r="AR85" s="529"/>
      <c r="AS85" s="529"/>
      <c r="AT85" s="529"/>
      <c r="AU85" s="657"/>
      <c r="AV85" s="657"/>
      <c r="AZ85" s="425"/>
      <c r="BR85" s="265"/>
      <c r="BS85" s="265"/>
      <c r="BT85" s="265"/>
      <c r="BU85" s="265"/>
      <c r="BV85" s="265"/>
      <c r="BW85" s="265"/>
      <c r="BX85" s="265"/>
      <c r="BY85" s="265"/>
      <c r="BZ85" s="265"/>
      <c r="CA85" s="265"/>
      <c r="CB85" s="265"/>
      <c r="CC85" s="265"/>
      <c r="CD85" s="265"/>
      <c r="CE85" s="265"/>
      <c r="CF85" s="265"/>
      <c r="CG85" s="265"/>
      <c r="CH85" s="265"/>
      <c r="CI85" s="265"/>
      <c r="CJ85" s="265"/>
    </row>
    <row r="86" s="543" customFormat="1" ht="16" customHeight="1" spans="7:88">
      <c r="G86" s="425"/>
      <c r="M86" s="656"/>
      <c r="T86" s="580"/>
      <c r="AA86" s="425"/>
      <c r="AH86" s="425"/>
      <c r="AI86" s="535"/>
      <c r="AJ86" s="529"/>
      <c r="AK86" s="529"/>
      <c r="AL86" s="529"/>
      <c r="AM86" s="529"/>
      <c r="AN86" s="529"/>
      <c r="AO86" s="529"/>
      <c r="AP86" s="529"/>
      <c r="AQ86" s="529"/>
      <c r="AR86" s="529"/>
      <c r="AS86" s="529"/>
      <c r="AT86" s="529"/>
      <c r="AU86" s="657"/>
      <c r="AV86" s="657"/>
      <c r="AZ86" s="425"/>
      <c r="BR86" s="265"/>
      <c r="BS86" s="265"/>
      <c r="BT86" s="265"/>
      <c r="BU86" s="265"/>
      <c r="BV86" s="265"/>
      <c r="BW86" s="265"/>
      <c r="BX86" s="265"/>
      <c r="BY86" s="265"/>
      <c r="BZ86" s="265"/>
      <c r="CA86" s="265"/>
      <c r="CB86" s="265"/>
      <c r="CC86" s="265"/>
      <c r="CD86" s="265"/>
      <c r="CE86" s="265"/>
      <c r="CF86" s="265"/>
      <c r="CG86" s="265"/>
      <c r="CH86" s="265"/>
      <c r="CI86" s="265"/>
      <c r="CJ86" s="265"/>
    </row>
    <row r="87" s="543" customFormat="1" ht="16" customHeight="1" spans="7:88">
      <c r="G87" s="425"/>
      <c r="M87" s="656"/>
      <c r="T87" s="580"/>
      <c r="AA87" s="425"/>
      <c r="AH87" s="425"/>
      <c r="AI87" s="535"/>
      <c r="AJ87" s="529"/>
      <c r="AK87" s="529"/>
      <c r="AL87" s="529"/>
      <c r="AM87" s="529"/>
      <c r="AN87" s="529"/>
      <c r="AO87" s="529"/>
      <c r="AP87" s="529"/>
      <c r="AQ87" s="529"/>
      <c r="AR87" s="529"/>
      <c r="AS87" s="529"/>
      <c r="AT87" s="529"/>
      <c r="AU87" s="657"/>
      <c r="AV87" s="657"/>
      <c r="AZ87" s="425"/>
      <c r="BR87" s="265"/>
      <c r="BS87" s="265"/>
      <c r="BT87" s="265"/>
      <c r="BU87" s="265"/>
      <c r="BV87" s="265"/>
      <c r="BW87" s="265"/>
      <c r="BX87" s="265"/>
      <c r="BY87" s="265"/>
      <c r="BZ87" s="265"/>
      <c r="CA87" s="265"/>
      <c r="CB87" s="265"/>
      <c r="CC87" s="265"/>
      <c r="CD87" s="265"/>
      <c r="CE87" s="265"/>
      <c r="CF87" s="265"/>
      <c r="CG87" s="265"/>
      <c r="CH87" s="265"/>
      <c r="CI87" s="265"/>
      <c r="CJ87" s="265"/>
    </row>
    <row r="88" s="543" customFormat="1" ht="16" customHeight="1" spans="7:88">
      <c r="G88" s="425"/>
      <c r="M88" s="656"/>
      <c r="T88" s="580"/>
      <c r="AA88" s="425"/>
      <c r="AH88" s="425"/>
      <c r="AI88" s="535"/>
      <c r="AJ88" s="529"/>
      <c r="AK88" s="529"/>
      <c r="AL88" s="529"/>
      <c r="AM88" s="529"/>
      <c r="AN88" s="529"/>
      <c r="AO88" s="529"/>
      <c r="AP88" s="529"/>
      <c r="AQ88" s="529"/>
      <c r="AR88" s="529"/>
      <c r="AS88" s="529"/>
      <c r="AT88" s="529"/>
      <c r="AU88" s="657"/>
      <c r="AV88" s="657"/>
      <c r="AZ88" s="425"/>
      <c r="BR88" s="265"/>
      <c r="BS88" s="265"/>
      <c r="BT88" s="265"/>
      <c r="BU88" s="265"/>
      <c r="BV88" s="265"/>
      <c r="BW88" s="265"/>
      <c r="BX88" s="265"/>
      <c r="BY88" s="265"/>
      <c r="BZ88" s="265"/>
      <c r="CA88" s="265"/>
      <c r="CB88" s="265"/>
      <c r="CC88" s="265"/>
      <c r="CD88" s="265"/>
      <c r="CE88" s="265"/>
      <c r="CF88" s="265"/>
      <c r="CG88" s="265"/>
      <c r="CH88" s="265"/>
      <c r="CI88" s="265"/>
      <c r="CJ88" s="265"/>
    </row>
    <row r="89" s="543" customFormat="1" ht="16" customHeight="1" spans="7:88">
      <c r="G89" s="425"/>
      <c r="M89" s="656"/>
      <c r="T89" s="580"/>
      <c r="AA89" s="425"/>
      <c r="AH89" s="425"/>
      <c r="AI89" s="535"/>
      <c r="AJ89" s="529"/>
      <c r="AK89" s="529"/>
      <c r="AL89" s="529"/>
      <c r="AM89" s="529"/>
      <c r="AN89" s="529"/>
      <c r="AO89" s="529"/>
      <c r="AP89" s="529"/>
      <c r="AQ89" s="529"/>
      <c r="AR89" s="529"/>
      <c r="AS89" s="529"/>
      <c r="AT89" s="529"/>
      <c r="AU89" s="657"/>
      <c r="AV89" s="657"/>
      <c r="AZ89" s="425"/>
      <c r="BR89" s="265"/>
      <c r="BS89" s="265"/>
      <c r="BT89" s="265"/>
      <c r="BU89" s="265"/>
      <c r="BV89" s="265"/>
      <c r="BW89" s="265"/>
      <c r="BX89" s="265"/>
      <c r="BY89" s="265"/>
      <c r="BZ89" s="265"/>
      <c r="CA89" s="265"/>
      <c r="CB89" s="265"/>
      <c r="CC89" s="265"/>
      <c r="CD89" s="265"/>
      <c r="CE89" s="265"/>
      <c r="CF89" s="265"/>
      <c r="CG89" s="265"/>
      <c r="CH89" s="265"/>
      <c r="CI89" s="265"/>
      <c r="CJ89" s="265"/>
    </row>
    <row r="90" s="543" customFormat="1" ht="16" customHeight="1" spans="7:88">
      <c r="G90" s="425"/>
      <c r="M90" s="656"/>
      <c r="T90" s="580"/>
      <c r="AA90" s="425"/>
      <c r="AH90" s="425"/>
      <c r="AI90" s="535"/>
      <c r="AJ90" s="529"/>
      <c r="AK90" s="529"/>
      <c r="AL90" s="529"/>
      <c r="AM90" s="529"/>
      <c r="AN90" s="529"/>
      <c r="AO90" s="529"/>
      <c r="AP90" s="529"/>
      <c r="AQ90" s="529"/>
      <c r="AR90" s="529"/>
      <c r="AS90" s="529"/>
      <c r="AT90" s="529"/>
      <c r="AU90" s="657"/>
      <c r="AV90" s="657"/>
      <c r="AZ90" s="425"/>
      <c r="BR90" s="265"/>
      <c r="BS90" s="265"/>
      <c r="BT90" s="265"/>
      <c r="BU90" s="265"/>
      <c r="BV90" s="265"/>
      <c r="BW90" s="265"/>
      <c r="BX90" s="265"/>
      <c r="BY90" s="265"/>
      <c r="BZ90" s="265"/>
      <c r="CA90" s="265"/>
      <c r="CB90" s="265"/>
      <c r="CC90" s="265"/>
      <c r="CD90" s="265"/>
      <c r="CE90" s="265"/>
      <c r="CF90" s="265"/>
      <c r="CG90" s="265"/>
      <c r="CH90" s="265"/>
      <c r="CI90" s="265"/>
      <c r="CJ90" s="265"/>
    </row>
    <row r="91" s="543" customFormat="1" ht="16" customHeight="1" spans="7:88">
      <c r="G91" s="425"/>
      <c r="M91" s="656"/>
      <c r="T91" s="580"/>
      <c r="AA91" s="425"/>
      <c r="AH91" s="425"/>
      <c r="AI91" s="535"/>
      <c r="AJ91" s="529"/>
      <c r="AK91" s="529"/>
      <c r="AL91" s="529"/>
      <c r="AM91" s="529"/>
      <c r="AN91" s="529"/>
      <c r="AO91" s="529"/>
      <c r="AP91" s="529"/>
      <c r="AQ91" s="529"/>
      <c r="AR91" s="529"/>
      <c r="AS91" s="529"/>
      <c r="AT91" s="529"/>
      <c r="AU91" s="657"/>
      <c r="AV91" s="657"/>
      <c r="AZ91" s="425"/>
      <c r="BR91" s="265"/>
      <c r="BS91" s="265"/>
      <c r="BT91" s="265"/>
      <c r="BU91" s="265"/>
      <c r="BV91" s="265"/>
      <c r="BW91" s="265"/>
      <c r="BX91" s="265"/>
      <c r="BY91" s="265"/>
      <c r="BZ91" s="265"/>
      <c r="CA91" s="265"/>
      <c r="CB91" s="265"/>
      <c r="CC91" s="265"/>
      <c r="CD91" s="265"/>
      <c r="CE91" s="265"/>
      <c r="CF91" s="265"/>
      <c r="CG91" s="265"/>
      <c r="CH91" s="265"/>
      <c r="CI91" s="265"/>
      <c r="CJ91" s="265"/>
    </row>
    <row r="92" s="543" customFormat="1" ht="16" customHeight="1" spans="7:88">
      <c r="G92" s="425"/>
      <c r="M92" s="656"/>
      <c r="T92" s="580"/>
      <c r="AA92" s="425"/>
      <c r="AH92" s="425"/>
      <c r="AI92" s="535"/>
      <c r="AJ92" s="529"/>
      <c r="AK92" s="529"/>
      <c r="AL92" s="529"/>
      <c r="AM92" s="529"/>
      <c r="AN92" s="529"/>
      <c r="AO92" s="529"/>
      <c r="AP92" s="529"/>
      <c r="AQ92" s="529"/>
      <c r="AR92" s="529"/>
      <c r="AS92" s="529"/>
      <c r="AT92" s="529"/>
      <c r="AU92" s="657"/>
      <c r="AV92" s="657"/>
      <c r="AZ92" s="425"/>
      <c r="BR92" s="265"/>
      <c r="BS92" s="265"/>
      <c r="BT92" s="265"/>
      <c r="BU92" s="265"/>
      <c r="BV92" s="265"/>
      <c r="BW92" s="265"/>
      <c r="BX92" s="265"/>
      <c r="BY92" s="265"/>
      <c r="BZ92" s="265"/>
      <c r="CA92" s="265"/>
      <c r="CB92" s="265"/>
      <c r="CC92" s="265"/>
      <c r="CD92" s="265"/>
      <c r="CE92" s="265"/>
      <c r="CF92" s="265"/>
      <c r="CG92" s="265"/>
      <c r="CH92" s="265"/>
      <c r="CI92" s="265"/>
      <c r="CJ92" s="265"/>
    </row>
    <row r="93" s="543" customFormat="1" ht="16" customHeight="1" spans="7:88">
      <c r="G93" s="425"/>
      <c r="M93" s="656"/>
      <c r="T93" s="580"/>
      <c r="AA93" s="425"/>
      <c r="AH93" s="425"/>
      <c r="AI93" s="535"/>
      <c r="AJ93" s="529"/>
      <c r="AK93" s="529"/>
      <c r="AL93" s="529"/>
      <c r="AM93" s="529"/>
      <c r="AN93" s="529"/>
      <c r="AO93" s="529"/>
      <c r="AP93" s="529"/>
      <c r="AQ93" s="529"/>
      <c r="AR93" s="529"/>
      <c r="AS93" s="529"/>
      <c r="AT93" s="529"/>
      <c r="AU93" s="657"/>
      <c r="AV93" s="657"/>
      <c r="AZ93" s="425"/>
      <c r="BR93" s="265"/>
      <c r="BS93" s="265"/>
      <c r="BT93" s="265"/>
      <c r="BU93" s="265"/>
      <c r="BV93" s="265"/>
      <c r="BW93" s="265"/>
      <c r="BX93" s="265"/>
      <c r="BY93" s="265"/>
      <c r="BZ93" s="265"/>
      <c r="CA93" s="265"/>
      <c r="CB93" s="265"/>
      <c r="CC93" s="265"/>
      <c r="CD93" s="265"/>
      <c r="CE93" s="265"/>
      <c r="CF93" s="265"/>
      <c r="CG93" s="265"/>
      <c r="CH93" s="265"/>
      <c r="CI93" s="265"/>
      <c r="CJ93" s="265"/>
    </row>
    <row r="94" s="543" customFormat="1" ht="16" customHeight="1" spans="7:88">
      <c r="G94" s="425"/>
      <c r="M94" s="656"/>
      <c r="T94" s="580"/>
      <c r="AA94" s="425"/>
      <c r="AH94" s="425"/>
      <c r="AI94" s="535"/>
      <c r="AJ94" s="529"/>
      <c r="AK94" s="529"/>
      <c r="AL94" s="529"/>
      <c r="AM94" s="529"/>
      <c r="AN94" s="529"/>
      <c r="AO94" s="529"/>
      <c r="AP94" s="529"/>
      <c r="AQ94" s="529"/>
      <c r="AR94" s="529"/>
      <c r="AS94" s="529"/>
      <c r="AT94" s="529"/>
      <c r="AU94" s="657"/>
      <c r="AV94" s="657"/>
      <c r="AZ94" s="425"/>
      <c r="BR94" s="265"/>
      <c r="BS94" s="265"/>
      <c r="BT94" s="265"/>
      <c r="BU94" s="265"/>
      <c r="BV94" s="265"/>
      <c r="BW94" s="265"/>
      <c r="BX94" s="265"/>
      <c r="BY94" s="265"/>
      <c r="BZ94" s="265"/>
      <c r="CA94" s="265"/>
      <c r="CB94" s="265"/>
      <c r="CC94" s="265"/>
      <c r="CD94" s="265"/>
      <c r="CE94" s="265"/>
      <c r="CF94" s="265"/>
      <c r="CG94" s="265"/>
      <c r="CH94" s="265"/>
      <c r="CI94" s="265"/>
      <c r="CJ94" s="265"/>
    </row>
    <row r="95" s="543" customFormat="1" ht="16" customHeight="1" spans="7:88">
      <c r="G95" s="425"/>
      <c r="M95" s="656"/>
      <c r="T95" s="580"/>
      <c r="AA95" s="425"/>
      <c r="AH95" s="425"/>
      <c r="AI95" s="535"/>
      <c r="AJ95" s="529"/>
      <c r="AK95" s="529"/>
      <c r="AL95" s="529"/>
      <c r="AM95" s="529"/>
      <c r="AN95" s="529"/>
      <c r="AO95" s="529"/>
      <c r="AP95" s="529"/>
      <c r="AQ95" s="529"/>
      <c r="AR95" s="529"/>
      <c r="AS95" s="529"/>
      <c r="AT95" s="529"/>
      <c r="AU95" s="657"/>
      <c r="AV95" s="657"/>
      <c r="AZ95" s="425"/>
      <c r="BR95" s="265"/>
      <c r="BS95" s="265"/>
      <c r="BT95" s="265"/>
      <c r="BU95" s="265"/>
      <c r="BV95" s="265"/>
      <c r="BW95" s="265"/>
      <c r="BX95" s="265"/>
      <c r="BY95" s="265"/>
      <c r="BZ95" s="265"/>
      <c r="CA95" s="265"/>
      <c r="CB95" s="265"/>
      <c r="CC95" s="265"/>
      <c r="CD95" s="265"/>
      <c r="CE95" s="265"/>
      <c r="CF95" s="265"/>
      <c r="CG95" s="265"/>
      <c r="CH95" s="265"/>
      <c r="CI95" s="265"/>
      <c r="CJ95" s="265"/>
    </row>
    <row r="96" s="543" customFormat="1" ht="16" customHeight="1" spans="7:88">
      <c r="G96" s="425"/>
      <c r="M96" s="656"/>
      <c r="T96" s="580"/>
      <c r="AA96" s="425"/>
      <c r="AH96" s="425"/>
      <c r="AI96" s="535"/>
      <c r="AJ96" s="529"/>
      <c r="AK96" s="529"/>
      <c r="AL96" s="529"/>
      <c r="AM96" s="529"/>
      <c r="AN96" s="529"/>
      <c r="AO96" s="529"/>
      <c r="AP96" s="529"/>
      <c r="AQ96" s="529"/>
      <c r="AR96" s="529"/>
      <c r="AS96" s="529"/>
      <c r="AT96" s="529"/>
      <c r="AU96" s="657"/>
      <c r="AV96" s="657"/>
      <c r="AZ96" s="425"/>
      <c r="BR96" s="265"/>
      <c r="BS96" s="265"/>
      <c r="BT96" s="265"/>
      <c r="BU96" s="265"/>
      <c r="BV96" s="265"/>
      <c r="BW96" s="265"/>
      <c r="BX96" s="265"/>
      <c r="BY96" s="265"/>
      <c r="BZ96" s="265"/>
      <c r="CA96" s="265"/>
      <c r="CB96" s="265"/>
      <c r="CC96" s="265"/>
      <c r="CD96" s="265"/>
      <c r="CE96" s="265"/>
      <c r="CF96" s="265"/>
      <c r="CG96" s="265"/>
      <c r="CH96" s="265"/>
      <c r="CI96" s="265"/>
      <c r="CJ96" s="265"/>
    </row>
    <row r="97" s="543" customFormat="1" ht="16" customHeight="1" spans="7:88">
      <c r="G97" s="425"/>
      <c r="M97" s="656"/>
      <c r="T97" s="580"/>
      <c r="AA97" s="425"/>
      <c r="AH97" s="425"/>
      <c r="AI97" s="535"/>
      <c r="AJ97" s="529"/>
      <c r="AK97" s="529"/>
      <c r="AL97" s="529"/>
      <c r="AM97" s="529"/>
      <c r="AN97" s="529"/>
      <c r="AO97" s="529"/>
      <c r="AP97" s="529"/>
      <c r="AQ97" s="529"/>
      <c r="AR97" s="529"/>
      <c r="AS97" s="529"/>
      <c r="AT97" s="529"/>
      <c r="AU97" s="657"/>
      <c r="AV97" s="657"/>
      <c r="AZ97" s="425"/>
      <c r="BR97" s="265"/>
      <c r="BS97" s="265"/>
      <c r="BT97" s="265"/>
      <c r="BU97" s="265"/>
      <c r="BV97" s="265"/>
      <c r="BW97" s="265"/>
      <c r="BX97" s="265"/>
      <c r="BY97" s="265"/>
      <c r="BZ97" s="265"/>
      <c r="CA97" s="265"/>
      <c r="CB97" s="265"/>
      <c r="CC97" s="265"/>
      <c r="CD97" s="265"/>
      <c r="CE97" s="265"/>
      <c r="CF97" s="265"/>
      <c r="CG97" s="265"/>
      <c r="CH97" s="265"/>
      <c r="CI97" s="265"/>
      <c r="CJ97" s="265"/>
    </row>
    <row r="98" s="543" customFormat="1" ht="16" customHeight="1" spans="7:88">
      <c r="G98" s="425"/>
      <c r="M98" s="656"/>
      <c r="T98" s="580"/>
      <c r="AA98" s="425"/>
      <c r="AH98" s="425"/>
      <c r="AI98" s="535"/>
      <c r="AJ98" s="529"/>
      <c r="AK98" s="529"/>
      <c r="AL98" s="529"/>
      <c r="AM98" s="529"/>
      <c r="AN98" s="529"/>
      <c r="AO98" s="529"/>
      <c r="AP98" s="529"/>
      <c r="AQ98" s="529"/>
      <c r="AR98" s="529"/>
      <c r="AS98" s="529"/>
      <c r="AT98" s="529"/>
      <c r="AU98" s="657"/>
      <c r="AV98" s="657"/>
      <c r="AZ98" s="425"/>
      <c r="BR98" s="265"/>
      <c r="BS98" s="265"/>
      <c r="BT98" s="265"/>
      <c r="BU98" s="265"/>
      <c r="BV98" s="265"/>
      <c r="BW98" s="265"/>
      <c r="BX98" s="265"/>
      <c r="BY98" s="265"/>
      <c r="BZ98" s="265"/>
      <c r="CA98" s="265"/>
      <c r="CB98" s="265"/>
      <c r="CC98" s="265"/>
      <c r="CD98" s="265"/>
      <c r="CE98" s="265"/>
      <c r="CF98" s="265"/>
      <c r="CG98" s="265"/>
      <c r="CH98" s="265"/>
      <c r="CI98" s="265"/>
      <c r="CJ98" s="265"/>
    </row>
    <row r="99" s="543" customFormat="1" ht="16" customHeight="1" spans="7:88">
      <c r="G99" s="425"/>
      <c r="M99" s="656"/>
      <c r="T99" s="580"/>
      <c r="AA99" s="425"/>
      <c r="AH99" s="425"/>
      <c r="AI99" s="535"/>
      <c r="AJ99" s="529"/>
      <c r="AK99" s="529"/>
      <c r="AL99" s="529"/>
      <c r="AM99" s="529"/>
      <c r="AN99" s="529"/>
      <c r="AO99" s="529"/>
      <c r="AP99" s="529"/>
      <c r="AQ99" s="529"/>
      <c r="AR99" s="529"/>
      <c r="AS99" s="529"/>
      <c r="AT99" s="529"/>
      <c r="AU99" s="657"/>
      <c r="AV99" s="657"/>
      <c r="AZ99" s="425"/>
      <c r="BR99" s="265"/>
      <c r="BS99" s="265"/>
      <c r="BT99" s="265"/>
      <c r="BU99" s="265"/>
      <c r="BV99" s="265"/>
      <c r="BW99" s="265"/>
      <c r="BX99" s="265"/>
      <c r="BY99" s="265"/>
      <c r="BZ99" s="265"/>
      <c r="CA99" s="265"/>
      <c r="CB99" s="265"/>
      <c r="CC99" s="265"/>
      <c r="CD99" s="265"/>
      <c r="CE99" s="265"/>
      <c r="CF99" s="265"/>
      <c r="CG99" s="265"/>
      <c r="CH99" s="265"/>
      <c r="CI99" s="265"/>
      <c r="CJ99" s="265"/>
    </row>
    <row r="100" s="543" customFormat="1" ht="16" customHeight="1" spans="7:88">
      <c r="G100" s="425"/>
      <c r="M100" s="656"/>
      <c r="T100" s="580"/>
      <c r="AA100" s="425"/>
      <c r="AH100" s="425"/>
      <c r="AI100" s="535"/>
      <c r="AJ100" s="529"/>
      <c r="AK100" s="529"/>
      <c r="AL100" s="529"/>
      <c r="AM100" s="529"/>
      <c r="AN100" s="529"/>
      <c r="AO100" s="529"/>
      <c r="AP100" s="529"/>
      <c r="AQ100" s="529"/>
      <c r="AR100" s="529"/>
      <c r="AS100" s="529"/>
      <c r="AT100" s="529"/>
      <c r="AU100" s="657"/>
      <c r="AV100" s="657"/>
      <c r="AZ100" s="425"/>
      <c r="BR100" s="265"/>
      <c r="BS100" s="265"/>
      <c r="BT100" s="265"/>
      <c r="BU100" s="265"/>
      <c r="BV100" s="265"/>
      <c r="BW100" s="265"/>
      <c r="BX100" s="265"/>
      <c r="BY100" s="265"/>
      <c r="BZ100" s="265"/>
      <c r="CA100" s="265"/>
      <c r="CB100" s="265"/>
      <c r="CC100" s="265"/>
      <c r="CD100" s="265"/>
      <c r="CE100" s="265"/>
      <c r="CF100" s="265"/>
      <c r="CG100" s="265"/>
      <c r="CH100" s="265"/>
      <c r="CI100" s="265"/>
      <c r="CJ100" s="265"/>
    </row>
    <row r="101" s="543" customFormat="1" ht="16" customHeight="1" spans="7:88">
      <c r="G101" s="425"/>
      <c r="M101" s="656"/>
      <c r="T101" s="580"/>
      <c r="AA101" s="425"/>
      <c r="AH101" s="425"/>
      <c r="AI101" s="535"/>
      <c r="AJ101" s="529"/>
      <c r="AK101" s="529"/>
      <c r="AL101" s="529"/>
      <c r="AM101" s="529"/>
      <c r="AN101" s="529"/>
      <c r="AO101" s="529"/>
      <c r="AP101" s="529"/>
      <c r="AQ101" s="529"/>
      <c r="AR101" s="529"/>
      <c r="AS101" s="529"/>
      <c r="AT101" s="529"/>
      <c r="AU101" s="657"/>
      <c r="AV101" s="657"/>
      <c r="AZ101" s="425"/>
      <c r="BR101" s="265"/>
      <c r="BS101" s="265"/>
      <c r="BT101" s="265"/>
      <c r="BU101" s="265"/>
      <c r="BV101" s="265"/>
      <c r="BW101" s="265"/>
      <c r="BX101" s="265"/>
      <c r="BY101" s="265"/>
      <c r="BZ101" s="265"/>
      <c r="CA101" s="265"/>
      <c r="CB101" s="265"/>
      <c r="CC101" s="265"/>
      <c r="CD101" s="265"/>
      <c r="CE101" s="265"/>
      <c r="CF101" s="265"/>
      <c r="CG101" s="265"/>
      <c r="CH101" s="265"/>
      <c r="CI101" s="265"/>
      <c r="CJ101" s="265"/>
    </row>
    <row r="102" s="543" customFormat="1" ht="16" customHeight="1" spans="7:88">
      <c r="G102" s="425"/>
      <c r="M102" s="656"/>
      <c r="T102" s="580"/>
      <c r="AA102" s="425"/>
      <c r="AH102" s="425"/>
      <c r="AI102" s="535"/>
      <c r="AJ102" s="529"/>
      <c r="AK102" s="529"/>
      <c r="AL102" s="529"/>
      <c r="AM102" s="529"/>
      <c r="AN102" s="529"/>
      <c r="AO102" s="529"/>
      <c r="AP102" s="529"/>
      <c r="AQ102" s="529"/>
      <c r="AR102" s="529"/>
      <c r="AS102" s="529"/>
      <c r="AT102" s="529"/>
      <c r="AU102" s="657"/>
      <c r="AV102" s="657"/>
      <c r="AZ102" s="425"/>
      <c r="BR102" s="265"/>
      <c r="BS102" s="265"/>
      <c r="BT102" s="265"/>
      <c r="BU102" s="265"/>
      <c r="BV102" s="265"/>
      <c r="BW102" s="265"/>
      <c r="BX102" s="265"/>
      <c r="BY102" s="265"/>
      <c r="BZ102" s="265"/>
      <c r="CA102" s="265"/>
      <c r="CB102" s="265"/>
      <c r="CC102" s="265"/>
      <c r="CD102" s="265"/>
      <c r="CE102" s="265"/>
      <c r="CF102" s="265"/>
      <c r="CG102" s="265"/>
      <c r="CH102" s="265"/>
      <c r="CI102" s="265"/>
      <c r="CJ102" s="265"/>
    </row>
    <row r="103" s="543" customFormat="1" ht="16" customHeight="1" spans="7:88">
      <c r="G103" s="425"/>
      <c r="M103" s="656"/>
      <c r="T103" s="580"/>
      <c r="AA103" s="425"/>
      <c r="AH103" s="425"/>
      <c r="AI103" s="535"/>
      <c r="AJ103" s="529"/>
      <c r="AK103" s="529"/>
      <c r="AL103" s="529"/>
      <c r="AM103" s="529"/>
      <c r="AN103" s="529"/>
      <c r="AO103" s="529"/>
      <c r="AP103" s="529"/>
      <c r="AQ103" s="529"/>
      <c r="AR103" s="529"/>
      <c r="AS103" s="529"/>
      <c r="AT103" s="529"/>
      <c r="AU103" s="657"/>
      <c r="AV103" s="657"/>
      <c r="AZ103" s="425"/>
      <c r="BR103" s="265"/>
      <c r="BS103" s="265"/>
      <c r="BT103" s="265"/>
      <c r="BU103" s="265"/>
      <c r="BV103" s="265"/>
      <c r="BW103" s="265"/>
      <c r="BX103" s="265"/>
      <c r="BY103" s="265"/>
      <c r="BZ103" s="265"/>
      <c r="CA103" s="265"/>
      <c r="CB103" s="265"/>
      <c r="CC103" s="265"/>
      <c r="CD103" s="265"/>
      <c r="CE103" s="265"/>
      <c r="CF103" s="265"/>
      <c r="CG103" s="265"/>
      <c r="CH103" s="265"/>
      <c r="CI103" s="265"/>
      <c r="CJ103" s="265"/>
    </row>
    <row r="104" s="543" customFormat="1" ht="16" customHeight="1" spans="7:88">
      <c r="G104" s="425"/>
      <c r="M104" s="656"/>
      <c r="T104" s="580"/>
      <c r="AA104" s="425"/>
      <c r="AH104" s="425"/>
      <c r="AI104" s="61"/>
      <c r="AJ104" s="61"/>
      <c r="AK104" s="61"/>
      <c r="AL104" s="61"/>
      <c r="AM104" s="61"/>
      <c r="AN104" s="61"/>
      <c r="AO104" s="61"/>
      <c r="AP104" s="61"/>
      <c r="AQ104" s="61"/>
      <c r="AR104" s="61"/>
      <c r="AS104" s="61"/>
      <c r="AT104" s="61"/>
      <c r="AU104" s="61"/>
      <c r="AV104" s="61"/>
      <c r="AZ104" s="425"/>
      <c r="BR104" s="265"/>
      <c r="BS104" s="265"/>
      <c r="BT104" s="265"/>
      <c r="BU104" s="265"/>
      <c r="BV104" s="265"/>
      <c r="BW104" s="265"/>
      <c r="BX104" s="265"/>
      <c r="BY104" s="265"/>
      <c r="BZ104" s="265"/>
      <c r="CA104" s="265"/>
      <c r="CB104" s="265"/>
      <c r="CC104" s="265"/>
      <c r="CD104" s="265"/>
      <c r="CE104" s="265"/>
      <c r="CF104" s="265"/>
      <c r="CG104" s="265"/>
      <c r="CH104" s="265"/>
      <c r="CI104" s="265"/>
      <c r="CJ104" s="265"/>
    </row>
    <row r="105" s="543" customFormat="1" ht="16" customHeight="1" spans="7:88">
      <c r="G105" s="425"/>
      <c r="M105" s="656"/>
      <c r="T105" s="580"/>
      <c r="AA105" s="425"/>
      <c r="AH105" s="425"/>
      <c r="AI105" s="61"/>
      <c r="AJ105" s="61"/>
      <c r="AK105" s="61"/>
      <c r="AL105" s="61"/>
      <c r="AM105" s="61"/>
      <c r="AN105" s="61"/>
      <c r="AO105" s="61"/>
      <c r="AP105" s="61"/>
      <c r="AQ105" s="61"/>
      <c r="AR105" s="61"/>
      <c r="AS105" s="61"/>
      <c r="AT105" s="61"/>
      <c r="AU105" s="61"/>
      <c r="AV105" s="61"/>
      <c r="AZ105" s="425"/>
      <c r="BR105" s="265"/>
      <c r="BS105" s="265"/>
      <c r="BT105" s="265"/>
      <c r="BU105" s="265"/>
      <c r="BV105" s="265"/>
      <c r="BW105" s="265"/>
      <c r="BX105" s="265"/>
      <c r="BY105" s="265"/>
      <c r="BZ105" s="265"/>
      <c r="CA105" s="265"/>
      <c r="CB105" s="265"/>
      <c r="CC105" s="265"/>
      <c r="CD105" s="265"/>
      <c r="CE105" s="265"/>
      <c r="CF105" s="265"/>
      <c r="CG105" s="265"/>
      <c r="CH105" s="265"/>
      <c r="CI105" s="265"/>
      <c r="CJ105" s="265"/>
    </row>
    <row r="106" s="543" customFormat="1" ht="16" customHeight="1" spans="7:88">
      <c r="G106" s="425"/>
      <c r="M106" s="656"/>
      <c r="T106" s="580"/>
      <c r="AA106" s="425"/>
      <c r="AH106" s="425"/>
      <c r="AI106" s="68" t="s">
        <v>37</v>
      </c>
      <c r="AJ106" s="68" t="s">
        <v>348</v>
      </c>
      <c r="AK106" s="68" t="s">
        <v>349</v>
      </c>
      <c r="AL106" s="68" t="s">
        <v>350</v>
      </c>
      <c r="AM106" s="68" t="s">
        <v>351</v>
      </c>
      <c r="AN106" s="68" t="s">
        <v>352</v>
      </c>
      <c r="AO106" s="68" t="s">
        <v>353</v>
      </c>
      <c r="AP106" s="68" t="s">
        <v>354</v>
      </c>
      <c r="AQ106" s="68" t="s">
        <v>355</v>
      </c>
      <c r="AR106" s="658" t="s">
        <v>708</v>
      </c>
      <c r="AS106" s="526" t="s">
        <v>709</v>
      </c>
      <c r="AT106" s="526" t="s">
        <v>710</v>
      </c>
      <c r="AU106" s="658" t="s">
        <v>711</v>
      </c>
      <c r="AV106" s="526" t="s">
        <v>712</v>
      </c>
      <c r="AW106" s="660" t="s">
        <v>713</v>
      </c>
      <c r="AX106" s="526" t="s">
        <v>714</v>
      </c>
      <c r="AY106" s="527"/>
      <c r="AZ106" s="425"/>
      <c r="BR106" s="265"/>
      <c r="BS106" s="265"/>
      <c r="BT106" s="265"/>
      <c r="BU106" s="265"/>
      <c r="BV106" s="265"/>
      <c r="BW106" s="265"/>
      <c r="BX106" s="265"/>
      <c r="BY106" s="265"/>
      <c r="BZ106" s="265"/>
      <c r="CA106" s="265"/>
      <c r="CB106" s="265"/>
      <c r="CC106" s="265"/>
      <c r="CD106" s="265"/>
      <c r="CE106" s="265"/>
      <c r="CF106" s="265"/>
      <c r="CG106" s="265"/>
      <c r="CH106" s="265"/>
      <c r="CI106" s="265"/>
      <c r="CJ106" s="265"/>
    </row>
    <row r="107" s="543" customFormat="1" ht="16" customHeight="1" spans="7:88">
      <c r="G107" s="425"/>
      <c r="M107" s="656"/>
      <c r="T107" s="580"/>
      <c r="AA107" s="425"/>
      <c r="AH107" s="425"/>
      <c r="AI107" s="535"/>
      <c r="AJ107" s="533"/>
      <c r="AK107" s="533"/>
      <c r="AL107" s="533"/>
      <c r="AM107" s="533"/>
      <c r="AN107" s="533"/>
      <c r="AO107" s="533"/>
      <c r="AP107" s="533"/>
      <c r="AQ107" s="529"/>
      <c r="AR107" s="262">
        <f>C$31</f>
        <v>0</v>
      </c>
      <c r="AS107" s="262">
        <f>O$35</f>
        <v>0</v>
      </c>
      <c r="AT107" s="411">
        <f>-20*初期!B$9+初期!B$8</f>
        <v>0</v>
      </c>
      <c r="AU107" s="262">
        <f>Q$35</f>
        <v>0</v>
      </c>
      <c r="AV107" s="262">
        <f>AU107+AS107+AR107</f>
        <v>0</v>
      </c>
      <c r="AW107" s="412" t="e">
        <f>AL107/(AP107+AV107)</f>
        <v>#DIV/0!</v>
      </c>
      <c r="AX107" s="661">
        <f>MAX(AK107,初期!$E$42)</f>
        <v>0</v>
      </c>
      <c r="AY107" s="248"/>
      <c r="AZ107" s="425"/>
      <c r="BR107" s="265"/>
      <c r="BS107" s="265"/>
      <c r="BT107" s="265"/>
      <c r="BU107" s="265"/>
      <c r="BV107" s="265"/>
      <c r="BW107" s="265"/>
      <c r="BX107" s="265"/>
      <c r="BY107" s="265"/>
      <c r="BZ107" s="265"/>
      <c r="CA107" s="265"/>
      <c r="CB107" s="265"/>
      <c r="CC107" s="265"/>
      <c r="CD107" s="265"/>
      <c r="CE107" s="265"/>
      <c r="CF107" s="265"/>
      <c r="CG107" s="265"/>
      <c r="CH107" s="265"/>
      <c r="CI107" s="265"/>
      <c r="CJ107" s="265"/>
    </row>
    <row r="108" s="543" customFormat="1" ht="16" customHeight="1" spans="7:88">
      <c r="G108" s="425"/>
      <c r="M108" s="656"/>
      <c r="T108" s="580"/>
      <c r="AA108" s="425"/>
      <c r="AH108" s="425"/>
      <c r="AI108" s="535"/>
      <c r="AJ108" s="533"/>
      <c r="AK108" s="533"/>
      <c r="AL108" s="533"/>
      <c r="AM108" s="533"/>
      <c r="AN108" s="533"/>
      <c r="AO108" s="533"/>
      <c r="AP108" s="533"/>
      <c r="AQ108" s="529"/>
      <c r="AR108" s="262">
        <f t="shared" ref="AR108:AR126" si="114">C$31</f>
        <v>0</v>
      </c>
      <c r="AS108" s="262">
        <f t="shared" ref="AS108:AS126" si="115">O$35</f>
        <v>0</v>
      </c>
      <c r="AT108" s="411">
        <f>-20*初期!B$9+初期!B$8</f>
        <v>0</v>
      </c>
      <c r="AU108" s="262">
        <f t="shared" ref="AU108:AU126" si="116">Q$35</f>
        <v>0</v>
      </c>
      <c r="AV108" s="262">
        <f t="shared" ref="AV108:AV126" si="117">AU108+AS108+AR108</f>
        <v>0</v>
      </c>
      <c r="AW108" s="412" t="e">
        <f t="shared" ref="AW108:AW126" si="118">AL108/(AP108+AV108)</f>
        <v>#DIV/0!</v>
      </c>
      <c r="AX108" s="661">
        <f>MAX(AK108,初期!$E$42)</f>
        <v>0</v>
      </c>
      <c r="AY108" s="248"/>
      <c r="AZ108" s="425"/>
      <c r="BR108" s="265"/>
      <c r="BS108" s="265"/>
      <c r="BT108" s="265"/>
      <c r="BU108" s="265"/>
      <c r="BV108" s="265"/>
      <c r="BW108" s="265"/>
      <c r="BX108" s="265"/>
      <c r="BY108" s="265"/>
      <c r="BZ108" s="265"/>
      <c r="CA108" s="265"/>
      <c r="CB108" s="265"/>
      <c r="CC108" s="265"/>
      <c r="CD108" s="265"/>
      <c r="CE108" s="265"/>
      <c r="CF108" s="265"/>
      <c r="CG108" s="265"/>
      <c r="CH108" s="265"/>
      <c r="CI108" s="265"/>
      <c r="CJ108" s="265"/>
    </row>
    <row r="109" s="543" customFormat="1" ht="16" customHeight="1" spans="7:88">
      <c r="G109" s="425"/>
      <c r="M109" s="656"/>
      <c r="T109" s="580"/>
      <c r="AA109" s="425"/>
      <c r="AH109" s="425"/>
      <c r="AI109" s="535"/>
      <c r="AJ109" s="533"/>
      <c r="AK109" s="533"/>
      <c r="AL109" s="533"/>
      <c r="AM109" s="533"/>
      <c r="AN109" s="533"/>
      <c r="AO109" s="533"/>
      <c r="AP109" s="533"/>
      <c r="AQ109" s="529"/>
      <c r="AR109" s="262">
        <f t="shared" si="114"/>
        <v>0</v>
      </c>
      <c r="AS109" s="262">
        <f t="shared" si="115"/>
        <v>0</v>
      </c>
      <c r="AT109" s="411">
        <f>-20*初期!B$9+初期!B$8</f>
        <v>0</v>
      </c>
      <c r="AU109" s="262">
        <f t="shared" si="116"/>
        <v>0</v>
      </c>
      <c r="AV109" s="262">
        <f t="shared" si="117"/>
        <v>0</v>
      </c>
      <c r="AW109" s="412" t="e">
        <f t="shared" si="118"/>
        <v>#DIV/0!</v>
      </c>
      <c r="AX109" s="661">
        <f>MAX(AK109,初期!$E$42)</f>
        <v>0</v>
      </c>
      <c r="AY109" s="248"/>
      <c r="AZ109" s="425"/>
      <c r="BR109" s="265"/>
      <c r="BS109" s="265"/>
      <c r="BT109" s="265"/>
      <c r="BU109" s="265"/>
      <c r="BV109" s="265"/>
      <c r="BW109" s="265"/>
      <c r="BX109" s="265"/>
      <c r="BY109" s="265"/>
      <c r="BZ109" s="265"/>
      <c r="CA109" s="265"/>
      <c r="CB109" s="265"/>
      <c r="CC109" s="265"/>
      <c r="CD109" s="265"/>
      <c r="CE109" s="265"/>
      <c r="CF109" s="265"/>
      <c r="CG109" s="265"/>
      <c r="CH109" s="265"/>
      <c r="CI109" s="265"/>
      <c r="CJ109" s="265"/>
    </row>
    <row r="110" s="543" customFormat="1" ht="16" customHeight="1" spans="7:88">
      <c r="G110" s="425"/>
      <c r="M110" s="656"/>
      <c r="T110" s="580"/>
      <c r="AA110" s="425"/>
      <c r="AH110" s="425"/>
      <c r="AI110" s="535"/>
      <c r="AJ110" s="533"/>
      <c r="AK110" s="533"/>
      <c r="AL110" s="533"/>
      <c r="AM110" s="533"/>
      <c r="AN110" s="533"/>
      <c r="AO110" s="533"/>
      <c r="AP110" s="533"/>
      <c r="AQ110" s="529"/>
      <c r="AR110" s="262">
        <f t="shared" si="114"/>
        <v>0</v>
      </c>
      <c r="AS110" s="262">
        <f t="shared" si="115"/>
        <v>0</v>
      </c>
      <c r="AT110" s="411">
        <f>-20*初期!B$9+初期!B$8</f>
        <v>0</v>
      </c>
      <c r="AU110" s="262">
        <f t="shared" si="116"/>
        <v>0</v>
      </c>
      <c r="AV110" s="262">
        <f t="shared" si="117"/>
        <v>0</v>
      </c>
      <c r="AW110" s="412" t="e">
        <f t="shared" si="118"/>
        <v>#DIV/0!</v>
      </c>
      <c r="AX110" s="661">
        <f>MAX(AK110,初期!$E$42)</f>
        <v>0</v>
      </c>
      <c r="AY110" s="248"/>
      <c r="AZ110" s="425"/>
      <c r="BR110" s="265"/>
      <c r="BS110" s="265"/>
      <c r="BT110" s="265"/>
      <c r="BU110" s="265"/>
      <c r="BV110" s="265"/>
      <c r="BW110" s="265"/>
      <c r="BX110" s="265"/>
      <c r="BY110" s="265"/>
      <c r="BZ110" s="265"/>
      <c r="CA110" s="265"/>
      <c r="CB110" s="265"/>
      <c r="CC110" s="265"/>
      <c r="CD110" s="265"/>
      <c r="CE110" s="265"/>
      <c r="CF110" s="265"/>
      <c r="CG110" s="265"/>
      <c r="CH110" s="265"/>
      <c r="CI110" s="265"/>
      <c r="CJ110" s="265"/>
    </row>
    <row r="111" s="543" customFormat="1" ht="16" customHeight="1" spans="7:88">
      <c r="G111" s="425"/>
      <c r="M111" s="656"/>
      <c r="T111" s="580"/>
      <c r="AA111" s="425"/>
      <c r="AH111" s="425"/>
      <c r="AI111" s="535"/>
      <c r="AJ111" s="533"/>
      <c r="AK111" s="533"/>
      <c r="AL111" s="533"/>
      <c r="AM111" s="533"/>
      <c r="AN111" s="533"/>
      <c r="AO111" s="533"/>
      <c r="AP111" s="533"/>
      <c r="AQ111" s="529"/>
      <c r="AR111" s="262">
        <f t="shared" si="114"/>
        <v>0</v>
      </c>
      <c r="AS111" s="262">
        <f t="shared" si="115"/>
        <v>0</v>
      </c>
      <c r="AT111" s="411">
        <f>-20*初期!B$9+初期!B$8</f>
        <v>0</v>
      </c>
      <c r="AU111" s="262">
        <f t="shared" si="116"/>
        <v>0</v>
      </c>
      <c r="AV111" s="262">
        <f t="shared" si="117"/>
        <v>0</v>
      </c>
      <c r="AW111" s="412" t="e">
        <f t="shared" si="118"/>
        <v>#DIV/0!</v>
      </c>
      <c r="AX111" s="661">
        <f>MAX(AK111,初期!$E$42)</f>
        <v>0</v>
      </c>
      <c r="AY111" s="248"/>
      <c r="AZ111" s="425"/>
      <c r="BR111" s="265"/>
      <c r="BS111" s="265"/>
      <c r="BT111" s="265"/>
      <c r="BU111" s="265"/>
      <c r="BV111" s="265"/>
      <c r="BW111" s="265"/>
      <c r="BX111" s="265"/>
      <c r="BY111" s="265"/>
      <c r="BZ111" s="265"/>
      <c r="CA111" s="265"/>
      <c r="CB111" s="265"/>
      <c r="CC111" s="265"/>
      <c r="CD111" s="265"/>
      <c r="CE111" s="265"/>
      <c r="CF111" s="265"/>
      <c r="CG111" s="265"/>
      <c r="CH111" s="265"/>
      <c r="CI111" s="265"/>
      <c r="CJ111" s="265"/>
    </row>
    <row r="112" s="543" customFormat="1" ht="16" customHeight="1" spans="7:88">
      <c r="G112" s="425"/>
      <c r="M112" s="656"/>
      <c r="T112" s="580"/>
      <c r="AA112" s="425"/>
      <c r="AH112" s="425"/>
      <c r="AI112" s="535"/>
      <c r="AJ112" s="533"/>
      <c r="AK112" s="533"/>
      <c r="AL112" s="533"/>
      <c r="AM112" s="533"/>
      <c r="AN112" s="533"/>
      <c r="AO112" s="533"/>
      <c r="AP112" s="533"/>
      <c r="AQ112" s="529"/>
      <c r="AR112" s="262">
        <f t="shared" si="114"/>
        <v>0</v>
      </c>
      <c r="AS112" s="262">
        <f t="shared" si="115"/>
        <v>0</v>
      </c>
      <c r="AT112" s="411">
        <f>-20*初期!B$9+初期!B$8</f>
        <v>0</v>
      </c>
      <c r="AU112" s="262">
        <f t="shared" si="116"/>
        <v>0</v>
      </c>
      <c r="AV112" s="262">
        <f t="shared" si="117"/>
        <v>0</v>
      </c>
      <c r="AW112" s="412" t="e">
        <f t="shared" si="118"/>
        <v>#DIV/0!</v>
      </c>
      <c r="AX112" s="661">
        <f>MAX(AK112,初期!$E$42)</f>
        <v>0</v>
      </c>
      <c r="AY112" s="248"/>
      <c r="AZ112" s="425"/>
      <c r="BR112" s="265"/>
      <c r="BS112" s="265"/>
      <c r="BT112" s="265"/>
      <c r="BU112" s="265"/>
      <c r="BV112" s="265"/>
      <c r="BW112" s="265"/>
      <c r="BX112" s="265"/>
      <c r="BY112" s="265"/>
      <c r="BZ112" s="265"/>
      <c r="CA112" s="265"/>
      <c r="CB112" s="265"/>
      <c r="CC112" s="265"/>
      <c r="CD112" s="265"/>
      <c r="CE112" s="265"/>
      <c r="CF112" s="265"/>
      <c r="CG112" s="265"/>
      <c r="CH112" s="265"/>
      <c r="CI112" s="265"/>
      <c r="CJ112" s="265"/>
    </row>
    <row r="113" s="543" customFormat="1" ht="16" customHeight="1" spans="7:88">
      <c r="G113" s="425"/>
      <c r="M113" s="656"/>
      <c r="T113" s="580"/>
      <c r="AA113" s="425"/>
      <c r="AH113" s="425"/>
      <c r="AI113" s="535"/>
      <c r="AJ113" s="533"/>
      <c r="AK113" s="533"/>
      <c r="AL113" s="533"/>
      <c r="AM113" s="533"/>
      <c r="AN113" s="533"/>
      <c r="AO113" s="533"/>
      <c r="AP113" s="533"/>
      <c r="AQ113" s="529"/>
      <c r="AR113" s="262">
        <f t="shared" si="114"/>
        <v>0</v>
      </c>
      <c r="AS113" s="262">
        <f t="shared" si="115"/>
        <v>0</v>
      </c>
      <c r="AT113" s="411">
        <f>-20*初期!B$9+初期!B$8</f>
        <v>0</v>
      </c>
      <c r="AU113" s="262">
        <f t="shared" si="116"/>
        <v>0</v>
      </c>
      <c r="AV113" s="262">
        <f t="shared" si="117"/>
        <v>0</v>
      </c>
      <c r="AW113" s="412" t="e">
        <f t="shared" si="118"/>
        <v>#DIV/0!</v>
      </c>
      <c r="AX113" s="661">
        <f>MAX(AK113,初期!$E$42)</f>
        <v>0</v>
      </c>
      <c r="AY113" s="248"/>
      <c r="AZ113" s="425"/>
      <c r="BR113" s="265"/>
      <c r="BS113" s="265"/>
      <c r="BT113" s="265"/>
      <c r="BU113" s="265"/>
      <c r="BV113" s="265"/>
      <c r="BW113" s="265"/>
      <c r="BX113" s="265"/>
      <c r="BY113" s="265"/>
      <c r="BZ113" s="265"/>
      <c r="CA113" s="265"/>
      <c r="CB113" s="265"/>
      <c r="CC113" s="265"/>
      <c r="CD113" s="265"/>
      <c r="CE113" s="265"/>
      <c r="CF113" s="265"/>
      <c r="CG113" s="265"/>
      <c r="CH113" s="265"/>
      <c r="CI113" s="265"/>
      <c r="CJ113" s="265"/>
    </row>
    <row r="114" s="543" customFormat="1" ht="16" customHeight="1" spans="7:88">
      <c r="G114" s="425"/>
      <c r="M114" s="656"/>
      <c r="T114" s="580"/>
      <c r="AA114" s="425"/>
      <c r="AH114" s="425"/>
      <c r="AI114" s="535"/>
      <c r="AJ114" s="533"/>
      <c r="AK114" s="533"/>
      <c r="AL114" s="533"/>
      <c r="AM114" s="533"/>
      <c r="AN114" s="533"/>
      <c r="AO114" s="533"/>
      <c r="AP114" s="533"/>
      <c r="AQ114" s="529"/>
      <c r="AR114" s="262">
        <f t="shared" si="114"/>
        <v>0</v>
      </c>
      <c r="AS114" s="262">
        <f t="shared" si="115"/>
        <v>0</v>
      </c>
      <c r="AT114" s="411">
        <f>-20*初期!B$9+初期!B$8</f>
        <v>0</v>
      </c>
      <c r="AU114" s="262">
        <f t="shared" si="116"/>
        <v>0</v>
      </c>
      <c r="AV114" s="262">
        <f t="shared" si="117"/>
        <v>0</v>
      </c>
      <c r="AW114" s="412" t="e">
        <f t="shared" si="118"/>
        <v>#DIV/0!</v>
      </c>
      <c r="AX114" s="661">
        <f>MAX(AK114,初期!$E$42)</f>
        <v>0</v>
      </c>
      <c r="AY114" s="248"/>
      <c r="AZ114" s="425"/>
      <c r="BR114" s="265"/>
      <c r="BS114" s="265"/>
      <c r="BT114" s="265"/>
      <c r="BU114" s="265"/>
      <c r="BV114" s="265"/>
      <c r="BW114" s="265"/>
      <c r="BX114" s="265"/>
      <c r="BY114" s="265"/>
      <c r="BZ114" s="265"/>
      <c r="CA114" s="265"/>
      <c r="CB114" s="265"/>
      <c r="CC114" s="265"/>
      <c r="CD114" s="265"/>
      <c r="CE114" s="265"/>
      <c r="CF114" s="265"/>
      <c r="CG114" s="265"/>
      <c r="CH114" s="265"/>
      <c r="CI114" s="265"/>
      <c r="CJ114" s="265"/>
    </row>
    <row r="115" s="543" customFormat="1" ht="16" customHeight="1" spans="7:88">
      <c r="G115" s="425"/>
      <c r="M115" s="656"/>
      <c r="T115" s="580"/>
      <c r="AA115" s="425"/>
      <c r="AH115" s="425"/>
      <c r="AI115" s="535"/>
      <c r="AJ115" s="533"/>
      <c r="AK115" s="533"/>
      <c r="AL115" s="533"/>
      <c r="AM115" s="533"/>
      <c r="AN115" s="533"/>
      <c r="AO115" s="533"/>
      <c r="AP115" s="533"/>
      <c r="AQ115" s="529"/>
      <c r="AR115" s="262">
        <f t="shared" si="114"/>
        <v>0</v>
      </c>
      <c r="AS115" s="262">
        <f t="shared" si="115"/>
        <v>0</v>
      </c>
      <c r="AT115" s="411">
        <f>-20*初期!B$9+初期!B$8</f>
        <v>0</v>
      </c>
      <c r="AU115" s="262">
        <f t="shared" si="116"/>
        <v>0</v>
      </c>
      <c r="AV115" s="262">
        <f t="shared" si="117"/>
        <v>0</v>
      </c>
      <c r="AW115" s="412" t="e">
        <f t="shared" si="118"/>
        <v>#DIV/0!</v>
      </c>
      <c r="AX115" s="661">
        <f>MAX(AK115,初期!$E$42)</f>
        <v>0</v>
      </c>
      <c r="AY115" s="248"/>
      <c r="AZ115" s="425"/>
      <c r="BR115" s="265"/>
      <c r="BS115" s="265"/>
      <c r="BT115" s="265"/>
      <c r="BU115" s="265"/>
      <c r="BV115" s="265"/>
      <c r="BW115" s="265"/>
      <c r="BX115" s="265"/>
      <c r="BY115" s="265"/>
      <c r="BZ115" s="265"/>
      <c r="CA115" s="265"/>
      <c r="CB115" s="265"/>
      <c r="CC115" s="265"/>
      <c r="CD115" s="265"/>
      <c r="CE115" s="265"/>
      <c r="CF115" s="265"/>
      <c r="CG115" s="265"/>
      <c r="CH115" s="265"/>
      <c r="CI115" s="265"/>
      <c r="CJ115" s="265"/>
    </row>
    <row r="116" s="543" customFormat="1" ht="16" customHeight="1" spans="7:88">
      <c r="G116" s="425"/>
      <c r="M116" s="656"/>
      <c r="T116" s="580"/>
      <c r="AA116" s="425"/>
      <c r="AH116" s="425"/>
      <c r="AI116" s="535"/>
      <c r="AJ116" s="533"/>
      <c r="AK116" s="533"/>
      <c r="AL116" s="533"/>
      <c r="AM116" s="533"/>
      <c r="AN116" s="533"/>
      <c r="AO116" s="533"/>
      <c r="AP116" s="533"/>
      <c r="AQ116" s="529"/>
      <c r="AR116" s="262">
        <f t="shared" si="114"/>
        <v>0</v>
      </c>
      <c r="AS116" s="262">
        <f t="shared" si="115"/>
        <v>0</v>
      </c>
      <c r="AT116" s="411">
        <f>-20*初期!B$9+初期!B$8</f>
        <v>0</v>
      </c>
      <c r="AU116" s="262">
        <f t="shared" si="116"/>
        <v>0</v>
      </c>
      <c r="AV116" s="262">
        <f t="shared" si="117"/>
        <v>0</v>
      </c>
      <c r="AW116" s="412" t="e">
        <f t="shared" si="118"/>
        <v>#DIV/0!</v>
      </c>
      <c r="AX116" s="661">
        <f>MAX(AK116,初期!$E$42)</f>
        <v>0</v>
      </c>
      <c r="AY116" s="248"/>
      <c r="AZ116" s="425"/>
      <c r="BR116" s="265"/>
      <c r="BS116" s="265"/>
      <c r="BT116" s="265"/>
      <c r="BU116" s="265"/>
      <c r="BV116" s="265"/>
      <c r="BW116" s="265"/>
      <c r="BX116" s="265"/>
      <c r="BY116" s="265"/>
      <c r="BZ116" s="265"/>
      <c r="CA116" s="265"/>
      <c r="CB116" s="265"/>
      <c r="CC116" s="265"/>
      <c r="CD116" s="265"/>
      <c r="CE116" s="265"/>
      <c r="CF116" s="265"/>
      <c r="CG116" s="265"/>
      <c r="CH116" s="265"/>
      <c r="CI116" s="265"/>
      <c r="CJ116" s="265"/>
    </row>
    <row r="117" s="543" customFormat="1" ht="16" customHeight="1" spans="7:88">
      <c r="G117" s="425"/>
      <c r="M117" s="656"/>
      <c r="T117" s="580"/>
      <c r="AA117" s="425"/>
      <c r="AH117" s="425"/>
      <c r="AI117" s="535"/>
      <c r="AJ117" s="533"/>
      <c r="AK117" s="533"/>
      <c r="AL117" s="533"/>
      <c r="AM117" s="533"/>
      <c r="AN117" s="533"/>
      <c r="AO117" s="533"/>
      <c r="AP117" s="533"/>
      <c r="AQ117" s="529"/>
      <c r="AR117" s="262">
        <f t="shared" si="114"/>
        <v>0</v>
      </c>
      <c r="AS117" s="262">
        <f t="shared" si="115"/>
        <v>0</v>
      </c>
      <c r="AT117" s="411">
        <f>-20*初期!B$9+初期!B$8</f>
        <v>0</v>
      </c>
      <c r="AU117" s="262">
        <f t="shared" si="116"/>
        <v>0</v>
      </c>
      <c r="AV117" s="262">
        <f t="shared" si="117"/>
        <v>0</v>
      </c>
      <c r="AW117" s="412" t="e">
        <f t="shared" si="118"/>
        <v>#DIV/0!</v>
      </c>
      <c r="AX117" s="661">
        <f>MAX(AK117,初期!$E$42)</f>
        <v>0</v>
      </c>
      <c r="AY117" s="248"/>
      <c r="AZ117" s="425"/>
      <c r="BR117" s="265"/>
      <c r="BS117" s="265"/>
      <c r="BT117" s="265"/>
      <c r="BU117" s="265"/>
      <c r="BV117" s="265"/>
      <c r="BW117" s="265"/>
      <c r="BX117" s="265"/>
      <c r="BY117" s="265"/>
      <c r="BZ117" s="265"/>
      <c r="CA117" s="265"/>
      <c r="CB117" s="265"/>
      <c r="CC117" s="265"/>
      <c r="CD117" s="265"/>
      <c r="CE117" s="265"/>
      <c r="CF117" s="265"/>
      <c r="CG117" s="265"/>
      <c r="CH117" s="265"/>
      <c r="CI117" s="265"/>
      <c r="CJ117" s="265"/>
    </row>
    <row r="118" s="543" customFormat="1" ht="16" customHeight="1" spans="7:88">
      <c r="G118" s="425"/>
      <c r="M118" s="656"/>
      <c r="T118" s="580"/>
      <c r="AA118" s="425"/>
      <c r="AH118" s="425"/>
      <c r="AI118" s="535"/>
      <c r="AJ118" s="533"/>
      <c r="AK118" s="533"/>
      <c r="AL118" s="533"/>
      <c r="AM118" s="533"/>
      <c r="AN118" s="533"/>
      <c r="AO118" s="533"/>
      <c r="AP118" s="533"/>
      <c r="AQ118" s="529"/>
      <c r="AR118" s="262">
        <f t="shared" si="114"/>
        <v>0</v>
      </c>
      <c r="AS118" s="262">
        <f t="shared" si="115"/>
        <v>0</v>
      </c>
      <c r="AT118" s="411">
        <f>-20*初期!B$9+初期!B$8</f>
        <v>0</v>
      </c>
      <c r="AU118" s="262">
        <f t="shared" si="116"/>
        <v>0</v>
      </c>
      <c r="AV118" s="262">
        <f t="shared" si="117"/>
        <v>0</v>
      </c>
      <c r="AW118" s="412" t="e">
        <f t="shared" si="118"/>
        <v>#DIV/0!</v>
      </c>
      <c r="AX118" s="661">
        <f>MAX(AK118,初期!$E$42)</f>
        <v>0</v>
      </c>
      <c r="AY118" s="248"/>
      <c r="AZ118" s="425"/>
      <c r="BR118" s="265"/>
      <c r="BS118" s="265"/>
      <c r="BT118" s="265"/>
      <c r="BU118" s="265"/>
      <c r="BV118" s="265"/>
      <c r="BW118" s="265"/>
      <c r="BX118" s="265"/>
      <c r="BY118" s="265"/>
      <c r="BZ118" s="265"/>
      <c r="CA118" s="265"/>
      <c r="CB118" s="265"/>
      <c r="CC118" s="265"/>
      <c r="CD118" s="265"/>
      <c r="CE118" s="265"/>
      <c r="CF118" s="265"/>
      <c r="CG118" s="265"/>
      <c r="CH118" s="265"/>
      <c r="CI118" s="265"/>
      <c r="CJ118" s="265"/>
    </row>
    <row r="119" s="543" customFormat="1" ht="16" customHeight="1" spans="7:88">
      <c r="G119" s="425"/>
      <c r="M119" s="656"/>
      <c r="T119" s="580"/>
      <c r="AA119" s="425"/>
      <c r="AH119" s="425"/>
      <c r="AI119" s="535"/>
      <c r="AJ119" s="533"/>
      <c r="AK119" s="533"/>
      <c r="AL119" s="533"/>
      <c r="AM119" s="533"/>
      <c r="AN119" s="533"/>
      <c r="AO119" s="533"/>
      <c r="AP119" s="533"/>
      <c r="AQ119" s="529"/>
      <c r="AR119" s="262">
        <f t="shared" si="114"/>
        <v>0</v>
      </c>
      <c r="AS119" s="262">
        <f t="shared" si="115"/>
        <v>0</v>
      </c>
      <c r="AT119" s="411">
        <f>-20*初期!B$9+初期!B$8</f>
        <v>0</v>
      </c>
      <c r="AU119" s="262">
        <f t="shared" si="116"/>
        <v>0</v>
      </c>
      <c r="AV119" s="262">
        <f t="shared" si="117"/>
        <v>0</v>
      </c>
      <c r="AW119" s="412" t="e">
        <f t="shared" si="118"/>
        <v>#DIV/0!</v>
      </c>
      <c r="AX119" s="661">
        <f>MAX(AK119,初期!$E$42)</f>
        <v>0</v>
      </c>
      <c r="AY119" s="248"/>
      <c r="AZ119" s="425"/>
      <c r="BR119" s="265"/>
      <c r="BS119" s="265"/>
      <c r="BT119" s="265"/>
      <c r="BU119" s="265"/>
      <c r="BV119" s="265"/>
      <c r="BW119" s="265"/>
      <c r="BX119" s="265"/>
      <c r="BY119" s="265"/>
      <c r="BZ119" s="265"/>
      <c r="CA119" s="265"/>
      <c r="CB119" s="265"/>
      <c r="CC119" s="265"/>
      <c r="CD119" s="265"/>
      <c r="CE119" s="265"/>
      <c r="CF119" s="265"/>
      <c r="CG119" s="265"/>
      <c r="CH119" s="265"/>
      <c r="CI119" s="265"/>
      <c r="CJ119" s="265"/>
    </row>
    <row r="120" s="543" customFormat="1" ht="16" customHeight="1" spans="7:88">
      <c r="G120" s="425"/>
      <c r="M120" s="656"/>
      <c r="T120" s="580"/>
      <c r="AA120" s="425"/>
      <c r="AH120" s="425"/>
      <c r="AI120" s="535"/>
      <c r="AJ120" s="533"/>
      <c r="AK120" s="533"/>
      <c r="AL120" s="533"/>
      <c r="AM120" s="533"/>
      <c r="AN120" s="533"/>
      <c r="AO120" s="533"/>
      <c r="AP120" s="533"/>
      <c r="AQ120" s="529"/>
      <c r="AR120" s="262">
        <f t="shared" si="114"/>
        <v>0</v>
      </c>
      <c r="AS120" s="262">
        <f t="shared" si="115"/>
        <v>0</v>
      </c>
      <c r="AT120" s="411">
        <f>-20*初期!B$9+初期!B$8</f>
        <v>0</v>
      </c>
      <c r="AU120" s="262">
        <f t="shared" si="116"/>
        <v>0</v>
      </c>
      <c r="AV120" s="262">
        <f t="shared" si="117"/>
        <v>0</v>
      </c>
      <c r="AW120" s="412" t="e">
        <f t="shared" si="118"/>
        <v>#DIV/0!</v>
      </c>
      <c r="AX120" s="661">
        <f>MAX(AK120,初期!$E$42)</f>
        <v>0</v>
      </c>
      <c r="AY120" s="248"/>
      <c r="AZ120" s="425"/>
      <c r="BR120" s="265"/>
      <c r="BS120" s="265"/>
      <c r="BT120" s="265"/>
      <c r="BU120" s="265"/>
      <c r="BV120" s="265"/>
      <c r="BW120" s="265"/>
      <c r="BX120" s="265"/>
      <c r="BY120" s="265"/>
      <c r="BZ120" s="265"/>
      <c r="CA120" s="265"/>
      <c r="CB120" s="265"/>
      <c r="CC120" s="265"/>
      <c r="CD120" s="265"/>
      <c r="CE120" s="265"/>
      <c r="CF120" s="265"/>
      <c r="CG120" s="265"/>
      <c r="CH120" s="265"/>
      <c r="CI120" s="265"/>
      <c r="CJ120" s="265"/>
    </row>
    <row r="121" s="543" customFormat="1" ht="16" customHeight="1" spans="7:88">
      <c r="G121" s="425"/>
      <c r="M121" s="656"/>
      <c r="T121" s="580"/>
      <c r="AA121" s="425"/>
      <c r="AH121" s="425"/>
      <c r="AI121" s="535"/>
      <c r="AJ121" s="533"/>
      <c r="AK121" s="533"/>
      <c r="AL121" s="533"/>
      <c r="AM121" s="533"/>
      <c r="AN121" s="533"/>
      <c r="AO121" s="533"/>
      <c r="AP121" s="533"/>
      <c r="AQ121" s="529"/>
      <c r="AR121" s="262">
        <f t="shared" si="114"/>
        <v>0</v>
      </c>
      <c r="AS121" s="262">
        <f t="shared" si="115"/>
        <v>0</v>
      </c>
      <c r="AT121" s="411">
        <f>-20*初期!B$9+初期!B$8</f>
        <v>0</v>
      </c>
      <c r="AU121" s="262">
        <f t="shared" si="116"/>
        <v>0</v>
      </c>
      <c r="AV121" s="262">
        <f t="shared" si="117"/>
        <v>0</v>
      </c>
      <c r="AW121" s="412" t="e">
        <f t="shared" si="118"/>
        <v>#DIV/0!</v>
      </c>
      <c r="AX121" s="661">
        <f>MAX(AK121,初期!$E$42)</f>
        <v>0</v>
      </c>
      <c r="AY121" s="248"/>
      <c r="AZ121" s="425"/>
      <c r="BR121" s="265"/>
      <c r="BS121" s="265"/>
      <c r="BT121" s="265"/>
      <c r="BU121" s="265"/>
      <c r="BV121" s="265"/>
      <c r="BW121" s="265"/>
      <c r="BX121" s="265"/>
      <c r="BY121" s="265"/>
      <c r="BZ121" s="265"/>
      <c r="CA121" s="265"/>
      <c r="CB121" s="265"/>
      <c r="CC121" s="265"/>
      <c r="CD121" s="265"/>
      <c r="CE121" s="265"/>
      <c r="CF121" s="265"/>
      <c r="CG121" s="265"/>
      <c r="CH121" s="265"/>
      <c r="CI121" s="265"/>
      <c r="CJ121" s="265"/>
    </row>
    <row r="122" s="543" customFormat="1" ht="16" customHeight="1" spans="7:88">
      <c r="G122" s="425"/>
      <c r="M122" s="656"/>
      <c r="T122" s="580"/>
      <c r="AA122" s="425"/>
      <c r="AH122" s="425"/>
      <c r="AI122" s="535"/>
      <c r="AJ122" s="533"/>
      <c r="AK122" s="533"/>
      <c r="AL122" s="533"/>
      <c r="AM122" s="533"/>
      <c r="AN122" s="533"/>
      <c r="AO122" s="533"/>
      <c r="AP122" s="533"/>
      <c r="AQ122" s="529"/>
      <c r="AR122" s="262">
        <f t="shared" si="114"/>
        <v>0</v>
      </c>
      <c r="AS122" s="262">
        <f t="shared" si="115"/>
        <v>0</v>
      </c>
      <c r="AT122" s="411">
        <f>-20*初期!B$9+初期!B$8</f>
        <v>0</v>
      </c>
      <c r="AU122" s="262">
        <f t="shared" si="116"/>
        <v>0</v>
      </c>
      <c r="AV122" s="262">
        <f t="shared" si="117"/>
        <v>0</v>
      </c>
      <c r="AW122" s="412" t="e">
        <f t="shared" si="118"/>
        <v>#DIV/0!</v>
      </c>
      <c r="AX122" s="661">
        <f>MAX(AK122,初期!$E$42)</f>
        <v>0</v>
      </c>
      <c r="AY122" s="248"/>
      <c r="AZ122" s="425"/>
      <c r="BR122" s="265"/>
      <c r="BS122" s="265"/>
      <c r="BT122" s="265"/>
      <c r="BU122" s="265"/>
      <c r="BV122" s="265"/>
      <c r="BW122" s="265"/>
      <c r="BX122" s="265"/>
      <c r="BY122" s="265"/>
      <c r="BZ122" s="265"/>
      <c r="CA122" s="265"/>
      <c r="CB122" s="265"/>
      <c r="CC122" s="265"/>
      <c r="CD122" s="265"/>
      <c r="CE122" s="265"/>
      <c r="CF122" s="265"/>
      <c r="CG122" s="265"/>
      <c r="CH122" s="265"/>
      <c r="CI122" s="265"/>
      <c r="CJ122" s="265"/>
    </row>
    <row r="123" s="543" customFormat="1" ht="16" customHeight="1" spans="7:88">
      <c r="G123" s="425"/>
      <c r="M123" s="656"/>
      <c r="T123" s="580"/>
      <c r="AA123" s="425"/>
      <c r="AH123" s="425"/>
      <c r="AI123" s="535"/>
      <c r="AJ123" s="533"/>
      <c r="AK123" s="533"/>
      <c r="AL123" s="533"/>
      <c r="AM123" s="533"/>
      <c r="AN123" s="533"/>
      <c r="AO123" s="533"/>
      <c r="AP123" s="533"/>
      <c r="AQ123" s="529"/>
      <c r="AR123" s="262">
        <f t="shared" si="114"/>
        <v>0</v>
      </c>
      <c r="AS123" s="262">
        <f t="shared" si="115"/>
        <v>0</v>
      </c>
      <c r="AT123" s="411">
        <f>-20*初期!B$9+初期!B$8</f>
        <v>0</v>
      </c>
      <c r="AU123" s="262">
        <f t="shared" si="116"/>
        <v>0</v>
      </c>
      <c r="AV123" s="262">
        <f t="shared" si="117"/>
        <v>0</v>
      </c>
      <c r="AW123" s="412" t="e">
        <f t="shared" si="118"/>
        <v>#DIV/0!</v>
      </c>
      <c r="AX123" s="661">
        <f>MAX(AK123,初期!$E$42)</f>
        <v>0</v>
      </c>
      <c r="AY123" s="248"/>
      <c r="AZ123" s="425"/>
      <c r="BR123" s="265"/>
      <c r="BS123" s="265"/>
      <c r="BT123" s="265"/>
      <c r="BU123" s="265"/>
      <c r="BV123" s="265"/>
      <c r="BW123" s="265"/>
      <c r="BX123" s="265"/>
      <c r="BY123" s="265"/>
      <c r="BZ123" s="265"/>
      <c r="CA123" s="265"/>
      <c r="CB123" s="265"/>
      <c r="CC123" s="265"/>
      <c r="CD123" s="265"/>
      <c r="CE123" s="265"/>
      <c r="CF123" s="265"/>
      <c r="CG123" s="265"/>
      <c r="CH123" s="265"/>
      <c r="CI123" s="265"/>
      <c r="CJ123" s="265"/>
    </row>
    <row r="124" s="543" customFormat="1" ht="16" customHeight="1" spans="7:88">
      <c r="G124" s="425"/>
      <c r="M124" s="656"/>
      <c r="T124" s="580"/>
      <c r="AA124" s="425"/>
      <c r="AH124" s="425"/>
      <c r="AI124" s="535"/>
      <c r="AJ124" s="533"/>
      <c r="AK124" s="533"/>
      <c r="AL124" s="533"/>
      <c r="AM124" s="533"/>
      <c r="AN124" s="533"/>
      <c r="AO124" s="533"/>
      <c r="AP124" s="533"/>
      <c r="AQ124" s="529"/>
      <c r="AR124" s="262">
        <f t="shared" si="114"/>
        <v>0</v>
      </c>
      <c r="AS124" s="262">
        <f t="shared" si="115"/>
        <v>0</v>
      </c>
      <c r="AT124" s="411">
        <f>-20*初期!B$9+初期!B$8</f>
        <v>0</v>
      </c>
      <c r="AU124" s="262">
        <f t="shared" si="116"/>
        <v>0</v>
      </c>
      <c r="AV124" s="262">
        <f t="shared" si="117"/>
        <v>0</v>
      </c>
      <c r="AW124" s="412" t="e">
        <f t="shared" si="118"/>
        <v>#DIV/0!</v>
      </c>
      <c r="AX124" s="661">
        <f>MAX(AK124,初期!$E$42)</f>
        <v>0</v>
      </c>
      <c r="AY124" s="248"/>
      <c r="AZ124" s="425"/>
      <c r="BR124" s="265"/>
      <c r="BS124" s="265"/>
      <c r="BT124" s="265"/>
      <c r="BU124" s="265"/>
      <c r="BV124" s="265"/>
      <c r="BW124" s="265"/>
      <c r="BX124" s="265"/>
      <c r="BY124" s="265"/>
      <c r="BZ124" s="265"/>
      <c r="CA124" s="265"/>
      <c r="CB124" s="265"/>
      <c r="CC124" s="265"/>
      <c r="CD124" s="265"/>
      <c r="CE124" s="265"/>
      <c r="CF124" s="265"/>
      <c r="CG124" s="265"/>
      <c r="CH124" s="265"/>
      <c r="CI124" s="265"/>
      <c r="CJ124" s="265"/>
    </row>
    <row r="125" s="543" customFormat="1" ht="16" customHeight="1" spans="7:88">
      <c r="G125" s="425"/>
      <c r="M125" s="656"/>
      <c r="T125" s="580"/>
      <c r="AA125" s="425"/>
      <c r="AH125" s="425"/>
      <c r="AI125" s="535"/>
      <c r="AJ125" s="533"/>
      <c r="AK125" s="533"/>
      <c r="AL125" s="533"/>
      <c r="AM125" s="533"/>
      <c r="AN125" s="533"/>
      <c r="AO125" s="533"/>
      <c r="AP125" s="533"/>
      <c r="AQ125" s="529"/>
      <c r="AR125" s="262">
        <f t="shared" si="114"/>
        <v>0</v>
      </c>
      <c r="AS125" s="262">
        <f t="shared" si="115"/>
        <v>0</v>
      </c>
      <c r="AT125" s="411">
        <f>-20*初期!B$9+初期!B$8</f>
        <v>0</v>
      </c>
      <c r="AU125" s="262">
        <f t="shared" si="116"/>
        <v>0</v>
      </c>
      <c r="AV125" s="262">
        <f t="shared" si="117"/>
        <v>0</v>
      </c>
      <c r="AW125" s="412" t="e">
        <f t="shared" si="118"/>
        <v>#DIV/0!</v>
      </c>
      <c r="AX125" s="661">
        <f>MAX(AK125,初期!$E$42)</f>
        <v>0</v>
      </c>
      <c r="AY125" s="248"/>
      <c r="AZ125" s="425"/>
      <c r="BR125" s="265"/>
      <c r="BS125" s="265"/>
      <c r="BT125" s="265"/>
      <c r="BU125" s="265"/>
      <c r="BV125" s="265"/>
      <c r="BW125" s="265"/>
      <c r="BX125" s="265"/>
      <c r="BY125" s="265"/>
      <c r="BZ125" s="265"/>
      <c r="CA125" s="265"/>
      <c r="CB125" s="265"/>
      <c r="CC125" s="265"/>
      <c r="CD125" s="265"/>
      <c r="CE125" s="265"/>
      <c r="CF125" s="265"/>
      <c r="CG125" s="265"/>
      <c r="CH125" s="265"/>
      <c r="CI125" s="265"/>
      <c r="CJ125" s="265"/>
    </row>
    <row r="126" s="543" customFormat="1" ht="16" customHeight="1" spans="7:88">
      <c r="G126" s="425"/>
      <c r="M126" s="656"/>
      <c r="T126" s="580"/>
      <c r="AA126" s="425"/>
      <c r="AH126" s="425"/>
      <c r="AI126" s="535"/>
      <c r="AJ126" s="533"/>
      <c r="AK126" s="533"/>
      <c r="AL126" s="533"/>
      <c r="AM126" s="533"/>
      <c r="AN126" s="533"/>
      <c r="AO126" s="533"/>
      <c r="AP126" s="533"/>
      <c r="AQ126" s="529"/>
      <c r="AR126" s="262">
        <f t="shared" si="114"/>
        <v>0</v>
      </c>
      <c r="AS126" s="262">
        <f t="shared" si="115"/>
        <v>0</v>
      </c>
      <c r="AT126" s="411">
        <f>-20*初期!B$9+初期!B$8</f>
        <v>0</v>
      </c>
      <c r="AU126" s="262">
        <f t="shared" si="116"/>
        <v>0</v>
      </c>
      <c r="AV126" s="262">
        <f t="shared" si="117"/>
        <v>0</v>
      </c>
      <c r="AW126" s="412" t="e">
        <f t="shared" si="118"/>
        <v>#DIV/0!</v>
      </c>
      <c r="AX126" s="661">
        <f>MAX(AK126,初期!$E$42)</f>
        <v>0</v>
      </c>
      <c r="AY126" s="248"/>
      <c r="AZ126" s="425"/>
      <c r="BR126" s="265"/>
      <c r="BS126" s="265"/>
      <c r="BT126" s="265"/>
      <c r="BU126" s="265"/>
      <c r="BV126" s="265"/>
      <c r="BW126" s="265"/>
      <c r="BX126" s="265"/>
      <c r="BY126" s="265"/>
      <c r="BZ126" s="265"/>
      <c r="CA126" s="265"/>
      <c r="CB126" s="265"/>
      <c r="CC126" s="265"/>
      <c r="CD126" s="265"/>
      <c r="CE126" s="265"/>
      <c r="CF126" s="265"/>
      <c r="CG126" s="265"/>
      <c r="CH126" s="265"/>
      <c r="CI126" s="265"/>
      <c r="CJ126" s="265"/>
    </row>
    <row r="127" s="543" customFormat="1" ht="16" customHeight="1" spans="7:88">
      <c r="G127" s="425"/>
      <c r="M127" s="656"/>
      <c r="T127" s="580"/>
      <c r="AA127" s="425"/>
      <c r="AH127" s="425"/>
      <c r="AZ127" s="425"/>
      <c r="BR127" s="265"/>
      <c r="BS127" s="265"/>
      <c r="BT127" s="265"/>
      <c r="BU127" s="265"/>
      <c r="BV127" s="265"/>
      <c r="BW127" s="265"/>
      <c r="BX127" s="265"/>
      <c r="BY127" s="265"/>
      <c r="BZ127" s="265"/>
      <c r="CA127" s="265"/>
      <c r="CB127" s="265"/>
      <c r="CC127" s="265"/>
      <c r="CD127" s="265"/>
      <c r="CE127" s="265"/>
      <c r="CF127" s="265"/>
      <c r="CG127" s="265"/>
      <c r="CH127" s="265"/>
      <c r="CI127" s="265"/>
      <c r="CJ127" s="265"/>
    </row>
    <row r="128" s="543" customFormat="1" ht="16" customHeight="1" spans="7:88">
      <c r="G128" s="425"/>
      <c r="M128" s="656"/>
      <c r="T128" s="580"/>
      <c r="AA128" s="425"/>
      <c r="AH128" s="425"/>
      <c r="AZ128" s="425"/>
      <c r="BR128" s="265"/>
      <c r="BS128" s="265"/>
      <c r="BT128" s="265"/>
      <c r="BU128" s="265"/>
      <c r="BV128" s="265"/>
      <c r="BW128" s="265"/>
      <c r="BX128" s="265"/>
      <c r="BY128" s="265"/>
      <c r="BZ128" s="265"/>
      <c r="CA128" s="265"/>
      <c r="CB128" s="265"/>
      <c r="CC128" s="265"/>
      <c r="CD128" s="265"/>
      <c r="CE128" s="265"/>
      <c r="CF128" s="265"/>
      <c r="CG128" s="265"/>
      <c r="CH128" s="265"/>
      <c r="CI128" s="265"/>
      <c r="CJ128" s="265"/>
    </row>
    <row r="129" s="543" customFormat="1" ht="16" customHeight="1" spans="7:88">
      <c r="G129" s="425"/>
      <c r="M129" s="656"/>
      <c r="T129" s="580"/>
      <c r="AA129" s="425"/>
      <c r="AH129" s="425"/>
      <c r="AZ129" s="425"/>
      <c r="BR129" s="265"/>
      <c r="BS129" s="265"/>
      <c r="BT129" s="265"/>
      <c r="BU129" s="265"/>
      <c r="BV129" s="265"/>
      <c r="BW129" s="265"/>
      <c r="BX129" s="265"/>
      <c r="BY129" s="265"/>
      <c r="BZ129" s="265"/>
      <c r="CA129" s="265"/>
      <c r="CB129" s="265"/>
      <c r="CC129" s="265"/>
      <c r="CD129" s="265"/>
      <c r="CE129" s="265"/>
      <c r="CF129" s="265"/>
      <c r="CG129" s="265"/>
      <c r="CH129" s="265"/>
      <c r="CI129" s="265"/>
      <c r="CJ129" s="265"/>
    </row>
    <row r="130" s="543" customFormat="1" ht="16" customHeight="1" spans="7:88">
      <c r="G130" s="425"/>
      <c r="M130" s="656"/>
      <c r="T130" s="580"/>
      <c r="AA130" s="425"/>
      <c r="AH130" s="425"/>
      <c r="AZ130" s="425"/>
      <c r="BR130" s="265"/>
      <c r="BS130" s="265"/>
      <c r="BT130" s="265"/>
      <c r="BU130" s="265"/>
      <c r="BV130" s="265"/>
      <c r="BW130" s="265"/>
      <c r="BX130" s="265"/>
      <c r="BY130" s="265"/>
      <c r="BZ130" s="265"/>
      <c r="CA130" s="265"/>
      <c r="CB130" s="265"/>
      <c r="CC130" s="265"/>
      <c r="CD130" s="265"/>
      <c r="CE130" s="265"/>
      <c r="CF130" s="265"/>
      <c r="CG130" s="265"/>
      <c r="CH130" s="265"/>
      <c r="CI130" s="265"/>
      <c r="CJ130" s="265"/>
    </row>
    <row r="131" s="543" customFormat="1" ht="16" customHeight="1" spans="7:88">
      <c r="G131" s="425"/>
      <c r="M131" s="656"/>
      <c r="T131" s="580"/>
      <c r="AA131" s="425"/>
      <c r="AH131" s="425"/>
      <c r="AZ131" s="425"/>
      <c r="BR131" s="265"/>
      <c r="BS131" s="265"/>
      <c r="BT131" s="265"/>
      <c r="BU131" s="265"/>
      <c r="BV131" s="265"/>
      <c r="BW131" s="265"/>
      <c r="BX131" s="265"/>
      <c r="BY131" s="265"/>
      <c r="BZ131" s="265"/>
      <c r="CA131" s="265"/>
      <c r="CB131" s="265"/>
      <c r="CC131" s="265"/>
      <c r="CD131" s="265"/>
      <c r="CE131" s="265"/>
      <c r="CF131" s="265"/>
      <c r="CG131" s="265"/>
      <c r="CH131" s="265"/>
      <c r="CI131" s="265"/>
      <c r="CJ131" s="265"/>
    </row>
    <row r="132" s="543" customFormat="1" ht="16" customHeight="1" spans="7:88">
      <c r="G132" s="425"/>
      <c r="M132" s="656"/>
      <c r="T132" s="580"/>
      <c r="AA132" s="425"/>
      <c r="AH132" s="425"/>
      <c r="AZ132" s="425"/>
      <c r="BR132" s="265"/>
      <c r="BS132" s="265"/>
      <c r="BT132" s="265"/>
      <c r="BU132" s="265"/>
      <c r="BV132" s="265"/>
      <c r="BW132" s="265"/>
      <c r="BX132" s="265"/>
      <c r="BY132" s="265"/>
      <c r="BZ132" s="265"/>
      <c r="CA132" s="265"/>
      <c r="CB132" s="265"/>
      <c r="CC132" s="265"/>
      <c r="CD132" s="265"/>
      <c r="CE132" s="265"/>
      <c r="CF132" s="265"/>
      <c r="CG132" s="265"/>
      <c r="CH132" s="265"/>
      <c r="CI132" s="265"/>
      <c r="CJ132" s="265"/>
    </row>
    <row r="133" s="543" customFormat="1" ht="16" customHeight="1" spans="7:88">
      <c r="G133" s="425"/>
      <c r="M133" s="656"/>
      <c r="T133" s="580"/>
      <c r="AA133" s="425"/>
      <c r="AH133" s="425"/>
      <c r="AZ133" s="425"/>
      <c r="BR133" s="265"/>
      <c r="BS133" s="265"/>
      <c r="BT133" s="265"/>
      <c r="BU133" s="265"/>
      <c r="BV133" s="265"/>
      <c r="BW133" s="265"/>
      <c r="BX133" s="265"/>
      <c r="BY133" s="265"/>
      <c r="BZ133" s="265"/>
      <c r="CA133" s="265"/>
      <c r="CB133" s="265"/>
      <c r="CC133" s="265"/>
      <c r="CD133" s="265"/>
      <c r="CE133" s="265"/>
      <c r="CF133" s="265"/>
      <c r="CG133" s="265"/>
      <c r="CH133" s="265"/>
      <c r="CI133" s="265"/>
      <c r="CJ133" s="265"/>
    </row>
    <row r="134" s="543" customFormat="1" ht="16" customHeight="1" spans="7:88">
      <c r="G134" s="425"/>
      <c r="M134" s="656"/>
      <c r="T134" s="580"/>
      <c r="AA134" s="425"/>
      <c r="AH134" s="425"/>
      <c r="AZ134" s="425"/>
      <c r="BR134" s="265"/>
      <c r="BS134" s="265"/>
      <c r="BT134" s="265"/>
      <c r="BU134" s="265"/>
      <c r="BV134" s="265"/>
      <c r="BW134" s="265"/>
      <c r="BX134" s="265"/>
      <c r="BY134" s="265"/>
      <c r="BZ134" s="265"/>
      <c r="CA134" s="265"/>
      <c r="CB134" s="265"/>
      <c r="CC134" s="265"/>
      <c r="CD134" s="265"/>
      <c r="CE134" s="265"/>
      <c r="CF134" s="265"/>
      <c r="CG134" s="265"/>
      <c r="CH134" s="265"/>
      <c r="CI134" s="265"/>
      <c r="CJ134" s="265"/>
    </row>
    <row r="135" s="543" customFormat="1" ht="16" customHeight="1" spans="7:88">
      <c r="G135" s="425"/>
      <c r="M135" s="656"/>
      <c r="T135" s="580"/>
      <c r="AA135" s="425"/>
      <c r="AH135" s="425"/>
      <c r="AZ135" s="425"/>
      <c r="BR135" s="265"/>
      <c r="BS135" s="265"/>
      <c r="BT135" s="265"/>
      <c r="BU135" s="265"/>
      <c r="BV135" s="265"/>
      <c r="BW135" s="265"/>
      <c r="BX135" s="265"/>
      <c r="BY135" s="265"/>
      <c r="BZ135" s="265"/>
      <c r="CA135" s="265"/>
      <c r="CB135" s="265"/>
      <c r="CC135" s="265"/>
      <c r="CD135" s="265"/>
      <c r="CE135" s="265"/>
      <c r="CF135" s="265"/>
      <c r="CG135" s="265"/>
      <c r="CH135" s="265"/>
      <c r="CI135" s="265"/>
      <c r="CJ135" s="265"/>
    </row>
    <row r="136" s="543" customFormat="1" ht="16" customHeight="1" spans="7:88">
      <c r="G136" s="425"/>
      <c r="M136" s="656"/>
      <c r="T136" s="580"/>
      <c r="AA136" s="425"/>
      <c r="AH136" s="425"/>
      <c r="AZ136" s="425"/>
      <c r="BR136" s="265"/>
      <c r="BS136" s="265"/>
      <c r="BT136" s="265"/>
      <c r="BU136" s="265"/>
      <c r="BV136" s="265"/>
      <c r="BW136" s="265"/>
      <c r="BX136" s="265"/>
      <c r="BY136" s="265"/>
      <c r="BZ136" s="265"/>
      <c r="CA136" s="265"/>
      <c r="CB136" s="265"/>
      <c r="CC136" s="265"/>
      <c r="CD136" s="265"/>
      <c r="CE136" s="265"/>
      <c r="CF136" s="265"/>
      <c r="CG136" s="265"/>
      <c r="CH136" s="265"/>
      <c r="CI136" s="265"/>
      <c r="CJ136" s="265"/>
    </row>
    <row r="137" s="543" customFormat="1" ht="16" customHeight="1" spans="7:88">
      <c r="G137" s="425"/>
      <c r="M137" s="656"/>
      <c r="T137" s="580"/>
      <c r="AA137" s="425"/>
      <c r="AH137" s="425"/>
      <c r="AZ137" s="425"/>
      <c r="BR137" s="265"/>
      <c r="BS137" s="265"/>
      <c r="BT137" s="265"/>
      <c r="BU137" s="265"/>
      <c r="BV137" s="265"/>
      <c r="BW137" s="265"/>
      <c r="BX137" s="265"/>
      <c r="BY137" s="265"/>
      <c r="BZ137" s="265"/>
      <c r="CA137" s="265"/>
      <c r="CB137" s="265"/>
      <c r="CC137" s="265"/>
      <c r="CD137" s="265"/>
      <c r="CE137" s="265"/>
      <c r="CF137" s="265"/>
      <c r="CG137" s="265"/>
      <c r="CH137" s="265"/>
      <c r="CI137" s="265"/>
      <c r="CJ137" s="265"/>
    </row>
    <row r="138" s="543" customFormat="1" ht="16" customHeight="1" spans="7:88">
      <c r="G138" s="425"/>
      <c r="M138" s="656"/>
      <c r="T138" s="580"/>
      <c r="AA138" s="425"/>
      <c r="AH138" s="425"/>
      <c r="AZ138" s="425"/>
      <c r="BR138" s="265"/>
      <c r="BS138" s="265"/>
      <c r="BT138" s="265"/>
      <c r="BU138" s="265"/>
      <c r="BV138" s="265"/>
      <c r="BW138" s="265"/>
      <c r="BX138" s="265"/>
      <c r="BY138" s="265"/>
      <c r="BZ138" s="265"/>
      <c r="CA138" s="265"/>
      <c r="CB138" s="265"/>
      <c r="CC138" s="265"/>
      <c r="CD138" s="265"/>
      <c r="CE138" s="265"/>
      <c r="CF138" s="265"/>
      <c r="CG138" s="265"/>
      <c r="CH138" s="265"/>
      <c r="CI138" s="265"/>
      <c r="CJ138" s="265"/>
    </row>
    <row r="139" s="543" customFormat="1" ht="16" customHeight="1" spans="7:88">
      <c r="G139" s="425"/>
      <c r="M139" s="656"/>
      <c r="T139" s="580"/>
      <c r="AA139" s="425"/>
      <c r="AH139" s="425"/>
      <c r="AZ139" s="425"/>
      <c r="BR139" s="265"/>
      <c r="BS139" s="265"/>
      <c r="BT139" s="265"/>
      <c r="BU139" s="265"/>
      <c r="BV139" s="265"/>
      <c r="BW139" s="265"/>
      <c r="BX139" s="265"/>
      <c r="BY139" s="265"/>
      <c r="BZ139" s="265"/>
      <c r="CA139" s="265"/>
      <c r="CB139" s="265"/>
      <c r="CC139" s="265"/>
      <c r="CD139" s="265"/>
      <c r="CE139" s="265"/>
      <c r="CF139" s="265"/>
      <c r="CG139" s="265"/>
      <c r="CH139" s="265"/>
      <c r="CI139" s="265"/>
      <c r="CJ139" s="265"/>
    </row>
    <row r="140" s="543" customFormat="1" ht="16" customHeight="1" spans="7:88">
      <c r="G140" s="425"/>
      <c r="M140" s="656"/>
      <c r="T140" s="580"/>
      <c r="AA140" s="425"/>
      <c r="AH140" s="425"/>
      <c r="AZ140" s="425"/>
      <c r="BR140" s="265"/>
      <c r="BS140" s="265"/>
      <c r="BT140" s="265"/>
      <c r="BU140" s="265"/>
      <c r="BV140" s="265"/>
      <c r="BW140" s="265"/>
      <c r="BX140" s="265"/>
      <c r="BY140" s="265"/>
      <c r="BZ140" s="265"/>
      <c r="CA140" s="265"/>
      <c r="CB140" s="265"/>
      <c r="CC140" s="265"/>
      <c r="CD140" s="265"/>
      <c r="CE140" s="265"/>
      <c r="CF140" s="265"/>
      <c r="CG140" s="265"/>
      <c r="CH140" s="265"/>
      <c r="CI140" s="265"/>
      <c r="CJ140" s="265"/>
    </row>
    <row r="141" s="543" customFormat="1" ht="16" customHeight="1" spans="7:88">
      <c r="G141" s="425"/>
      <c r="M141" s="656"/>
      <c r="T141" s="580"/>
      <c r="AA141" s="425"/>
      <c r="AH141" s="425"/>
      <c r="AZ141" s="425"/>
      <c r="BR141" s="265"/>
      <c r="BS141" s="265"/>
      <c r="BT141" s="265"/>
      <c r="BU141" s="265"/>
      <c r="BV141" s="265"/>
      <c r="BW141" s="265"/>
      <c r="BX141" s="265"/>
      <c r="BY141" s="265"/>
      <c r="BZ141" s="265"/>
      <c r="CA141" s="265"/>
      <c r="CB141" s="265"/>
      <c r="CC141" s="265"/>
      <c r="CD141" s="265"/>
      <c r="CE141" s="265"/>
      <c r="CF141" s="265"/>
      <c r="CG141" s="265"/>
      <c r="CH141" s="265"/>
      <c r="CI141" s="265"/>
      <c r="CJ141" s="265"/>
    </row>
    <row r="142" s="543" customFormat="1" ht="16" customHeight="1" spans="7:88">
      <c r="G142" s="425"/>
      <c r="M142" s="656"/>
      <c r="T142" s="580"/>
      <c r="AA142" s="425"/>
      <c r="AH142" s="425"/>
      <c r="AZ142" s="425"/>
      <c r="BR142" s="265"/>
      <c r="BS142" s="265"/>
      <c r="BT142" s="265"/>
      <c r="BU142" s="265"/>
      <c r="BV142" s="265"/>
      <c r="BW142" s="265"/>
      <c r="BX142" s="265"/>
      <c r="BY142" s="265"/>
      <c r="BZ142" s="265"/>
      <c r="CA142" s="265"/>
      <c r="CB142" s="265"/>
      <c r="CC142" s="265"/>
      <c r="CD142" s="265"/>
      <c r="CE142" s="265"/>
      <c r="CF142" s="265"/>
      <c r="CG142" s="265"/>
      <c r="CH142" s="265"/>
      <c r="CI142" s="265"/>
      <c r="CJ142" s="265"/>
    </row>
    <row r="143" s="543" customFormat="1" ht="16" customHeight="1" spans="7:88">
      <c r="G143" s="425"/>
      <c r="M143" s="656"/>
      <c r="T143" s="580"/>
      <c r="AA143" s="425"/>
      <c r="AH143" s="425"/>
      <c r="AZ143" s="425"/>
      <c r="BR143" s="265"/>
      <c r="BS143" s="265"/>
      <c r="BT143" s="265"/>
      <c r="BU143" s="265"/>
      <c r="BV143" s="265"/>
      <c r="BW143" s="265"/>
      <c r="BX143" s="265"/>
      <c r="BY143" s="265"/>
      <c r="BZ143" s="265"/>
      <c r="CA143" s="265"/>
      <c r="CB143" s="265"/>
      <c r="CC143" s="265"/>
      <c r="CD143" s="265"/>
      <c r="CE143" s="265"/>
      <c r="CF143" s="265"/>
      <c r="CG143" s="265"/>
      <c r="CH143" s="265"/>
      <c r="CI143" s="265"/>
      <c r="CJ143" s="265"/>
    </row>
    <row r="144" s="543" customFormat="1" ht="16" customHeight="1" spans="7:88">
      <c r="G144" s="425"/>
      <c r="M144" s="656"/>
      <c r="T144" s="580"/>
      <c r="AA144" s="425"/>
      <c r="AH144" s="425"/>
      <c r="AZ144" s="425"/>
      <c r="BR144" s="265"/>
      <c r="BS144" s="265"/>
      <c r="BT144" s="265"/>
      <c r="BU144" s="265"/>
      <c r="BV144" s="265"/>
      <c r="BW144" s="265"/>
      <c r="BX144" s="265"/>
      <c r="BY144" s="265"/>
      <c r="BZ144" s="265"/>
      <c r="CA144" s="265"/>
      <c r="CB144" s="265"/>
      <c r="CC144" s="265"/>
      <c r="CD144" s="265"/>
      <c r="CE144" s="265"/>
      <c r="CF144" s="265"/>
      <c r="CG144" s="265"/>
      <c r="CH144" s="265"/>
      <c r="CI144" s="265"/>
      <c r="CJ144" s="265"/>
    </row>
    <row r="145" s="543" customFormat="1" ht="16" customHeight="1" spans="7:88">
      <c r="G145" s="425"/>
      <c r="M145" s="656"/>
      <c r="T145" s="580"/>
      <c r="AA145" s="425"/>
      <c r="AH145" s="425"/>
      <c r="AZ145" s="425"/>
      <c r="BR145" s="265"/>
      <c r="BS145" s="265"/>
      <c r="BT145" s="265"/>
      <c r="BU145" s="265"/>
      <c r="BV145" s="265"/>
      <c r="BW145" s="265"/>
      <c r="BX145" s="265"/>
      <c r="BY145" s="265"/>
      <c r="BZ145" s="265"/>
      <c r="CA145" s="265"/>
      <c r="CB145" s="265"/>
      <c r="CC145" s="265"/>
      <c r="CD145" s="265"/>
      <c r="CE145" s="265"/>
      <c r="CF145" s="265"/>
      <c r="CG145" s="265"/>
      <c r="CH145" s="265"/>
      <c r="CI145" s="265"/>
      <c r="CJ145" s="265"/>
    </row>
    <row r="146" s="543" customFormat="1" ht="16" customHeight="1" spans="7:88">
      <c r="G146" s="425"/>
      <c r="M146" s="656"/>
      <c r="T146" s="580"/>
      <c r="AA146" s="425"/>
      <c r="AH146" s="425"/>
      <c r="AZ146" s="425"/>
      <c r="BR146" s="265"/>
      <c r="BS146" s="265"/>
      <c r="BT146" s="265"/>
      <c r="BU146" s="265"/>
      <c r="BV146" s="265"/>
      <c r="BW146" s="265"/>
      <c r="BX146" s="265"/>
      <c r="BY146" s="265"/>
      <c r="BZ146" s="265"/>
      <c r="CA146" s="265"/>
      <c r="CB146" s="265"/>
      <c r="CC146" s="265"/>
      <c r="CD146" s="265"/>
      <c r="CE146" s="265"/>
      <c r="CF146" s="265"/>
      <c r="CG146" s="265"/>
      <c r="CH146" s="265"/>
      <c r="CI146" s="265"/>
      <c r="CJ146" s="265"/>
    </row>
    <row r="147" s="543" customFormat="1" ht="16" customHeight="1" spans="7:88">
      <c r="G147" s="425"/>
      <c r="M147" s="656"/>
      <c r="T147" s="580"/>
      <c r="AA147" s="425"/>
      <c r="AH147" s="425"/>
      <c r="AZ147" s="425"/>
      <c r="BR147" s="265"/>
      <c r="BS147" s="265"/>
      <c r="BT147" s="265"/>
      <c r="BU147" s="265"/>
      <c r="BV147" s="265"/>
      <c r="BW147" s="265"/>
      <c r="BX147" s="265"/>
      <c r="BY147" s="265"/>
      <c r="BZ147" s="265"/>
      <c r="CA147" s="265"/>
      <c r="CB147" s="265"/>
      <c r="CC147" s="265"/>
      <c r="CD147" s="265"/>
      <c r="CE147" s="265"/>
      <c r="CF147" s="265"/>
      <c r="CG147" s="265"/>
      <c r="CH147" s="265"/>
      <c r="CI147" s="265"/>
      <c r="CJ147" s="265"/>
    </row>
    <row r="148" s="543" customFormat="1" ht="16" customHeight="1" spans="7:88">
      <c r="G148" s="425"/>
      <c r="M148" s="656"/>
      <c r="T148" s="580"/>
      <c r="AA148" s="425"/>
      <c r="AH148" s="425"/>
      <c r="AZ148" s="425"/>
      <c r="BR148" s="265"/>
      <c r="BS148" s="265"/>
      <c r="BT148" s="265"/>
      <c r="BU148" s="265"/>
      <c r="BV148" s="265"/>
      <c r="BW148" s="265"/>
      <c r="BX148" s="265"/>
      <c r="BY148" s="265"/>
      <c r="BZ148" s="265"/>
      <c r="CA148" s="265"/>
      <c r="CB148" s="265"/>
      <c r="CC148" s="265"/>
      <c r="CD148" s="265"/>
      <c r="CE148" s="265"/>
      <c r="CF148" s="265"/>
      <c r="CG148" s="265"/>
      <c r="CH148" s="265"/>
      <c r="CI148" s="265"/>
      <c r="CJ148" s="265"/>
    </row>
    <row r="149" s="543" customFormat="1" ht="16" customHeight="1" spans="7:88">
      <c r="G149" s="425"/>
      <c r="M149" s="656"/>
      <c r="T149" s="580"/>
      <c r="AA149" s="425"/>
      <c r="AH149" s="425"/>
      <c r="AZ149" s="425"/>
      <c r="BR149" s="265"/>
      <c r="BS149" s="265"/>
      <c r="BT149" s="265"/>
      <c r="BU149" s="265"/>
      <c r="BV149" s="265"/>
      <c r="BW149" s="265"/>
      <c r="BX149" s="265"/>
      <c r="BY149" s="265"/>
      <c r="BZ149" s="265"/>
      <c r="CA149" s="265"/>
      <c r="CB149" s="265"/>
      <c r="CC149" s="265"/>
      <c r="CD149" s="265"/>
      <c r="CE149" s="265"/>
      <c r="CF149" s="265"/>
      <c r="CG149" s="265"/>
      <c r="CH149" s="265"/>
      <c r="CI149" s="265"/>
      <c r="CJ149" s="265"/>
    </row>
    <row r="150" s="543" customFormat="1" ht="16" customHeight="1" spans="7:88">
      <c r="G150" s="425"/>
      <c r="M150" s="656"/>
      <c r="T150" s="580"/>
      <c r="AA150" s="425"/>
      <c r="AH150" s="425"/>
      <c r="AZ150" s="425"/>
      <c r="BR150" s="265"/>
      <c r="BS150" s="265"/>
      <c r="BT150" s="265"/>
      <c r="BU150" s="265"/>
      <c r="BV150" s="265"/>
      <c r="BW150" s="265"/>
      <c r="BX150" s="265"/>
      <c r="BY150" s="265"/>
      <c r="BZ150" s="265"/>
      <c r="CA150" s="265"/>
      <c r="CB150" s="265"/>
      <c r="CC150" s="265"/>
      <c r="CD150" s="265"/>
      <c r="CE150" s="265"/>
      <c r="CF150" s="265"/>
      <c r="CG150" s="265"/>
      <c r="CH150" s="265"/>
      <c r="CI150" s="265"/>
      <c r="CJ150" s="265"/>
    </row>
    <row r="151" s="543" customFormat="1" customHeight="1" spans="7:88">
      <c r="G151" s="425"/>
      <c r="M151" s="656"/>
      <c r="N151" s="265"/>
      <c r="O151" s="265"/>
      <c r="P151" s="265"/>
      <c r="Q151" s="265"/>
      <c r="R151" s="265"/>
      <c r="T151" s="580"/>
      <c r="AA151" s="425"/>
      <c r="AH151" s="425"/>
      <c r="AZ151" s="425"/>
      <c r="BR151" s="265"/>
      <c r="BS151" s="265"/>
      <c r="BT151" s="265"/>
      <c r="BU151" s="265"/>
      <c r="BV151" s="265"/>
      <c r="BW151" s="265"/>
      <c r="BX151" s="265"/>
      <c r="BY151" s="265"/>
      <c r="BZ151" s="265"/>
      <c r="CA151" s="265"/>
      <c r="CB151" s="265"/>
      <c r="CC151" s="265"/>
      <c r="CD151" s="265"/>
      <c r="CE151" s="265"/>
      <c r="CF151" s="265"/>
      <c r="CG151" s="265"/>
      <c r="CH151" s="265"/>
      <c r="CI151" s="265"/>
      <c r="CJ151" s="265"/>
    </row>
    <row r="152" s="543" customFormat="1" customHeight="1" spans="7:88">
      <c r="G152" s="425"/>
      <c r="M152" s="656"/>
      <c r="N152" s="265"/>
      <c r="O152" s="265"/>
      <c r="P152" s="265"/>
      <c r="Q152" s="265"/>
      <c r="R152" s="265"/>
      <c r="T152" s="580"/>
      <c r="AA152" s="425"/>
      <c r="AH152" s="425"/>
      <c r="AZ152" s="425"/>
      <c r="BR152" s="265"/>
      <c r="BS152" s="265"/>
      <c r="BT152" s="265"/>
      <c r="BU152" s="265"/>
      <c r="BV152" s="265"/>
      <c r="BW152" s="265"/>
      <c r="BX152" s="265"/>
      <c r="BY152" s="265"/>
      <c r="BZ152" s="265"/>
      <c r="CA152" s="265"/>
      <c r="CB152" s="265"/>
      <c r="CC152" s="265"/>
      <c r="CD152" s="265"/>
      <c r="CE152" s="265"/>
      <c r="CF152" s="265"/>
      <c r="CG152" s="265"/>
      <c r="CH152" s="265"/>
      <c r="CI152" s="265"/>
      <c r="CJ152" s="265"/>
    </row>
    <row r="153" s="543" customFormat="1" customHeight="1" spans="7:88">
      <c r="G153" s="425"/>
      <c r="M153" s="656"/>
      <c r="N153" s="265"/>
      <c r="O153" s="265"/>
      <c r="P153" s="265"/>
      <c r="Q153" s="265"/>
      <c r="R153" s="265"/>
      <c r="T153" s="580"/>
      <c r="AA153" s="425"/>
      <c r="AH153" s="425"/>
      <c r="AZ153" s="425"/>
      <c r="BR153" s="265"/>
      <c r="BS153" s="265"/>
      <c r="BT153" s="265"/>
      <c r="BU153" s="265"/>
      <c r="BV153" s="265"/>
      <c r="BW153" s="265"/>
      <c r="BX153" s="265"/>
      <c r="BY153" s="265"/>
      <c r="BZ153" s="265"/>
      <c r="CA153" s="265"/>
      <c r="CB153" s="265"/>
      <c r="CC153" s="265"/>
      <c r="CD153" s="265"/>
      <c r="CE153" s="265"/>
      <c r="CF153" s="265"/>
      <c r="CG153" s="265"/>
      <c r="CH153" s="265"/>
      <c r="CI153" s="265"/>
      <c r="CJ153" s="265"/>
    </row>
    <row r="154" s="543" customFormat="1" customHeight="1" spans="7:88">
      <c r="G154" s="425"/>
      <c r="M154" s="656"/>
      <c r="N154" s="265"/>
      <c r="O154" s="265"/>
      <c r="P154" s="265"/>
      <c r="Q154" s="265"/>
      <c r="R154" s="265"/>
      <c r="T154" s="580"/>
      <c r="AA154" s="425"/>
      <c r="AH154" s="425"/>
      <c r="AZ154" s="425"/>
      <c r="BR154" s="265"/>
      <c r="BS154" s="265"/>
      <c r="BT154" s="265"/>
      <c r="BU154" s="265"/>
      <c r="BV154" s="265"/>
      <c r="BW154" s="265"/>
      <c r="BX154" s="265"/>
      <c r="BY154" s="265"/>
      <c r="BZ154" s="265"/>
      <c r="CA154" s="265"/>
      <c r="CB154" s="265"/>
      <c r="CC154" s="265"/>
      <c r="CD154" s="265"/>
      <c r="CE154" s="265"/>
      <c r="CF154" s="265"/>
      <c r="CG154" s="265"/>
      <c r="CH154" s="265"/>
      <c r="CI154" s="265"/>
      <c r="CJ154" s="265"/>
    </row>
    <row r="155" s="543" customFormat="1" customHeight="1" spans="7:88">
      <c r="G155" s="425"/>
      <c r="M155" s="656"/>
      <c r="N155" s="265"/>
      <c r="O155" s="265"/>
      <c r="P155" s="265"/>
      <c r="Q155" s="265"/>
      <c r="R155" s="265"/>
      <c r="T155" s="580"/>
      <c r="AA155" s="425"/>
      <c r="AH155" s="425"/>
      <c r="AZ155" s="425"/>
      <c r="BR155" s="265"/>
      <c r="BS155" s="265"/>
      <c r="BT155" s="265"/>
      <c r="BU155" s="265"/>
      <c r="BV155" s="265"/>
      <c r="BW155" s="265"/>
      <c r="BX155" s="265"/>
      <c r="BY155" s="265"/>
      <c r="BZ155" s="265"/>
      <c r="CA155" s="265"/>
      <c r="CB155" s="265"/>
      <c r="CC155" s="265"/>
      <c r="CD155" s="265"/>
      <c r="CE155" s="265"/>
      <c r="CF155" s="265"/>
      <c r="CG155" s="265"/>
      <c r="CH155" s="265"/>
      <c r="CI155" s="265"/>
      <c r="CJ155" s="265"/>
    </row>
    <row r="156" s="543" customFormat="1" customHeight="1" spans="7:88">
      <c r="G156" s="425"/>
      <c r="M156" s="656"/>
      <c r="N156" s="265"/>
      <c r="O156" s="265"/>
      <c r="P156" s="265"/>
      <c r="Q156" s="265"/>
      <c r="R156" s="265"/>
      <c r="T156" s="580"/>
      <c r="AA156" s="425"/>
      <c r="AH156" s="425"/>
      <c r="AZ156" s="425"/>
      <c r="BR156" s="265"/>
      <c r="BS156" s="265"/>
      <c r="BT156" s="265"/>
      <c r="BU156" s="265"/>
      <c r="BV156" s="265"/>
      <c r="BW156" s="265"/>
      <c r="BX156" s="265"/>
      <c r="BY156" s="265"/>
      <c r="BZ156" s="265"/>
      <c r="CA156" s="265"/>
      <c r="CB156" s="265"/>
      <c r="CC156" s="265"/>
      <c r="CD156" s="265"/>
      <c r="CE156" s="265"/>
      <c r="CF156" s="265"/>
      <c r="CG156" s="265"/>
      <c r="CH156" s="265"/>
      <c r="CI156" s="265"/>
      <c r="CJ156" s="265"/>
    </row>
    <row r="157" s="543" customFormat="1" customHeight="1" spans="7:88">
      <c r="G157" s="425"/>
      <c r="M157" s="656"/>
      <c r="N157" s="265"/>
      <c r="O157" s="265"/>
      <c r="P157" s="265"/>
      <c r="Q157" s="265"/>
      <c r="R157" s="265"/>
      <c r="T157" s="580"/>
      <c r="AA157" s="425"/>
      <c r="AH157" s="425"/>
      <c r="AZ157" s="425"/>
      <c r="BR157" s="265"/>
      <c r="BS157" s="265"/>
      <c r="BT157" s="265"/>
      <c r="BU157" s="265"/>
      <c r="BV157" s="265"/>
      <c r="BW157" s="265"/>
      <c r="BX157" s="265"/>
      <c r="BY157" s="265"/>
      <c r="BZ157" s="265"/>
      <c r="CA157" s="265"/>
      <c r="CB157" s="265"/>
      <c r="CC157" s="265"/>
      <c r="CD157" s="265"/>
      <c r="CE157" s="265"/>
      <c r="CF157" s="265"/>
      <c r="CG157" s="265"/>
      <c r="CH157" s="265"/>
      <c r="CI157" s="265"/>
      <c r="CJ157" s="265"/>
    </row>
    <row r="158" s="543" customFormat="1" customHeight="1" spans="7:88">
      <c r="G158" s="425"/>
      <c r="M158" s="656"/>
      <c r="N158" s="265"/>
      <c r="O158" s="265"/>
      <c r="P158" s="265"/>
      <c r="Q158" s="265"/>
      <c r="R158" s="265"/>
      <c r="T158" s="580"/>
      <c r="AA158" s="425"/>
      <c r="AH158" s="425"/>
      <c r="AZ158" s="425"/>
      <c r="BR158" s="265"/>
      <c r="BS158" s="265"/>
      <c r="BT158" s="265"/>
      <c r="BU158" s="265"/>
      <c r="BV158" s="265"/>
      <c r="BW158" s="265"/>
      <c r="BX158" s="265"/>
      <c r="BY158" s="265"/>
      <c r="BZ158" s="265"/>
      <c r="CA158" s="265"/>
      <c r="CB158" s="265"/>
      <c r="CC158" s="265"/>
      <c r="CD158" s="265"/>
      <c r="CE158" s="265"/>
      <c r="CF158" s="265"/>
      <c r="CG158" s="265"/>
      <c r="CH158" s="265"/>
      <c r="CI158" s="265"/>
      <c r="CJ158" s="265"/>
    </row>
    <row r="159" s="543" customFormat="1" customHeight="1" spans="7:88">
      <c r="G159" s="425"/>
      <c r="M159" s="656"/>
      <c r="N159" s="265"/>
      <c r="O159" s="265"/>
      <c r="P159" s="265"/>
      <c r="Q159" s="265"/>
      <c r="R159" s="265"/>
      <c r="T159" s="580"/>
      <c r="AA159" s="425"/>
      <c r="AH159" s="425"/>
      <c r="AZ159" s="425"/>
      <c r="BR159" s="265"/>
      <c r="BS159" s="265"/>
      <c r="BT159" s="265"/>
      <c r="BU159" s="265"/>
      <c r="BV159" s="265"/>
      <c r="BW159" s="265"/>
      <c r="BX159" s="265"/>
      <c r="BY159" s="265"/>
      <c r="BZ159" s="265"/>
      <c r="CA159" s="265"/>
      <c r="CB159" s="265"/>
      <c r="CC159" s="265"/>
      <c r="CD159" s="265"/>
      <c r="CE159" s="265"/>
      <c r="CF159" s="265"/>
      <c r="CG159" s="265"/>
      <c r="CH159" s="265"/>
      <c r="CI159" s="265"/>
      <c r="CJ159" s="265"/>
    </row>
    <row r="160" s="543" customFormat="1" customHeight="1" spans="7:88">
      <c r="G160" s="425"/>
      <c r="M160" s="656"/>
      <c r="N160" s="265"/>
      <c r="O160" s="265"/>
      <c r="P160" s="265"/>
      <c r="Q160" s="265"/>
      <c r="R160" s="265"/>
      <c r="T160" s="580"/>
      <c r="AA160" s="425"/>
      <c r="AH160" s="425"/>
      <c r="AZ160" s="425"/>
      <c r="BR160" s="265"/>
      <c r="BS160" s="265"/>
      <c r="BT160" s="265"/>
      <c r="BU160" s="265"/>
      <c r="BV160" s="265"/>
      <c r="BW160" s="265"/>
      <c r="BX160" s="265"/>
      <c r="BY160" s="265"/>
      <c r="BZ160" s="265"/>
      <c r="CA160" s="265"/>
      <c r="CB160" s="265"/>
      <c r="CC160" s="265"/>
      <c r="CD160" s="265"/>
      <c r="CE160" s="265"/>
      <c r="CF160" s="265"/>
      <c r="CG160" s="265"/>
      <c r="CH160" s="265"/>
      <c r="CI160" s="265"/>
      <c r="CJ160" s="265"/>
    </row>
    <row r="161" customHeight="1" spans="13:13">
      <c r="M161" s="656"/>
    </row>
    <row r="162" customHeight="1" spans="13:13">
      <c r="M162" s="656"/>
    </row>
    <row r="163" customHeight="1" spans="13:13">
      <c r="M163" s="656"/>
    </row>
    <row r="164" customHeight="1" spans="13:13">
      <c r="M164" s="656"/>
    </row>
    <row r="165" customHeight="1" spans="13:13">
      <c r="M165" s="656"/>
    </row>
    <row r="166" customHeight="1" spans="13:13">
      <c r="M166" s="656"/>
    </row>
    <row r="167" customHeight="1" spans="13:13">
      <c r="M167" s="656"/>
    </row>
    <row r="168" customHeight="1" spans="13:13">
      <c r="M168" s="656"/>
    </row>
    <row r="169" customHeight="1" spans="13:13">
      <c r="M169" s="656"/>
    </row>
    <row r="170" customHeight="1" spans="13:13">
      <c r="M170" s="656"/>
    </row>
    <row r="171" customHeight="1" spans="8:13">
      <c r="H171" s="266"/>
      <c r="I171" s="266"/>
      <c r="J171" s="266"/>
      <c r="K171" s="266"/>
      <c r="L171" s="266"/>
      <c r="M171" s="656"/>
    </row>
    <row r="172" customHeight="1" spans="8:13">
      <c r="H172" s="266" t="e">
        <f>MIN(L177,INT(N49*520/H177))</f>
        <v>#DIV/0!</v>
      </c>
      <c r="I172" s="266">
        <v>0</v>
      </c>
      <c r="J172" s="266">
        <v>0</v>
      </c>
      <c r="K172" s="266">
        <v>0</v>
      </c>
      <c r="L172" s="266"/>
      <c r="M172" s="656"/>
    </row>
    <row r="173" customHeight="1" spans="8:13">
      <c r="H173" s="266" t="e">
        <f>MIN(L178,MAX(0,INT((520*N49-H172*H177)/H178)))</f>
        <v>#DIV/0!</v>
      </c>
      <c r="I173" s="266">
        <v>0</v>
      </c>
      <c r="J173" s="266" t="e">
        <f>L178-H173</f>
        <v>#DIV/0!</v>
      </c>
      <c r="K173" s="266">
        <v>0</v>
      </c>
      <c r="L173" s="266"/>
      <c r="M173" s="656"/>
    </row>
    <row r="174" customHeight="1" spans="8:13">
      <c r="H174" s="266" t="e">
        <f>MIN(L179,MAX(0,INT((520*N49-H172*H177-H173*H178)/H179)))</f>
        <v>#DIV/0!</v>
      </c>
      <c r="I174" s="266">
        <v>0</v>
      </c>
      <c r="J174" s="266" t="e">
        <f>IF(MIN((L179-H174),MIN(L179,INT((520*N49-J172*H177-J173*H178)/H179)))&lt;0,0,MIN((L179-H174),MIN(L179,INT((520*N49-J172*H177-J173*H178)/H179))))</f>
        <v>#DIV/0!</v>
      </c>
      <c r="K174" s="266" t="e">
        <f>MIN(L180,INT((260*N49-K175*H180)/H179))</f>
        <v>#DIV/0!</v>
      </c>
      <c r="L174" s="266"/>
      <c r="M174" s="656"/>
    </row>
    <row r="175" customHeight="1" spans="8:13">
      <c r="H175" s="266" t="e">
        <f>MAX(0,INT((N49*520-H172*H177-H173*H178-H174*H179)/H180))</f>
        <v>#DIV/0!</v>
      </c>
      <c r="I175" s="266">
        <v>0</v>
      </c>
      <c r="J175" s="266" t="e">
        <f>IF(MIN(L180-K175,INT((520*N49-H177*J172-H178*J173-H179*J174)/H180))&lt;0,0,MIN(L180-K175,INT((520*N49-H177*J172-H178*J173-H179*J174)/H180)))</f>
        <v>#DIV/0!</v>
      </c>
      <c r="K175" s="266" t="e">
        <f>MIN(L180,INT(260*N49/H180))</f>
        <v>#DIV/0!</v>
      </c>
      <c r="L175" s="266"/>
      <c r="M175" s="656"/>
    </row>
    <row r="176" customHeight="1" spans="8:12">
      <c r="H176" s="266"/>
      <c r="I176" s="266"/>
      <c r="J176" s="266"/>
      <c r="K176" s="266"/>
      <c r="L176" s="266"/>
    </row>
    <row r="177" customHeight="1" spans="8:12">
      <c r="H177" s="266">
        <f>初始化表!E17</f>
        <v>0</v>
      </c>
      <c r="I177" s="266">
        <f>初始化表!E18</f>
        <v>0</v>
      </c>
      <c r="J177" s="266">
        <f>初始化表!E19</f>
        <v>0</v>
      </c>
      <c r="K177" s="266"/>
      <c r="L177" s="266">
        <f>L35</f>
        <v>0</v>
      </c>
    </row>
    <row r="178" customHeight="1" spans="8:12">
      <c r="H178" s="266">
        <f>初始化表!F17</f>
        <v>0</v>
      </c>
      <c r="I178" s="266">
        <f>初始化表!F18</f>
        <v>0</v>
      </c>
      <c r="J178" s="266">
        <f>初始化表!F19</f>
        <v>0</v>
      </c>
      <c r="K178" s="266"/>
      <c r="L178" s="266">
        <f>L36</f>
        <v>0</v>
      </c>
    </row>
    <row r="179" customHeight="1" spans="8:12">
      <c r="H179" s="266">
        <f>初始化表!G17</f>
        <v>0</v>
      </c>
      <c r="I179" s="266">
        <f>初始化表!G18</f>
        <v>0</v>
      </c>
      <c r="J179" s="266">
        <f>初始化表!G19</f>
        <v>0</v>
      </c>
      <c r="K179" s="266"/>
      <c r="L179" s="266">
        <f>L37</f>
        <v>0</v>
      </c>
    </row>
    <row r="180" customHeight="1" spans="8:12">
      <c r="H180" s="266">
        <f>初始化表!H17</f>
        <v>0</v>
      </c>
      <c r="I180" s="266">
        <f>初始化表!H18</f>
        <v>0</v>
      </c>
      <c r="J180" s="266">
        <f>初始化表!H19</f>
        <v>0</v>
      </c>
      <c r="K180" s="266"/>
      <c r="L180" s="266">
        <f>L38</f>
        <v>0</v>
      </c>
    </row>
    <row r="181" customHeight="1" spans="8:12">
      <c r="H181" s="266"/>
      <c r="I181" s="266"/>
      <c r="J181" s="266"/>
      <c r="K181" s="266"/>
      <c r="L181" s="266"/>
    </row>
    <row r="182" customHeight="1" spans="8:12">
      <c r="H182" s="266" t="e">
        <f>MIN(L177,INT(N49*520/H177))</f>
        <v>#DIV/0!</v>
      </c>
      <c r="I182" s="266">
        <v>0</v>
      </c>
      <c r="J182" s="266">
        <v>0</v>
      </c>
      <c r="K182" s="266">
        <v>0</v>
      </c>
      <c r="L182" s="266"/>
    </row>
    <row r="183" customHeight="1" spans="8:12">
      <c r="H183" s="266" t="e">
        <f>MIN(L178,MAX(0,INT((520*N49-H172*H177)/H178)))</f>
        <v>#DIV/0!</v>
      </c>
      <c r="I183" s="266">
        <v>0</v>
      </c>
      <c r="J183" s="266" t="e">
        <f>L188-H183</f>
        <v>#DIV/0!</v>
      </c>
      <c r="K183" s="266">
        <v>0</v>
      </c>
      <c r="L183" s="266"/>
    </row>
    <row r="184" customHeight="1" spans="8:12">
      <c r="H184" s="266" t="e">
        <f>MIN(L179,MAX(0,INT((520*N49-H172*H177-H173*H178)/H179)))</f>
        <v>#DIV/0!</v>
      </c>
      <c r="I184" s="266">
        <v>0</v>
      </c>
      <c r="J184" s="266">
        <f>INT(L179/3*2)</f>
        <v>0</v>
      </c>
      <c r="K184" s="266">
        <f>INT(J184/2)</f>
        <v>0</v>
      </c>
      <c r="L184" s="266"/>
    </row>
    <row r="185" customHeight="1" spans="8:12">
      <c r="H185" s="266" t="e">
        <f>MAX(0,INT((N49*520-H172*H177-H173*H178-H174*H179)/H180))</f>
        <v>#DIV/0!</v>
      </c>
      <c r="I185" s="266">
        <v>0</v>
      </c>
      <c r="J185" s="266">
        <f>INT(L180/3*2)</f>
        <v>0</v>
      </c>
      <c r="K185" s="266">
        <f>INT(J185/2)</f>
        <v>0</v>
      </c>
      <c r="L185" s="266"/>
    </row>
    <row r="200" customHeight="1" spans="1:6">
      <c r="A200" s="265" t="s">
        <v>283</v>
      </c>
      <c r="B200" s="265" t="s">
        <v>314</v>
      </c>
      <c r="C200" s="265" t="s">
        <v>315</v>
      </c>
      <c r="D200" s="265" t="s">
        <v>316</v>
      </c>
      <c r="E200" s="265" t="s">
        <v>317</v>
      </c>
      <c r="F200" s="265" t="s">
        <v>318</v>
      </c>
    </row>
    <row r="201" customHeight="1" spans="1:6">
      <c r="A201" s="265" t="s">
        <v>35</v>
      </c>
      <c r="B201" s="265">
        <v>100</v>
      </c>
      <c r="C201" s="267">
        <v>0</v>
      </c>
      <c r="D201" s="267">
        <v>100000</v>
      </c>
      <c r="E201" s="265">
        <v>1</v>
      </c>
      <c r="F201" s="265">
        <v>0.95</v>
      </c>
    </row>
    <row r="202" customHeight="1" spans="1:6">
      <c r="A202" s="265" t="s">
        <v>36</v>
      </c>
      <c r="B202" s="265">
        <v>50</v>
      </c>
      <c r="C202" s="267">
        <v>0</v>
      </c>
      <c r="D202" s="267">
        <v>200000</v>
      </c>
      <c r="E202" s="265">
        <v>1</v>
      </c>
      <c r="F202" s="265">
        <v>0.95</v>
      </c>
    </row>
    <row r="203" customHeight="1" spans="1:6">
      <c r="A203" s="265" t="s">
        <v>62</v>
      </c>
      <c r="B203" s="265">
        <v>0</v>
      </c>
      <c r="C203" s="265">
        <v>0</v>
      </c>
      <c r="D203" s="265">
        <v>0</v>
      </c>
      <c r="E203" s="265">
        <v>0</v>
      </c>
      <c r="F203" s="265">
        <v>0.95</v>
      </c>
    </row>
    <row r="204" customHeight="1" spans="1:6">
      <c r="A204" s="265" t="s">
        <v>63</v>
      </c>
      <c r="B204" s="265">
        <v>0</v>
      </c>
      <c r="C204" s="265">
        <v>0</v>
      </c>
      <c r="D204" s="265">
        <v>0</v>
      </c>
      <c r="E204" s="265">
        <v>0</v>
      </c>
      <c r="F204" s="265">
        <v>0.95</v>
      </c>
    </row>
    <row r="222" customHeight="1" spans="35:39">
      <c r="AI222" s="265" t="s">
        <v>715</v>
      </c>
      <c r="AJ222" s="265" t="s">
        <v>357</v>
      </c>
      <c r="AK222" s="265" t="s">
        <v>358</v>
      </c>
      <c r="AL222" s="265" t="s">
        <v>359</v>
      </c>
      <c r="AM222" s="265" t="s">
        <v>360</v>
      </c>
    </row>
    <row r="223" customHeight="1" spans="35:36">
      <c r="AI223" s="265" t="s">
        <v>361</v>
      </c>
      <c r="AJ223" s="267">
        <v>10527014.29</v>
      </c>
    </row>
    <row r="224" customHeight="1" spans="35:39">
      <c r="AI224" s="265" t="s">
        <v>309</v>
      </c>
      <c r="AJ224" s="267">
        <v>0</v>
      </c>
      <c r="AM224" s="267">
        <v>10527014.29</v>
      </c>
    </row>
    <row r="225" customHeight="1" spans="35:39">
      <c r="AI225" s="265" t="s">
        <v>362</v>
      </c>
      <c r="AJ225" s="267">
        <v>888888</v>
      </c>
      <c r="AM225" s="267">
        <v>11415902.29</v>
      </c>
    </row>
    <row r="226" customHeight="1" spans="35:39">
      <c r="AI226" s="265" t="s">
        <v>363</v>
      </c>
      <c r="AJ226" s="267">
        <v>-50000</v>
      </c>
      <c r="AM226" s="267">
        <v>11365902.29</v>
      </c>
    </row>
    <row r="227" customHeight="1" spans="35:39">
      <c r="AI227" s="265" t="s">
        <v>364</v>
      </c>
      <c r="AJ227" s="267">
        <v>-13500</v>
      </c>
      <c r="AL227" s="267">
        <v>13500</v>
      </c>
      <c r="AM227" s="267">
        <v>11352402.29</v>
      </c>
    </row>
    <row r="228" customHeight="1" spans="35:39">
      <c r="AI228" s="265" t="s">
        <v>365</v>
      </c>
      <c r="AJ228" s="267">
        <v>-83200</v>
      </c>
      <c r="AL228" s="267">
        <v>96700</v>
      </c>
      <c r="AM228" s="267">
        <v>11269202.29</v>
      </c>
    </row>
    <row r="229" customHeight="1" spans="35:39">
      <c r="AI229" s="265" t="s">
        <v>366</v>
      </c>
      <c r="AJ229" s="267">
        <v>-10400</v>
      </c>
      <c r="AL229" s="267">
        <v>107100</v>
      </c>
      <c r="AM229" s="267">
        <v>11258802.29</v>
      </c>
    </row>
    <row r="230" customHeight="1" spans="35:39">
      <c r="AI230" s="265" t="s">
        <v>367</v>
      </c>
      <c r="AJ230" s="267">
        <v>-762044.4</v>
      </c>
      <c r="AL230" s="267">
        <v>869144.4</v>
      </c>
      <c r="AM230" s="267">
        <v>10496757.89</v>
      </c>
    </row>
    <row r="231" customHeight="1" spans="35:39">
      <c r="AI231" s="265" t="s">
        <v>368</v>
      </c>
      <c r="AJ231" s="267">
        <v>-143100</v>
      </c>
      <c r="AL231" s="267">
        <v>1012244.4</v>
      </c>
      <c r="AM231" s="267">
        <v>10353657.89</v>
      </c>
    </row>
    <row r="232" customHeight="1" spans="35:39">
      <c r="AI232" s="265" t="s">
        <v>369</v>
      </c>
      <c r="AJ232" s="265">
        <v>0</v>
      </c>
      <c r="AM232" s="267">
        <v>10353657.89</v>
      </c>
    </row>
    <row r="233" customHeight="1" spans="35:39">
      <c r="AI233" s="265" t="s">
        <v>370</v>
      </c>
      <c r="AJ233" s="267">
        <v>-970000</v>
      </c>
      <c r="AM233" s="267">
        <v>9383657.89</v>
      </c>
    </row>
    <row r="234" customHeight="1" spans="35:38">
      <c r="AI234" s="265" t="s">
        <v>371</v>
      </c>
      <c r="AJ234" s="267">
        <v>-485000</v>
      </c>
      <c r="AL234" s="267">
        <v>1497244.4</v>
      </c>
    </row>
    <row r="235" customHeight="1" spans="35:39">
      <c r="AI235" s="265" t="s">
        <v>372</v>
      </c>
      <c r="AJ235" s="267">
        <v>-1091522</v>
      </c>
      <c r="AM235" s="267">
        <v>8292135.89</v>
      </c>
    </row>
    <row r="236" customHeight="1" spans="35:39">
      <c r="AI236" s="265" t="s">
        <v>373</v>
      </c>
      <c r="AJ236" s="267">
        <v>21830.44</v>
      </c>
      <c r="AK236" s="267">
        <v>21830.44</v>
      </c>
      <c r="AM236" s="267">
        <v>8313966.33</v>
      </c>
    </row>
    <row r="237" customHeight="1" spans="35:39">
      <c r="AI237" s="265" t="s">
        <v>374</v>
      </c>
      <c r="AJ237" s="267">
        <v>-30830.44</v>
      </c>
      <c r="AL237" s="267">
        <v>1528074.84</v>
      </c>
      <c r="AM237" s="267">
        <v>8283135.89</v>
      </c>
    </row>
    <row r="238" customHeight="1" spans="35:39">
      <c r="AI238" s="265" t="s">
        <v>244</v>
      </c>
      <c r="AJ238" s="267">
        <v>-73000</v>
      </c>
      <c r="AL238" s="267">
        <v>1601074.84</v>
      </c>
      <c r="AM238" s="267">
        <v>8210135.89</v>
      </c>
    </row>
    <row r="239" customHeight="1" spans="35:39">
      <c r="AI239" s="265" t="s">
        <v>375</v>
      </c>
      <c r="AJ239" s="267">
        <v>-662793.52</v>
      </c>
      <c r="AL239" s="267">
        <v>2263868.36</v>
      </c>
      <c r="AM239" s="267">
        <v>7547342.37</v>
      </c>
    </row>
    <row r="240" customHeight="1" spans="35:38">
      <c r="AI240" s="265" t="s">
        <v>376</v>
      </c>
      <c r="AJ240" s="267">
        <v>-1102360</v>
      </c>
      <c r="AL240" s="267">
        <v>3366228.36</v>
      </c>
    </row>
    <row r="241" customHeight="1" spans="35:39">
      <c r="AI241" s="265" t="s">
        <v>377</v>
      </c>
      <c r="AJ241" s="267">
        <v>-551050</v>
      </c>
      <c r="AL241" s="267">
        <v>3917278.36</v>
      </c>
      <c r="AM241" s="267">
        <v>6996292.37</v>
      </c>
    </row>
    <row r="242" customHeight="1" spans="35:39">
      <c r="AI242" s="265" t="s">
        <v>276</v>
      </c>
      <c r="AJ242" s="267">
        <v>-183000</v>
      </c>
      <c r="AL242" s="267">
        <v>4100278.36</v>
      </c>
      <c r="AM242" s="267">
        <v>6813292.37</v>
      </c>
    </row>
    <row r="243" customHeight="1" spans="35:39">
      <c r="AI243" s="265" t="s">
        <v>280</v>
      </c>
      <c r="AJ243" s="267">
        <v>-183000</v>
      </c>
      <c r="AL243" s="267">
        <v>4283278.36</v>
      </c>
      <c r="AM243" s="267">
        <v>6630292.37</v>
      </c>
    </row>
    <row r="244" customHeight="1" spans="35:39">
      <c r="AI244" s="265" t="s">
        <v>378</v>
      </c>
      <c r="AJ244" s="267">
        <v>5722575</v>
      </c>
      <c r="AK244" s="267">
        <v>5744405.44</v>
      </c>
      <c r="AM244" s="267">
        <v>12352867.37</v>
      </c>
    </row>
    <row r="245" customHeight="1" spans="35:39">
      <c r="AI245" s="265" t="s">
        <v>379</v>
      </c>
      <c r="AJ245" s="267">
        <v>0</v>
      </c>
      <c r="AL245" s="267">
        <v>4283278.36</v>
      </c>
      <c r="AM245" s="267">
        <v>12352867.37</v>
      </c>
    </row>
    <row r="246" customHeight="1" spans="35:38">
      <c r="AI246" s="265" t="s">
        <v>380</v>
      </c>
      <c r="AJ246" s="267">
        <v>-715500</v>
      </c>
      <c r="AL246" s="267">
        <v>4998778.36</v>
      </c>
    </row>
    <row r="247" customHeight="1" spans="35:38">
      <c r="AI247" s="265" t="s">
        <v>381</v>
      </c>
      <c r="AJ247" s="267">
        <v>-242073.27</v>
      </c>
      <c r="AL247" s="267">
        <v>5240851.63</v>
      </c>
    </row>
    <row r="248" customHeight="1" spans="35:39">
      <c r="AI248" s="265" t="s">
        <v>382</v>
      </c>
      <c r="AJ248" s="267">
        <v>-1854.82</v>
      </c>
      <c r="AL248" s="267">
        <v>5242706.45</v>
      </c>
      <c r="AM248" s="267">
        <v>12351012.55</v>
      </c>
    </row>
    <row r="249" customHeight="1" spans="35:39">
      <c r="AI249" s="265" t="s">
        <v>383</v>
      </c>
      <c r="AJ249" s="267">
        <v>-14225</v>
      </c>
      <c r="AL249" s="267">
        <v>5256931.45</v>
      </c>
      <c r="AM249" s="267">
        <v>12336787.55</v>
      </c>
    </row>
    <row r="250" customHeight="1" spans="35:39">
      <c r="AI250" s="265" t="s">
        <v>384</v>
      </c>
      <c r="AJ250" s="265">
        <v>0</v>
      </c>
      <c r="AM250" s="267">
        <v>12336787.55</v>
      </c>
    </row>
    <row r="251" customHeight="1" spans="35:39">
      <c r="AI251" s="265" t="s">
        <v>385</v>
      </c>
      <c r="AJ251" s="265">
        <v>0</v>
      </c>
      <c r="AK251" s="267">
        <v>5744405.44</v>
      </c>
      <c r="AM251" s="267">
        <v>12336787.55</v>
      </c>
    </row>
    <row r="252" customHeight="1" spans="35:39">
      <c r="AI252" s="265" t="s">
        <v>386</v>
      </c>
      <c r="AJ252" s="267">
        <v>0</v>
      </c>
      <c r="AM252" s="267">
        <v>12336787.55</v>
      </c>
    </row>
    <row r="253" customHeight="1" spans="35:39">
      <c r="AI253" s="265" t="s">
        <v>387</v>
      </c>
      <c r="AJ253" s="265">
        <v>0</v>
      </c>
      <c r="AL253" s="267">
        <v>5256931.45</v>
      </c>
      <c r="AM253" s="267">
        <v>12336787.55</v>
      </c>
    </row>
    <row r="254" customHeight="1" spans="35:39">
      <c r="AI254" s="265" t="s">
        <v>388</v>
      </c>
      <c r="AJ254" s="265">
        <v>0</v>
      </c>
      <c r="AM254" s="267">
        <v>12336787.55</v>
      </c>
    </row>
    <row r="255" customHeight="1" spans="35:39">
      <c r="AI255" s="265" t="s">
        <v>389</v>
      </c>
      <c r="AJ255" s="265">
        <v>0</v>
      </c>
      <c r="AL255" s="267">
        <v>5256931.45</v>
      </c>
      <c r="AM255" s="267">
        <v>12336787.55</v>
      </c>
    </row>
    <row r="256" customHeight="1" spans="35:39">
      <c r="AI256" s="265" t="s">
        <v>390</v>
      </c>
      <c r="AJ256" s="267">
        <v>-112119.02</v>
      </c>
      <c r="AM256" s="267">
        <v>12224668.53</v>
      </c>
    </row>
    <row r="257" customHeight="1" spans="35:39">
      <c r="AI257" s="265" t="s">
        <v>306</v>
      </c>
      <c r="AJ257" s="267">
        <v>-5850000</v>
      </c>
      <c r="AM257" s="267">
        <v>6374668.53</v>
      </c>
    </row>
    <row r="258" customHeight="1" spans="35:39">
      <c r="AI258" s="265" t="s">
        <v>391</v>
      </c>
      <c r="AJ258" s="267">
        <v>-288888</v>
      </c>
      <c r="AM258" s="267">
        <v>6085780.53</v>
      </c>
    </row>
    <row r="259" customHeight="1" spans="35:39">
      <c r="AI259" s="265" t="s">
        <v>392</v>
      </c>
      <c r="AJ259" s="267">
        <v>0</v>
      </c>
      <c r="AM259" s="267">
        <v>6085780.53</v>
      </c>
    </row>
  </sheetData>
  <sheetProtection selectLockedCells="1"/>
  <protectedRanges>
    <protectedRange sqref="U1:CS3 A63:B63 N69:R177 A39:S44 A38:Q38 S38 U127:CS187 U106:AQ126 CJ51:CS51 CJ25:CS27 U4:BR4 AA41:AH45 U5:AB8 AD5:BR8 T48:T187 A45:R47 V29:AH29 CK4:CS24 D63:N63 S66:S187 O61 P48:S63 N65:N68 O48:O59 A48:N62 U30:BH34 O64:S65 O66:R68 U9:AH28 AX106:CS126 A64:N64 A65:M187 U81:CS105 BJ30:CS40 T20:T44 AZ51:BS51 AZ35:BH50 AZ52:CS80 AR28:CS29 AR9:BR27 T1:T8 A1:G37 H23:L37 H1:L21 T10:T18 Z46:AH80 Z35:AH40 U40:Y80 BJ42:CS50 BJ41:BL41 BN41:CS41 M1:S37" name="区域1"/>
    <protectedRange sqref="C63" name="区域1_1"/>
    <protectedRange sqref="R38" name="区域1_2"/>
    <protectedRange sqref="AR107:AV126" name="区域1_3"/>
    <protectedRange sqref="AR106" name="区域1_17"/>
    <protectedRange sqref="AS106" name="区域1_17_1"/>
    <protectedRange sqref="AT106" name="区域1_17_2"/>
    <protectedRange sqref="AU106" name="区域1_17_4"/>
    <protectedRange sqref="AV106" name="区域1_18"/>
    <protectedRange sqref="BT51:CI51" name="区域1_4"/>
    <protectedRange sqref="AW107:AW126" name="区域1_15"/>
    <protectedRange sqref="AW106" name="区域1_17_3_1"/>
    <protectedRange sqref="CB25:CI27 BS25:BZ26 BS4:BS24" name="区域1_8"/>
    <protectedRange sqref="BS27:BZ27" name="区域1_9"/>
    <protectedRange sqref="CA27" name="区域1_7_2"/>
    <protectedRange sqref="CA25:CA26" name="区域1_7_1_1_1"/>
    <protectedRange sqref="BT4:CA4 BT5:BZ24" name="区域1_17_5"/>
    <protectedRange sqref="CA5:CA24" name="区域1_6_2_1_2"/>
    <protectedRange sqref="Z41:Z45" name="区域1_5"/>
    <protectedRange sqref="AC5:AC8" name="区域1_15_1"/>
    <protectedRange sqref="S45:T47" name="区域3"/>
    <protectedRange sqref="U29" name="区域1_6"/>
    <protectedRange sqref="CH4:CJ24" name="区域1_12"/>
    <protectedRange sqref="CG4:CG24" name="区域1_19_1"/>
    <protectedRange sqref="CF4:CF24" name="区域1_12_1"/>
    <protectedRange sqref="CB4:CE4 CB5:CB24" name="区域1_17_1_1"/>
    <protectedRange sqref="CC5:CE24" name="区域1_5_1_1_1"/>
    <protectedRange sqref="BI30:BI50" name="区域1_7"/>
    <protectedRange sqref="AI35:AY35 AI37:AY56 AI60 AI36 AI58:AY59 AI61:AY80" name="区域2"/>
    <protectedRange sqref="AJ60:AY60 AJ36:AY36" name="区域1_1_1_1"/>
    <protectedRange sqref="AI57" name="区域1_14_1"/>
    <protectedRange sqref="AJ57:AY57" name="区域1_25_1"/>
    <protectedRange sqref="AI9:AQ29" name="区域2_1"/>
    <protectedRange sqref="T9" name="区域1_27_1"/>
    <protectedRange sqref="H22:L22" name="区域1_14_1_1"/>
    <protectedRange sqref="BM41" name="区域1_10"/>
    <protectedRange sqref="V35:Y35 U36:Y39" name="区域1_11"/>
    <protectedRange sqref="U35" name="区域1_6_1"/>
  </protectedRanges>
  <mergeCells count="104">
    <mergeCell ref="CK3:CS3"/>
    <mergeCell ref="A4:F4"/>
    <mergeCell ref="H4:L4"/>
    <mergeCell ref="N4:R4"/>
    <mergeCell ref="BA4:BQ4"/>
    <mergeCell ref="BB5:BE5"/>
    <mergeCell ref="BF5:BI5"/>
    <mergeCell ref="BJ5:BM5"/>
    <mergeCell ref="BN5:BQ5"/>
    <mergeCell ref="AI7:AQ7"/>
    <mergeCell ref="H11:L11"/>
    <mergeCell ref="H23:L23"/>
    <mergeCell ref="A26:F26"/>
    <mergeCell ref="BS27:BV27"/>
    <mergeCell ref="A28:B28"/>
    <mergeCell ref="C28:F28"/>
    <mergeCell ref="BT28:BW28"/>
    <mergeCell ref="BX28:CA28"/>
    <mergeCell ref="CB28:CE28"/>
    <mergeCell ref="CF28:CI28"/>
    <mergeCell ref="A29:B29"/>
    <mergeCell ref="K29:L29"/>
    <mergeCell ref="A30:B30"/>
    <mergeCell ref="BM30:BQ30"/>
    <mergeCell ref="A31:B31"/>
    <mergeCell ref="N31:R31"/>
    <mergeCell ref="A32:B32"/>
    <mergeCell ref="A33:B33"/>
    <mergeCell ref="A34:B34"/>
    <mergeCell ref="AI34:AY34"/>
    <mergeCell ref="A35:B35"/>
    <mergeCell ref="AJ35:AM35"/>
    <mergeCell ref="AN35:AQ35"/>
    <mergeCell ref="AR35:AU35"/>
    <mergeCell ref="AV35:AY35"/>
    <mergeCell ref="A36:B36"/>
    <mergeCell ref="A37:B37"/>
    <mergeCell ref="A38:B38"/>
    <mergeCell ref="N38:O38"/>
    <mergeCell ref="A39:B39"/>
    <mergeCell ref="J39:L39"/>
    <mergeCell ref="N39:R39"/>
    <mergeCell ref="A40:B40"/>
    <mergeCell ref="AB40:AC40"/>
    <mergeCell ref="AD40:AE40"/>
    <mergeCell ref="A41:B41"/>
    <mergeCell ref="H41:L41"/>
    <mergeCell ref="AB41:AC41"/>
    <mergeCell ref="AD41:AE41"/>
    <mergeCell ref="A42:B42"/>
    <mergeCell ref="AB42:AC42"/>
    <mergeCell ref="AD42:AE42"/>
    <mergeCell ref="A43:B43"/>
    <mergeCell ref="A44:B44"/>
    <mergeCell ref="A45:B45"/>
    <mergeCell ref="H45:L45"/>
    <mergeCell ref="A46:B46"/>
    <mergeCell ref="A47:B47"/>
    <mergeCell ref="N47:R47"/>
    <mergeCell ref="A48:B48"/>
    <mergeCell ref="A49:B49"/>
    <mergeCell ref="A50:B50"/>
    <mergeCell ref="A51:B51"/>
    <mergeCell ref="A52:B52"/>
    <mergeCell ref="A53:B53"/>
    <mergeCell ref="A54:B54"/>
    <mergeCell ref="A55:B55"/>
    <mergeCell ref="A56:B56"/>
    <mergeCell ref="A57:B57"/>
    <mergeCell ref="A58:B58"/>
    <mergeCell ref="AI58:AY58"/>
    <mergeCell ref="A59:B59"/>
    <mergeCell ref="AJ59:AM59"/>
    <mergeCell ref="AN59:AQ59"/>
    <mergeCell ref="AR59:AU59"/>
    <mergeCell ref="AV59:AY59"/>
    <mergeCell ref="A60:B60"/>
    <mergeCell ref="A61:B61"/>
    <mergeCell ref="A62:B62"/>
    <mergeCell ref="A63:B63"/>
    <mergeCell ref="A64:B64"/>
    <mergeCell ref="A66:C66"/>
    <mergeCell ref="E66:F66"/>
    <mergeCell ref="B80:C80"/>
    <mergeCell ref="AI82:AV82"/>
    <mergeCell ref="A21:A22"/>
    <mergeCell ref="A23:A24"/>
    <mergeCell ref="F21:F22"/>
    <mergeCell ref="M23:M24"/>
    <mergeCell ref="T18:T19"/>
    <mergeCell ref="AI35:AI36"/>
    <mergeCell ref="AI59:AI60"/>
    <mergeCell ref="BA5:BA6"/>
    <mergeCell ref="BS28:BS29"/>
    <mergeCell ref="AB1:AG2"/>
    <mergeCell ref="U1:Z2"/>
    <mergeCell ref="A1:F2"/>
    <mergeCell ref="H1:R2"/>
    <mergeCell ref="N60:R63"/>
    <mergeCell ref="BS1:CI2"/>
    <mergeCell ref="AI1:AY2"/>
    <mergeCell ref="BA1:BQ2"/>
    <mergeCell ref="AI31:AY32"/>
    <mergeCell ref="AI4:AY5"/>
  </mergeCells>
  <conditionalFormatting sqref="G4">
    <cfRule type="cellIs" dxfId="0" priority="1" operator="equal">
      <formula>"""价格打错"""</formula>
    </cfRule>
  </conditionalFormatting>
  <conditionalFormatting sqref="AG11">
    <cfRule type="cellIs" dxfId="3" priority="12" stopIfTrue="1" operator="equal">
      <formula>"正确"</formula>
    </cfRule>
    <cfRule type="cellIs" dxfId="4" priority="13" stopIfTrue="1" operator="equal">
      <formula>“错误”</formula>
    </cfRule>
    <cfRule type="cellIs" dxfId="5" priority="14" stopIfTrue="1" operator="equal">
      <formula>"未粘报表"</formula>
    </cfRule>
  </conditionalFormatting>
  <conditionalFormatting sqref="AH11">
    <cfRule type="cellIs" dxfId="6" priority="5" stopIfTrue="1" operator="equal">
      <formula>"未粘报表"</formula>
    </cfRule>
    <cfRule type="cellIs" dxfId="6" priority="10" stopIfTrue="1" operator="equal">
      <formula>"现金错误"</formula>
    </cfRule>
    <cfRule type="cellIs" dxfId="7" priority="11" stopIfTrue="1" operator="equal">
      <formula>"现金正确"</formula>
    </cfRule>
  </conditionalFormatting>
  <conditionalFormatting sqref="AG13">
    <cfRule type="cellIs" dxfId="6" priority="4" stopIfTrue="1" operator="equal">
      <formula>"未粘报表"</formula>
    </cfRule>
    <cfRule type="cellIs" dxfId="6" priority="8" stopIfTrue="1" operator="equal">
      <formula>"成本错误"</formula>
    </cfRule>
    <cfRule type="cellIs" dxfId="7" priority="9" stopIfTrue="1" operator="equal">
      <formula>"成本正确"</formula>
    </cfRule>
  </conditionalFormatting>
  <conditionalFormatting sqref="AH13">
    <cfRule type="cellIs" dxfId="6" priority="3" stopIfTrue="1" operator="equal">
      <formula>"未粘报表"</formula>
    </cfRule>
    <cfRule type="cellIs" dxfId="6" priority="6" stopIfTrue="1" operator="equal">
      <formula>"分红错误"</formula>
    </cfRule>
    <cfRule type="cellIs" dxfId="7" priority="7" stopIfTrue="1" operator="equal">
      <formula>"分红正确"</formula>
    </cfRule>
  </conditionalFormatting>
  <conditionalFormatting sqref="K18">
    <cfRule type="cellIs" dxfId="8" priority="27" stopIfTrue="1" operator="lessThan">
      <formula>$J$17</formula>
    </cfRule>
  </conditionalFormatting>
  <conditionalFormatting sqref="K43">
    <cfRule type="cellIs" dxfId="8" priority="28" stopIfTrue="1" operator="lessThan">
      <formula>$I$43</formula>
    </cfRule>
  </conditionalFormatting>
  <conditionalFormatting sqref="T47">
    <cfRule type="expression" dxfId="9" priority="2">
      <formula>"&gt;0"</formula>
    </cfRule>
  </conditionalFormatting>
  <dataValidations count="2">
    <dataValidation type="whole" operator="between" allowBlank="1" showInputMessage="1" showErrorMessage="1" error="请输入正确" sqref="K43">
      <formula1>I43</formula1>
      <formula2>10000000000</formula2>
    </dataValidation>
    <dataValidation type="decimal" operator="between" allowBlank="1" showInputMessage="1" showErrorMessage="1" error="请输入正确" sqref="R45">
      <formula1>1</formula1>
      <formula2>2</formula2>
    </dataValidation>
  </dataValidations>
  <pageMargins left="0.698611111111111" right="0.698611111111111" top="0.75" bottom="0.75" header="0.3" footer="0.3"/>
  <pageSetup paperSize="9" firstPageNumber="4294963191" orientation="portrait" useFirstPageNumber="1" horizontalDpi="200" verticalDpi="300"/>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3" name="Spinner 5" r:id="rId4">
              <controlPr defaultSize="0">
                <anchor moveWithCells="1" sizeWithCells="1">
                  <from>
                    <xdr:col>8</xdr:col>
                    <xdr:colOff>603250</xdr:colOff>
                    <xdr:row>24</xdr:row>
                    <xdr:rowOff>12700</xdr:rowOff>
                  </from>
                  <to>
                    <xdr:col>8</xdr:col>
                    <xdr:colOff>736600</xdr:colOff>
                    <xdr:row>24</xdr:row>
                    <xdr:rowOff>203200</xdr:rowOff>
                  </to>
                </anchor>
              </controlPr>
            </control>
          </mc:Choice>
        </mc:AlternateContent>
        <mc:AlternateContent xmlns:mc="http://schemas.openxmlformats.org/markup-compatibility/2006">
          <mc:Choice Requires="x14">
            <control shapeId="7174" name="Spinner 6" r:id="rId5">
              <controlPr defaultSize="0">
                <anchor moveWithCells="1" sizeWithCells="1">
                  <from>
                    <xdr:col>9</xdr:col>
                    <xdr:colOff>679450</xdr:colOff>
                    <xdr:row>24</xdr:row>
                    <xdr:rowOff>12700</xdr:rowOff>
                  </from>
                  <to>
                    <xdr:col>9</xdr:col>
                    <xdr:colOff>812800</xdr:colOff>
                    <xdr:row>24</xdr:row>
                    <xdr:rowOff>203200</xdr:rowOff>
                  </to>
                </anchor>
              </controlPr>
            </control>
          </mc:Choice>
        </mc:AlternateContent>
        <mc:AlternateContent xmlns:mc="http://schemas.openxmlformats.org/markup-compatibility/2006">
          <mc:Choice Requires="x14">
            <control shapeId="7175" name="Spinner 7" r:id="rId6">
              <controlPr defaultSize="0">
                <anchor moveWithCells="1" sizeWithCells="1">
                  <from>
                    <xdr:col>8</xdr:col>
                    <xdr:colOff>603250</xdr:colOff>
                    <xdr:row>25</xdr:row>
                    <xdr:rowOff>12700</xdr:rowOff>
                  </from>
                  <to>
                    <xdr:col>8</xdr:col>
                    <xdr:colOff>736600</xdr:colOff>
                    <xdr:row>25</xdr:row>
                    <xdr:rowOff>203200</xdr:rowOff>
                  </to>
                </anchor>
              </controlPr>
            </control>
          </mc:Choice>
        </mc:AlternateContent>
        <mc:AlternateContent xmlns:mc="http://schemas.openxmlformats.org/markup-compatibility/2006">
          <mc:Choice Requires="x14">
            <control shapeId="7176" name="Spinner 8" r:id="rId7">
              <controlPr defaultSize="0">
                <anchor moveWithCells="1" sizeWithCells="1">
                  <from>
                    <xdr:col>9</xdr:col>
                    <xdr:colOff>679450</xdr:colOff>
                    <xdr:row>25</xdr:row>
                    <xdr:rowOff>12700</xdr:rowOff>
                  </from>
                  <to>
                    <xdr:col>9</xdr:col>
                    <xdr:colOff>812800</xdr:colOff>
                    <xdr:row>25</xdr:row>
                    <xdr:rowOff>203200</xdr:rowOff>
                  </to>
                </anchor>
              </controlPr>
            </control>
          </mc:Choice>
        </mc:AlternateContent>
        <mc:AlternateContent xmlns:mc="http://schemas.openxmlformats.org/markup-compatibility/2006">
          <mc:Choice Requires="x14">
            <control shapeId="7177" name="Spinner 9" r:id="rId8">
              <controlPr defaultSize="0">
                <anchor moveWithCells="1" sizeWithCells="1">
                  <from>
                    <xdr:col>8</xdr:col>
                    <xdr:colOff>603250</xdr:colOff>
                    <xdr:row>26</xdr:row>
                    <xdr:rowOff>12700</xdr:rowOff>
                  </from>
                  <to>
                    <xdr:col>8</xdr:col>
                    <xdr:colOff>736600</xdr:colOff>
                    <xdr:row>26</xdr:row>
                    <xdr:rowOff>203200</xdr:rowOff>
                  </to>
                </anchor>
              </controlPr>
            </control>
          </mc:Choice>
        </mc:AlternateContent>
        <mc:AlternateContent xmlns:mc="http://schemas.openxmlformats.org/markup-compatibility/2006">
          <mc:Choice Requires="x14">
            <control shapeId="7178" name="Spinner 10" r:id="rId9">
              <controlPr defaultSize="0">
                <anchor moveWithCells="1" sizeWithCells="1">
                  <from>
                    <xdr:col>9</xdr:col>
                    <xdr:colOff>679450</xdr:colOff>
                    <xdr:row>26</xdr:row>
                    <xdr:rowOff>12700</xdr:rowOff>
                  </from>
                  <to>
                    <xdr:col>9</xdr:col>
                    <xdr:colOff>812800</xdr:colOff>
                    <xdr:row>26</xdr:row>
                    <xdr:rowOff>203200</xdr:rowOff>
                  </to>
                </anchor>
              </controlPr>
            </control>
          </mc:Choice>
        </mc:AlternateContent>
        <mc:AlternateContent xmlns:mc="http://schemas.openxmlformats.org/markup-compatibility/2006">
          <mc:Choice Requires="x14">
            <control shapeId="7179" name="Spinner 11" r:id="rId10">
              <controlPr defaultSize="0">
                <anchor moveWithCells="1" sizeWithCells="1">
                  <from>
                    <xdr:col>8</xdr:col>
                    <xdr:colOff>603250</xdr:colOff>
                    <xdr:row>27</xdr:row>
                    <xdr:rowOff>12700</xdr:rowOff>
                  </from>
                  <to>
                    <xdr:col>8</xdr:col>
                    <xdr:colOff>736600</xdr:colOff>
                    <xdr:row>27</xdr:row>
                    <xdr:rowOff>203200</xdr:rowOff>
                  </to>
                </anchor>
              </controlPr>
            </control>
          </mc:Choice>
        </mc:AlternateContent>
        <mc:AlternateContent xmlns:mc="http://schemas.openxmlformats.org/markup-compatibility/2006">
          <mc:Choice Requires="x14">
            <control shapeId="7180" name="Spinner 12" r:id="rId11">
              <controlPr defaultSize="0">
                <anchor moveWithCells="1" sizeWithCells="1">
                  <from>
                    <xdr:col>9</xdr:col>
                    <xdr:colOff>679450</xdr:colOff>
                    <xdr:row>27</xdr:row>
                    <xdr:rowOff>12700</xdr:rowOff>
                  </from>
                  <to>
                    <xdr:col>9</xdr:col>
                    <xdr:colOff>812800</xdr:colOff>
                    <xdr:row>27</xdr:row>
                    <xdr:rowOff>203200</xdr:rowOff>
                  </to>
                </anchor>
              </controlPr>
            </control>
          </mc:Choice>
        </mc:AlternateContent>
        <mc:AlternateContent xmlns:mc="http://schemas.openxmlformats.org/markup-compatibility/2006">
          <mc:Choice Requires="x14">
            <control shapeId="7181" name="Spinner 13" r:id="rId12">
              <controlPr defaultSize="0">
                <anchor moveWithCells="1" sizeWithCells="1">
                  <from>
                    <xdr:col>10</xdr:col>
                    <xdr:colOff>698500</xdr:colOff>
                    <xdr:row>24</xdr:row>
                    <xdr:rowOff>12700</xdr:rowOff>
                  </from>
                  <to>
                    <xdr:col>10</xdr:col>
                    <xdr:colOff>825500</xdr:colOff>
                    <xdr:row>25</xdr:row>
                    <xdr:rowOff>0</xdr:rowOff>
                  </to>
                </anchor>
              </controlPr>
            </control>
          </mc:Choice>
        </mc:AlternateContent>
        <mc:AlternateContent xmlns:mc="http://schemas.openxmlformats.org/markup-compatibility/2006">
          <mc:Choice Requires="x14">
            <control shapeId="7182" name="Spinner 14" r:id="rId13">
              <controlPr defaultSize="0">
                <anchor moveWithCells="1" sizeWithCells="1">
                  <from>
                    <xdr:col>11</xdr:col>
                    <xdr:colOff>1155700</xdr:colOff>
                    <xdr:row>24</xdr:row>
                    <xdr:rowOff>12700</xdr:rowOff>
                  </from>
                  <to>
                    <xdr:col>11</xdr:col>
                    <xdr:colOff>1282700</xdr:colOff>
                    <xdr:row>24</xdr:row>
                    <xdr:rowOff>203200</xdr:rowOff>
                  </to>
                </anchor>
              </controlPr>
            </control>
          </mc:Choice>
        </mc:AlternateContent>
        <mc:AlternateContent xmlns:mc="http://schemas.openxmlformats.org/markup-compatibility/2006">
          <mc:Choice Requires="x14">
            <control shapeId="7183" name="Spinner 15" r:id="rId14">
              <controlPr defaultSize="0">
                <anchor moveWithCells="1" sizeWithCells="1">
                  <from>
                    <xdr:col>10</xdr:col>
                    <xdr:colOff>698500</xdr:colOff>
                    <xdr:row>25</xdr:row>
                    <xdr:rowOff>12700</xdr:rowOff>
                  </from>
                  <to>
                    <xdr:col>10</xdr:col>
                    <xdr:colOff>825500</xdr:colOff>
                    <xdr:row>25</xdr:row>
                    <xdr:rowOff>203200</xdr:rowOff>
                  </to>
                </anchor>
              </controlPr>
            </control>
          </mc:Choice>
        </mc:AlternateContent>
        <mc:AlternateContent xmlns:mc="http://schemas.openxmlformats.org/markup-compatibility/2006">
          <mc:Choice Requires="x14">
            <control shapeId="7184" name="Spinner 16" r:id="rId15">
              <controlPr defaultSize="0">
                <anchor moveWithCells="1" sizeWithCells="1">
                  <from>
                    <xdr:col>11</xdr:col>
                    <xdr:colOff>1155700</xdr:colOff>
                    <xdr:row>25</xdr:row>
                    <xdr:rowOff>12700</xdr:rowOff>
                  </from>
                  <to>
                    <xdr:col>11</xdr:col>
                    <xdr:colOff>1282700</xdr:colOff>
                    <xdr:row>25</xdr:row>
                    <xdr:rowOff>203200</xdr:rowOff>
                  </to>
                </anchor>
              </controlPr>
            </control>
          </mc:Choice>
        </mc:AlternateContent>
        <mc:AlternateContent xmlns:mc="http://schemas.openxmlformats.org/markup-compatibility/2006">
          <mc:Choice Requires="x14">
            <control shapeId="7185" name="Spinner 17" r:id="rId16">
              <controlPr defaultSize="0">
                <anchor moveWithCells="1" sizeWithCells="1">
                  <from>
                    <xdr:col>10</xdr:col>
                    <xdr:colOff>698500</xdr:colOff>
                    <xdr:row>26</xdr:row>
                    <xdr:rowOff>0</xdr:rowOff>
                  </from>
                  <to>
                    <xdr:col>10</xdr:col>
                    <xdr:colOff>825500</xdr:colOff>
                    <xdr:row>26</xdr:row>
                    <xdr:rowOff>190500</xdr:rowOff>
                  </to>
                </anchor>
              </controlPr>
            </control>
          </mc:Choice>
        </mc:AlternateContent>
        <mc:AlternateContent xmlns:mc="http://schemas.openxmlformats.org/markup-compatibility/2006">
          <mc:Choice Requires="x14">
            <control shapeId="7186" name="Spinner 18" r:id="rId17">
              <controlPr defaultSize="0">
                <anchor moveWithCells="1" sizeWithCells="1">
                  <from>
                    <xdr:col>11</xdr:col>
                    <xdr:colOff>1155700</xdr:colOff>
                    <xdr:row>26</xdr:row>
                    <xdr:rowOff>0</xdr:rowOff>
                  </from>
                  <to>
                    <xdr:col>11</xdr:col>
                    <xdr:colOff>1282700</xdr:colOff>
                    <xdr:row>26</xdr:row>
                    <xdr:rowOff>190500</xdr:rowOff>
                  </to>
                </anchor>
              </controlPr>
            </control>
          </mc:Choice>
        </mc:AlternateContent>
        <mc:AlternateContent xmlns:mc="http://schemas.openxmlformats.org/markup-compatibility/2006">
          <mc:Choice Requires="x14">
            <control shapeId="7187" name="Spinner 19" r:id="rId18">
              <controlPr defaultSize="0">
                <anchor moveWithCells="1" sizeWithCells="1">
                  <from>
                    <xdr:col>10</xdr:col>
                    <xdr:colOff>698500</xdr:colOff>
                    <xdr:row>27</xdr:row>
                    <xdr:rowOff>12700</xdr:rowOff>
                  </from>
                  <to>
                    <xdr:col>10</xdr:col>
                    <xdr:colOff>825500</xdr:colOff>
                    <xdr:row>27</xdr:row>
                    <xdr:rowOff>203200</xdr:rowOff>
                  </to>
                </anchor>
              </controlPr>
            </control>
          </mc:Choice>
        </mc:AlternateContent>
        <mc:AlternateContent xmlns:mc="http://schemas.openxmlformats.org/markup-compatibility/2006">
          <mc:Choice Requires="x14">
            <control shapeId="7188" name="Spinner 20" r:id="rId19">
              <controlPr defaultSize="0">
                <anchor moveWithCells="1" sizeWithCells="1">
                  <from>
                    <xdr:col>11</xdr:col>
                    <xdr:colOff>1155700</xdr:colOff>
                    <xdr:row>27</xdr:row>
                    <xdr:rowOff>12700</xdr:rowOff>
                  </from>
                  <to>
                    <xdr:col>11</xdr:col>
                    <xdr:colOff>1282700</xdr:colOff>
                    <xdr:row>27</xdr:row>
                    <xdr:rowOff>203200</xdr:rowOff>
                  </to>
                </anchor>
              </controlPr>
            </control>
          </mc:Choice>
        </mc:AlternateContent>
        <mc:AlternateContent xmlns:mc="http://schemas.openxmlformats.org/markup-compatibility/2006">
          <mc:Choice Requires="x14">
            <control shapeId="7190" name="Spinner 22" r:id="rId20">
              <controlPr defaultSize="0">
                <anchor moveWithCells="1" sizeWithCells="1">
                  <from>
                    <xdr:col>8</xdr:col>
                    <xdr:colOff>609600</xdr:colOff>
                    <xdr:row>62</xdr:row>
                    <xdr:rowOff>12700</xdr:rowOff>
                  </from>
                  <to>
                    <xdr:col>8</xdr:col>
                    <xdr:colOff>736600</xdr:colOff>
                    <xdr:row>63</xdr:row>
                    <xdr:rowOff>0</xdr:rowOff>
                  </to>
                </anchor>
              </controlPr>
            </control>
          </mc:Choice>
        </mc:AlternateContent>
        <mc:AlternateContent xmlns:mc="http://schemas.openxmlformats.org/markup-compatibility/2006">
          <mc:Choice Requires="x14">
            <control shapeId="7191" name="Spinner 23" r:id="rId21">
              <controlPr defaultSize="0">
                <anchor moveWithCells="1" sizeWithCells="1">
                  <from>
                    <xdr:col>9</xdr:col>
                    <xdr:colOff>685800</xdr:colOff>
                    <xdr:row>62</xdr:row>
                    <xdr:rowOff>12700</xdr:rowOff>
                  </from>
                  <to>
                    <xdr:col>9</xdr:col>
                    <xdr:colOff>812800</xdr:colOff>
                    <xdr:row>63</xdr:row>
                    <xdr:rowOff>0</xdr:rowOff>
                  </to>
                </anchor>
              </controlPr>
            </control>
          </mc:Choice>
        </mc:AlternateContent>
        <mc:AlternateContent xmlns:mc="http://schemas.openxmlformats.org/markup-compatibility/2006">
          <mc:Choice Requires="x14">
            <control shapeId="7192" name="Spinner 24" r:id="rId22">
              <controlPr defaultSize="0">
                <anchor moveWithCells="1" sizeWithCells="1">
                  <from>
                    <xdr:col>10</xdr:col>
                    <xdr:colOff>685800</xdr:colOff>
                    <xdr:row>62</xdr:row>
                    <xdr:rowOff>12700</xdr:rowOff>
                  </from>
                  <to>
                    <xdr:col>10</xdr:col>
                    <xdr:colOff>825500</xdr:colOff>
                    <xdr:row>63</xdr:row>
                    <xdr:rowOff>0</xdr:rowOff>
                  </to>
                </anchor>
              </controlPr>
            </control>
          </mc:Choice>
        </mc:AlternateContent>
        <mc:AlternateContent xmlns:mc="http://schemas.openxmlformats.org/markup-compatibility/2006">
          <mc:Choice Requires="x14">
            <control shapeId="7193" name="Spinner 25" r:id="rId23">
              <controlPr defaultSize="0">
                <anchor moveWithCells="1" sizeWithCells="1">
                  <from>
                    <xdr:col>11</xdr:col>
                    <xdr:colOff>1143000</xdr:colOff>
                    <xdr:row>62</xdr:row>
                    <xdr:rowOff>0</xdr:rowOff>
                  </from>
                  <to>
                    <xdr:col>11</xdr:col>
                    <xdr:colOff>1270000</xdr:colOff>
                    <xdr:row>62</xdr:row>
                    <xdr:rowOff>190500</xdr:rowOff>
                  </to>
                </anchor>
              </controlPr>
            </control>
          </mc:Choice>
        </mc:AlternateContent>
        <mc:AlternateContent xmlns:mc="http://schemas.openxmlformats.org/markup-compatibility/2006">
          <mc:Choice Requires="x14">
            <control shapeId="7194" name="Spinner 26" r:id="rId24">
              <controlPr defaultSize="0">
                <anchor moveWithCells="1" sizeWithCells="1">
                  <from>
                    <xdr:col>8</xdr:col>
                    <xdr:colOff>609600</xdr:colOff>
                    <xdr:row>63</xdr:row>
                    <xdr:rowOff>12700</xdr:rowOff>
                  </from>
                  <to>
                    <xdr:col>8</xdr:col>
                    <xdr:colOff>736600</xdr:colOff>
                    <xdr:row>64</xdr:row>
                    <xdr:rowOff>0</xdr:rowOff>
                  </to>
                </anchor>
              </controlPr>
            </control>
          </mc:Choice>
        </mc:AlternateContent>
        <mc:AlternateContent xmlns:mc="http://schemas.openxmlformats.org/markup-compatibility/2006">
          <mc:Choice Requires="x14">
            <control shapeId="7195" name="Spinner 27" r:id="rId25">
              <controlPr defaultSize="0">
                <anchor moveWithCells="1" sizeWithCells="1">
                  <from>
                    <xdr:col>9</xdr:col>
                    <xdr:colOff>685800</xdr:colOff>
                    <xdr:row>63</xdr:row>
                    <xdr:rowOff>12700</xdr:rowOff>
                  </from>
                  <to>
                    <xdr:col>9</xdr:col>
                    <xdr:colOff>812800</xdr:colOff>
                    <xdr:row>64</xdr:row>
                    <xdr:rowOff>0</xdr:rowOff>
                  </to>
                </anchor>
              </controlPr>
            </control>
          </mc:Choice>
        </mc:AlternateContent>
        <mc:AlternateContent xmlns:mc="http://schemas.openxmlformats.org/markup-compatibility/2006">
          <mc:Choice Requires="x14">
            <control shapeId="7196" name="Spinner 28" r:id="rId26">
              <controlPr defaultSize="0">
                <anchor moveWithCells="1" sizeWithCells="1">
                  <from>
                    <xdr:col>10</xdr:col>
                    <xdr:colOff>685800</xdr:colOff>
                    <xdr:row>63</xdr:row>
                    <xdr:rowOff>12700</xdr:rowOff>
                  </from>
                  <to>
                    <xdr:col>10</xdr:col>
                    <xdr:colOff>825500</xdr:colOff>
                    <xdr:row>64</xdr:row>
                    <xdr:rowOff>0</xdr:rowOff>
                  </to>
                </anchor>
              </controlPr>
            </control>
          </mc:Choice>
        </mc:AlternateContent>
        <mc:AlternateContent xmlns:mc="http://schemas.openxmlformats.org/markup-compatibility/2006">
          <mc:Choice Requires="x14">
            <control shapeId="7197" name="Spinner 29" r:id="rId27">
              <controlPr defaultSize="0">
                <anchor moveWithCells="1" sizeWithCells="1">
                  <from>
                    <xdr:col>11</xdr:col>
                    <xdr:colOff>1143000</xdr:colOff>
                    <xdr:row>63</xdr:row>
                    <xdr:rowOff>0</xdr:rowOff>
                  </from>
                  <to>
                    <xdr:col>11</xdr:col>
                    <xdr:colOff>1270000</xdr:colOff>
                    <xdr:row>63</xdr:row>
                    <xdr:rowOff>190500</xdr:rowOff>
                  </to>
                </anchor>
              </controlPr>
            </control>
          </mc:Choice>
        </mc:AlternateContent>
        <mc:AlternateContent xmlns:mc="http://schemas.openxmlformats.org/markup-compatibility/2006">
          <mc:Choice Requires="x14">
            <control shapeId="7198" name="Spinner 30" r:id="rId28">
              <controlPr defaultSize="0">
                <anchor moveWithCells="1" sizeWithCells="1">
                  <from>
                    <xdr:col>8</xdr:col>
                    <xdr:colOff>609600</xdr:colOff>
                    <xdr:row>64</xdr:row>
                    <xdr:rowOff>12700</xdr:rowOff>
                  </from>
                  <to>
                    <xdr:col>8</xdr:col>
                    <xdr:colOff>736600</xdr:colOff>
                    <xdr:row>65</xdr:row>
                    <xdr:rowOff>0</xdr:rowOff>
                  </to>
                </anchor>
              </controlPr>
            </control>
          </mc:Choice>
        </mc:AlternateContent>
        <mc:AlternateContent xmlns:mc="http://schemas.openxmlformats.org/markup-compatibility/2006">
          <mc:Choice Requires="x14">
            <control shapeId="7199" name="Spinner 31" r:id="rId29">
              <controlPr defaultSize="0">
                <anchor moveWithCells="1" sizeWithCells="1">
                  <from>
                    <xdr:col>9</xdr:col>
                    <xdr:colOff>685800</xdr:colOff>
                    <xdr:row>64</xdr:row>
                    <xdr:rowOff>12700</xdr:rowOff>
                  </from>
                  <to>
                    <xdr:col>9</xdr:col>
                    <xdr:colOff>812800</xdr:colOff>
                    <xdr:row>65</xdr:row>
                    <xdr:rowOff>0</xdr:rowOff>
                  </to>
                </anchor>
              </controlPr>
            </control>
          </mc:Choice>
        </mc:AlternateContent>
        <mc:AlternateContent xmlns:mc="http://schemas.openxmlformats.org/markup-compatibility/2006">
          <mc:Choice Requires="x14">
            <control shapeId="7200" name="Spinner 32" r:id="rId30">
              <controlPr defaultSize="0">
                <anchor moveWithCells="1" sizeWithCells="1">
                  <from>
                    <xdr:col>10</xdr:col>
                    <xdr:colOff>685800</xdr:colOff>
                    <xdr:row>64</xdr:row>
                    <xdr:rowOff>12700</xdr:rowOff>
                  </from>
                  <to>
                    <xdr:col>10</xdr:col>
                    <xdr:colOff>825500</xdr:colOff>
                    <xdr:row>65</xdr:row>
                    <xdr:rowOff>0</xdr:rowOff>
                  </to>
                </anchor>
              </controlPr>
            </control>
          </mc:Choice>
        </mc:AlternateContent>
        <mc:AlternateContent xmlns:mc="http://schemas.openxmlformats.org/markup-compatibility/2006">
          <mc:Choice Requires="x14">
            <control shapeId="7201" name="Spinner 33" r:id="rId31">
              <controlPr defaultSize="0">
                <anchor moveWithCells="1" sizeWithCells="1">
                  <from>
                    <xdr:col>11</xdr:col>
                    <xdr:colOff>1143000</xdr:colOff>
                    <xdr:row>64</xdr:row>
                    <xdr:rowOff>0</xdr:rowOff>
                  </from>
                  <to>
                    <xdr:col>11</xdr:col>
                    <xdr:colOff>1270000</xdr:colOff>
                    <xdr:row>64</xdr:row>
                    <xdr:rowOff>190500</xdr:rowOff>
                  </to>
                </anchor>
              </controlPr>
            </control>
          </mc:Choice>
        </mc:AlternateContent>
        <mc:AlternateContent xmlns:mc="http://schemas.openxmlformats.org/markup-compatibility/2006">
          <mc:Choice Requires="x14">
            <control shapeId="7202" name="Spinner 34" r:id="rId32">
              <controlPr defaultSize="0">
                <anchor moveWithCells="1" sizeWithCells="1">
                  <from>
                    <xdr:col>8</xdr:col>
                    <xdr:colOff>609600</xdr:colOff>
                    <xdr:row>65</xdr:row>
                    <xdr:rowOff>12700</xdr:rowOff>
                  </from>
                  <to>
                    <xdr:col>8</xdr:col>
                    <xdr:colOff>736600</xdr:colOff>
                    <xdr:row>66</xdr:row>
                    <xdr:rowOff>0</xdr:rowOff>
                  </to>
                </anchor>
              </controlPr>
            </control>
          </mc:Choice>
        </mc:AlternateContent>
        <mc:AlternateContent xmlns:mc="http://schemas.openxmlformats.org/markup-compatibility/2006">
          <mc:Choice Requires="x14">
            <control shapeId="7203" name="Spinner 35" r:id="rId33">
              <controlPr defaultSize="0">
                <anchor moveWithCells="1" sizeWithCells="1">
                  <from>
                    <xdr:col>9</xdr:col>
                    <xdr:colOff>685800</xdr:colOff>
                    <xdr:row>65</xdr:row>
                    <xdr:rowOff>12700</xdr:rowOff>
                  </from>
                  <to>
                    <xdr:col>9</xdr:col>
                    <xdr:colOff>812800</xdr:colOff>
                    <xdr:row>66</xdr:row>
                    <xdr:rowOff>0</xdr:rowOff>
                  </to>
                </anchor>
              </controlPr>
            </control>
          </mc:Choice>
        </mc:AlternateContent>
        <mc:AlternateContent xmlns:mc="http://schemas.openxmlformats.org/markup-compatibility/2006">
          <mc:Choice Requires="x14">
            <control shapeId="7204" name="Spinner 36" r:id="rId34">
              <controlPr defaultSize="0">
                <anchor moveWithCells="1" sizeWithCells="1">
                  <from>
                    <xdr:col>10</xdr:col>
                    <xdr:colOff>685800</xdr:colOff>
                    <xdr:row>65</xdr:row>
                    <xdr:rowOff>12700</xdr:rowOff>
                  </from>
                  <to>
                    <xdr:col>10</xdr:col>
                    <xdr:colOff>825500</xdr:colOff>
                    <xdr:row>66</xdr:row>
                    <xdr:rowOff>0</xdr:rowOff>
                  </to>
                </anchor>
              </controlPr>
            </control>
          </mc:Choice>
        </mc:AlternateContent>
        <mc:AlternateContent xmlns:mc="http://schemas.openxmlformats.org/markup-compatibility/2006">
          <mc:Choice Requires="x14">
            <control shapeId="7205" name="Spinner 37" r:id="rId35">
              <controlPr defaultSize="0">
                <anchor moveWithCells="1" sizeWithCells="1">
                  <from>
                    <xdr:col>11</xdr:col>
                    <xdr:colOff>1143000</xdr:colOff>
                    <xdr:row>65</xdr:row>
                    <xdr:rowOff>0</xdr:rowOff>
                  </from>
                  <to>
                    <xdr:col>11</xdr:col>
                    <xdr:colOff>1270000</xdr:colOff>
                    <xdr:row>65</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dimension ref="A1:DQ259"/>
  <sheetViews>
    <sheetView showGridLines="0" zoomScale="70" zoomScaleNormal="70" workbookViewId="0">
      <selection activeCell="K27" sqref="K28:L28 K27"/>
    </sheetView>
  </sheetViews>
  <sheetFormatPr defaultColWidth="9" defaultRowHeight="35.25"/>
  <cols>
    <col min="1" max="1" width="16.3628318584071" style="62" customWidth="1"/>
    <col min="2" max="2" width="10" style="62" customWidth="1"/>
    <col min="3" max="3" width="10.6371681415929" style="62" customWidth="1"/>
    <col min="4" max="4" width="12.9026548672566" style="62" customWidth="1"/>
    <col min="5" max="5" width="13.9026548672566" style="62" customWidth="1"/>
    <col min="6" max="6" width="14.6371681415929" style="62" customWidth="1"/>
    <col min="7" max="7" width="10" style="63" customWidth="1"/>
    <col min="8" max="8" width="11.9026548672566" style="62" customWidth="1"/>
    <col min="9" max="9" width="13.3628318584071" style="62" customWidth="1"/>
    <col min="10" max="10" width="13.4513274336283" style="62" customWidth="1"/>
    <col min="11" max="11" width="14.6371681415929" style="62" customWidth="1"/>
    <col min="12" max="12" width="16.4513274336283" style="62" customWidth="1"/>
    <col min="13" max="13" width="10.0884955752212" style="62" customWidth="1"/>
    <col min="14" max="16" width="13.9026548672566" style="62" customWidth="1"/>
    <col min="17" max="17" width="14" style="62" customWidth="1"/>
    <col min="18" max="19" width="13.9026548672566" style="62" customWidth="1"/>
    <col min="20" max="20" width="14.6371681415929" style="64" customWidth="1"/>
    <col min="21" max="21" width="13.9026548672566" style="62" customWidth="1"/>
    <col min="22" max="26" width="9.63716814159292" style="62" customWidth="1"/>
    <col min="27" max="27" width="9" style="63"/>
    <col min="28" max="28" width="13.9026548672566" style="62" customWidth="1"/>
    <col min="29" max="29" width="10" style="62" customWidth="1"/>
    <col min="30" max="33" width="9.63716814159292" style="62" customWidth="1"/>
    <col min="34" max="34" width="9" style="63"/>
    <col min="35" max="35" width="8.90265486725664" style="62" customWidth="1"/>
    <col min="36" max="39" width="13.0884955752212" style="62" customWidth="1"/>
    <col min="40" max="40" width="10.6371681415929" style="62" customWidth="1"/>
    <col min="41" max="41" width="13.0884955752212" style="62" customWidth="1"/>
    <col min="42" max="42" width="14.3628318584071" style="62" customWidth="1"/>
    <col min="43" max="44" width="10.6371681415929" style="62" customWidth="1"/>
    <col min="45" max="45" width="15.0884955752212" style="62" customWidth="1"/>
    <col min="46" max="46" width="10.6371681415929" style="62" customWidth="1"/>
    <col min="47" max="47" width="16" style="62" customWidth="1"/>
    <col min="48" max="51" width="10.6371681415929" style="62" customWidth="1"/>
    <col min="52" max="52" width="9" style="63"/>
    <col min="53" max="53" width="11.9026548672566" style="62" customWidth="1"/>
    <col min="54" max="57" width="11" style="62" customWidth="1"/>
    <col min="58" max="58" width="11.9026548672566" style="62" customWidth="1"/>
    <col min="59" max="59" width="10" style="62" customWidth="1"/>
    <col min="60" max="69" width="9.63716814159292" style="62" customWidth="1"/>
    <col min="70" max="71" width="9" style="62"/>
    <col min="72" max="74" width="9.63716814159292" style="62" customWidth="1"/>
    <col min="75" max="75" width="10" style="62" customWidth="1"/>
    <col min="76" max="76" width="9.63716814159292" style="62" customWidth="1"/>
    <col min="77" max="77" width="10" style="62" customWidth="1"/>
    <col min="78" max="78" width="9" style="62"/>
    <col min="79" max="83" width="9.63716814159292" style="62" customWidth="1"/>
    <col min="84" max="84" width="9.45132743362832" style="62" customWidth="1"/>
    <col min="85" max="87" width="9.63716814159292" style="62" customWidth="1"/>
    <col min="88" max="16384" width="9" style="62"/>
  </cols>
  <sheetData>
    <row r="1" ht="16" customHeight="1" spans="1:121">
      <c r="A1" s="65" t="s">
        <v>489</v>
      </c>
      <c r="B1" s="65"/>
      <c r="C1" s="65"/>
      <c r="D1" s="65"/>
      <c r="E1" s="65"/>
      <c r="F1" s="65"/>
      <c r="G1" s="73"/>
      <c r="H1" s="65" t="s">
        <v>490</v>
      </c>
      <c r="I1" s="65"/>
      <c r="J1" s="65"/>
      <c r="K1" s="65"/>
      <c r="L1" s="65"/>
      <c r="M1" s="65"/>
      <c r="N1" s="65"/>
      <c r="O1" s="65"/>
      <c r="P1" s="65"/>
      <c r="Q1" s="65"/>
      <c r="R1" s="65"/>
      <c r="S1" s="73"/>
      <c r="T1" s="120"/>
      <c r="U1" s="65" t="s">
        <v>491</v>
      </c>
      <c r="V1" s="65"/>
      <c r="W1" s="65"/>
      <c r="X1" s="65"/>
      <c r="Y1" s="65"/>
      <c r="Z1" s="65"/>
      <c r="AA1" s="73"/>
      <c r="AB1" s="65" t="s">
        <v>492</v>
      </c>
      <c r="AC1" s="65"/>
      <c r="AD1" s="65"/>
      <c r="AE1" s="65"/>
      <c r="AF1" s="65"/>
      <c r="AG1" s="65"/>
      <c r="AH1" s="73"/>
      <c r="AI1" s="65" t="s">
        <v>493</v>
      </c>
      <c r="AJ1" s="65"/>
      <c r="AK1" s="65"/>
      <c r="AL1" s="65"/>
      <c r="AM1" s="65"/>
      <c r="AN1" s="65"/>
      <c r="AO1" s="65"/>
      <c r="AP1" s="65"/>
      <c r="AQ1" s="65"/>
      <c r="AR1" s="65"/>
      <c r="AS1" s="65"/>
      <c r="AT1" s="65"/>
      <c r="AU1" s="65"/>
      <c r="AV1" s="65"/>
      <c r="AW1" s="65"/>
      <c r="AX1" s="65"/>
      <c r="AY1" s="65"/>
      <c r="AZ1" s="307"/>
      <c r="BA1" s="538" t="s">
        <v>494</v>
      </c>
      <c r="BB1" s="538"/>
      <c r="BC1" s="538"/>
      <c r="BD1" s="538"/>
      <c r="BE1" s="538"/>
      <c r="BF1" s="538"/>
      <c r="BG1" s="538"/>
      <c r="BH1" s="538"/>
      <c r="BI1" s="538"/>
      <c r="BJ1" s="538"/>
      <c r="BK1" s="538"/>
      <c r="BL1" s="538"/>
      <c r="BM1" s="538"/>
      <c r="BN1" s="538"/>
      <c r="BO1" s="538"/>
      <c r="BP1" s="538"/>
      <c r="BQ1" s="538"/>
      <c r="BR1" s="548"/>
      <c r="BS1" s="538" t="s">
        <v>495</v>
      </c>
      <c r="BT1" s="538"/>
      <c r="BU1" s="538"/>
      <c r="BV1" s="538"/>
      <c r="BW1" s="538"/>
      <c r="BX1" s="538"/>
      <c r="BY1" s="538"/>
      <c r="BZ1" s="538"/>
      <c r="CA1" s="538"/>
      <c r="CB1" s="538"/>
      <c r="CC1" s="538"/>
      <c r="CD1" s="538"/>
      <c r="CE1" s="538"/>
      <c r="CF1" s="538"/>
      <c r="CG1" s="538"/>
      <c r="CH1" s="538"/>
      <c r="CI1" s="538"/>
      <c r="CJ1" s="453"/>
      <c r="CK1" s="453"/>
      <c r="CL1" s="453"/>
      <c r="CM1" s="453"/>
      <c r="CN1" s="453"/>
      <c r="CO1" s="453"/>
      <c r="CP1" s="453"/>
      <c r="CQ1" s="453"/>
      <c r="CR1" s="453"/>
      <c r="CS1" s="453"/>
      <c r="CT1" s="453"/>
      <c r="CU1" s="453"/>
      <c r="CV1" s="453"/>
      <c r="CW1" s="453"/>
      <c r="CX1" s="453"/>
      <c r="CY1" s="453"/>
      <c r="CZ1" s="453"/>
      <c r="DA1" s="453"/>
      <c r="DB1" s="453"/>
      <c r="DC1" s="453"/>
      <c r="DD1" s="453"/>
      <c r="DE1" s="453"/>
      <c r="DF1" s="453"/>
      <c r="DG1" s="453"/>
      <c r="DH1" s="453"/>
      <c r="DI1" s="453"/>
      <c r="DJ1" s="453"/>
      <c r="DK1" s="453"/>
      <c r="DL1" s="453"/>
      <c r="DM1" s="453"/>
      <c r="DN1" s="453"/>
      <c r="DO1" s="453"/>
      <c r="DP1" s="453"/>
      <c r="DQ1" s="453"/>
    </row>
    <row r="2" ht="16" customHeight="1" spans="1:121">
      <c r="A2" s="65"/>
      <c r="B2" s="65"/>
      <c r="C2" s="65"/>
      <c r="D2" s="65"/>
      <c r="E2" s="65"/>
      <c r="F2" s="65"/>
      <c r="G2" s="73"/>
      <c r="H2" s="65"/>
      <c r="I2" s="65"/>
      <c r="J2" s="65"/>
      <c r="K2" s="65"/>
      <c r="L2" s="65"/>
      <c r="M2" s="65"/>
      <c r="N2" s="65"/>
      <c r="O2" s="65"/>
      <c r="P2" s="65"/>
      <c r="Q2" s="65"/>
      <c r="R2" s="65"/>
      <c r="S2" s="73"/>
      <c r="T2" s="120"/>
      <c r="U2" s="65"/>
      <c r="V2" s="65"/>
      <c r="W2" s="65"/>
      <c r="X2" s="65"/>
      <c r="Y2" s="65"/>
      <c r="Z2" s="65"/>
      <c r="AA2" s="73"/>
      <c r="AB2" s="65"/>
      <c r="AC2" s="65"/>
      <c r="AD2" s="65"/>
      <c r="AE2" s="65"/>
      <c r="AF2" s="65"/>
      <c r="AG2" s="65"/>
      <c r="AH2" s="73"/>
      <c r="AI2" s="65"/>
      <c r="AJ2" s="65"/>
      <c r="AK2" s="65"/>
      <c r="AL2" s="65"/>
      <c r="AM2" s="65"/>
      <c r="AN2" s="65"/>
      <c r="AO2" s="65"/>
      <c r="AP2" s="65"/>
      <c r="AQ2" s="65"/>
      <c r="AR2" s="65"/>
      <c r="AS2" s="65"/>
      <c r="AT2" s="65"/>
      <c r="AU2" s="65"/>
      <c r="AV2" s="65"/>
      <c r="AW2" s="65"/>
      <c r="AX2" s="65"/>
      <c r="AY2" s="65"/>
      <c r="AZ2" s="307"/>
      <c r="BA2" s="538"/>
      <c r="BB2" s="538"/>
      <c r="BC2" s="538"/>
      <c r="BD2" s="538"/>
      <c r="BE2" s="538"/>
      <c r="BF2" s="538"/>
      <c r="BG2" s="538"/>
      <c r="BH2" s="538"/>
      <c r="BI2" s="538"/>
      <c r="BJ2" s="538"/>
      <c r="BK2" s="538"/>
      <c r="BL2" s="538"/>
      <c r="BM2" s="538"/>
      <c r="BN2" s="538"/>
      <c r="BO2" s="538"/>
      <c r="BP2" s="538"/>
      <c r="BQ2" s="538"/>
      <c r="BR2" s="548"/>
      <c r="BS2" s="538"/>
      <c r="BT2" s="538"/>
      <c r="BU2" s="538"/>
      <c r="BV2" s="538"/>
      <c r="BW2" s="538"/>
      <c r="BX2" s="538"/>
      <c r="BY2" s="538"/>
      <c r="BZ2" s="538"/>
      <c r="CA2" s="538"/>
      <c r="CB2" s="538"/>
      <c r="CC2" s="538"/>
      <c r="CD2" s="538"/>
      <c r="CE2" s="538"/>
      <c r="CF2" s="538"/>
      <c r="CG2" s="538"/>
      <c r="CH2" s="538"/>
      <c r="CI2" s="538"/>
      <c r="CJ2" s="453"/>
      <c r="CK2" s="453"/>
      <c r="CL2" s="453"/>
      <c r="CM2" s="453"/>
      <c r="CN2" s="453"/>
      <c r="CO2" s="453"/>
      <c r="CP2" s="453"/>
      <c r="CQ2" s="453"/>
      <c r="CR2" s="453"/>
      <c r="CS2" s="453"/>
      <c r="CT2" s="453"/>
      <c r="CU2" s="453"/>
      <c r="CV2" s="453"/>
      <c r="CW2" s="453"/>
      <c r="CX2" s="453"/>
      <c r="CY2" s="453"/>
      <c r="CZ2" s="453"/>
      <c r="DA2" s="453"/>
      <c r="DB2" s="453"/>
      <c r="DC2" s="453"/>
      <c r="DD2" s="453"/>
      <c r="DE2" s="453"/>
      <c r="DF2" s="453"/>
      <c r="DG2" s="453"/>
      <c r="DH2" s="453"/>
      <c r="DI2" s="453"/>
      <c r="DJ2" s="453"/>
      <c r="DK2" s="453"/>
      <c r="DL2" s="453"/>
      <c r="DM2" s="453"/>
      <c r="DN2" s="453"/>
      <c r="DO2" s="453"/>
      <c r="DP2" s="453"/>
      <c r="DQ2" s="453"/>
    </row>
    <row r="3" s="61" customFormat="1" ht="16" customHeight="1" spans="1:121">
      <c r="A3" s="430"/>
      <c r="B3" s="430"/>
      <c r="C3" s="430"/>
      <c r="D3" s="430"/>
      <c r="E3" s="430"/>
      <c r="F3" s="430"/>
      <c r="G3" s="73"/>
      <c r="H3" s="74"/>
      <c r="I3" s="74"/>
      <c r="J3" s="74"/>
      <c r="K3" s="74"/>
      <c r="L3" s="74"/>
      <c r="M3" s="85"/>
      <c r="N3" s="74"/>
      <c r="O3" s="74"/>
      <c r="P3" s="74"/>
      <c r="Q3" s="74"/>
      <c r="R3" s="74"/>
      <c r="S3" s="74"/>
      <c r="T3" s="120"/>
      <c r="U3" s="74"/>
      <c r="V3" s="74"/>
      <c r="W3" s="74"/>
      <c r="X3" s="74"/>
      <c r="Y3" s="74"/>
      <c r="Z3" s="74"/>
      <c r="AA3" s="73"/>
      <c r="AB3" s="74"/>
      <c r="AC3" s="74"/>
      <c r="AD3" s="74"/>
      <c r="AE3" s="74"/>
      <c r="AF3" s="74"/>
      <c r="AG3" s="74"/>
      <c r="AH3" s="73"/>
      <c r="AI3" s="74"/>
      <c r="AJ3" s="74"/>
      <c r="AK3" s="74"/>
      <c r="AL3" s="74"/>
      <c r="AM3" s="74"/>
      <c r="AN3" s="74"/>
      <c r="AO3" s="74"/>
      <c r="AP3" s="74"/>
      <c r="AQ3" s="74"/>
      <c r="AR3" s="74"/>
      <c r="AS3" s="74"/>
      <c r="AT3" s="74"/>
      <c r="AU3" s="74"/>
      <c r="AV3" s="74"/>
      <c r="AW3" s="74"/>
      <c r="AX3" s="74"/>
      <c r="AY3" s="74"/>
      <c r="AZ3" s="73"/>
      <c r="BA3" s="74"/>
      <c r="BB3" s="74"/>
      <c r="BC3" s="74"/>
      <c r="BD3" s="74"/>
      <c r="BE3" s="74"/>
      <c r="BF3" s="74"/>
      <c r="BG3" s="74"/>
      <c r="BH3" s="74"/>
      <c r="BI3" s="74"/>
      <c r="BJ3" s="74"/>
      <c r="BK3" s="74"/>
      <c r="BL3" s="74"/>
      <c r="BM3" s="74"/>
      <c r="BN3" s="74"/>
      <c r="BO3" s="74"/>
      <c r="BP3" s="74"/>
      <c r="BQ3" s="74"/>
      <c r="BR3" s="549"/>
      <c r="BS3" s="74"/>
      <c r="BT3" s="74"/>
      <c r="BU3" s="74"/>
      <c r="BV3" s="74"/>
      <c r="BW3" s="74"/>
      <c r="BX3" s="74"/>
      <c r="BY3" s="74"/>
      <c r="BZ3" s="74"/>
      <c r="CA3" s="74"/>
      <c r="CB3" s="74"/>
      <c r="CC3" s="74"/>
      <c r="CD3" s="74"/>
      <c r="CE3" s="91" t="s">
        <v>496</v>
      </c>
      <c r="CF3" s="74"/>
      <c r="CG3" s="74"/>
      <c r="CH3" s="74"/>
      <c r="CI3" s="74"/>
      <c r="CJ3" s="453"/>
      <c r="CK3" s="451"/>
      <c r="CL3" s="452"/>
      <c r="CM3" s="452"/>
      <c r="CN3" s="452"/>
      <c r="CO3" s="452"/>
      <c r="CP3" s="452"/>
      <c r="CQ3" s="452"/>
      <c r="CR3" s="452"/>
      <c r="CS3" s="452"/>
      <c r="CT3" s="228"/>
      <c r="CU3" s="228"/>
      <c r="CV3" s="228"/>
      <c r="CW3" s="228"/>
      <c r="CX3" s="228"/>
      <c r="CY3" s="228"/>
      <c r="CZ3" s="228"/>
      <c r="DA3" s="228"/>
      <c r="DB3" s="228"/>
      <c r="DC3" s="228"/>
      <c r="DD3" s="228"/>
      <c r="DE3" s="228"/>
      <c r="DF3" s="228"/>
      <c r="DG3" s="228"/>
      <c r="DH3" s="228"/>
      <c r="DI3" s="228"/>
      <c r="DJ3" s="228"/>
      <c r="DK3" s="228"/>
      <c r="DL3" s="228"/>
      <c r="DM3" s="228"/>
      <c r="DN3" s="228"/>
      <c r="DO3" s="228"/>
      <c r="DP3" s="228"/>
      <c r="DQ3" s="228"/>
    </row>
    <row r="4" s="61" customFormat="1" ht="16" customHeight="1" spans="1:121">
      <c r="A4" s="269" t="s">
        <v>274</v>
      </c>
      <c r="B4" s="270"/>
      <c r="C4" s="270"/>
      <c r="D4" s="270"/>
      <c r="E4" s="270"/>
      <c r="F4" s="270"/>
      <c r="G4" s="70" t="e">
        <f>IF(O20=0,"未做决策",IF(MAX(T20:T23)&gt;=6,"价格打错","决策无误"))</f>
        <v>#DIV/0!</v>
      </c>
      <c r="H4" s="269" t="s">
        <v>497</v>
      </c>
      <c r="I4" s="270"/>
      <c r="J4" s="270"/>
      <c r="K4" s="270"/>
      <c r="L4" s="270"/>
      <c r="M4" s="85"/>
      <c r="N4" s="269" t="s">
        <v>475</v>
      </c>
      <c r="O4" s="270"/>
      <c r="P4" s="270"/>
      <c r="Q4" s="270"/>
      <c r="R4" s="270"/>
      <c r="S4" s="74"/>
      <c r="T4" s="120"/>
      <c r="U4" s="269" t="s">
        <v>498</v>
      </c>
      <c r="V4" s="269" t="s">
        <v>513</v>
      </c>
      <c r="W4" s="269" t="s">
        <v>514</v>
      </c>
      <c r="X4" s="269" t="s">
        <v>515</v>
      </c>
      <c r="Y4" s="269" t="s">
        <v>516</v>
      </c>
      <c r="Z4" s="269" t="s">
        <v>499</v>
      </c>
      <c r="AA4" s="269" t="s">
        <v>500</v>
      </c>
      <c r="AB4" s="154" t="s">
        <v>501</v>
      </c>
      <c r="AC4" s="154" t="s">
        <v>241</v>
      </c>
      <c r="AD4" s="154" t="s">
        <v>38</v>
      </c>
      <c r="AE4" s="154" t="s">
        <v>39</v>
      </c>
      <c r="AF4" s="154" t="s">
        <v>40</v>
      </c>
      <c r="AG4" s="154" t="s">
        <v>41</v>
      </c>
      <c r="AH4" s="73"/>
      <c r="AI4" s="526" t="s">
        <v>502</v>
      </c>
      <c r="AJ4" s="527"/>
      <c r="AK4" s="527"/>
      <c r="AL4" s="527"/>
      <c r="AM4" s="527"/>
      <c r="AN4" s="527"/>
      <c r="AO4" s="527"/>
      <c r="AP4" s="527"/>
      <c r="AQ4" s="527"/>
      <c r="AR4" s="527"/>
      <c r="AS4" s="527"/>
      <c r="AT4" s="527"/>
      <c r="AU4" s="527"/>
      <c r="AV4" s="527"/>
      <c r="AW4" s="527"/>
      <c r="AX4" s="527"/>
      <c r="AY4" s="527"/>
      <c r="AZ4" s="63"/>
      <c r="BA4" s="269" t="s">
        <v>503</v>
      </c>
      <c r="BB4" s="270"/>
      <c r="BC4" s="270"/>
      <c r="BD4" s="270"/>
      <c r="BE4" s="270"/>
      <c r="BF4" s="270"/>
      <c r="BG4" s="270"/>
      <c r="BH4" s="270"/>
      <c r="BI4" s="270"/>
      <c r="BJ4" s="270"/>
      <c r="BK4" s="270"/>
      <c r="BL4" s="270"/>
      <c r="BM4" s="270"/>
      <c r="BN4" s="270"/>
      <c r="BO4" s="270"/>
      <c r="BP4" s="270"/>
      <c r="BQ4" s="270"/>
      <c r="BR4" s="62"/>
      <c r="BS4" s="68" t="s">
        <v>504</v>
      </c>
      <c r="BT4" s="68" t="s">
        <v>505</v>
      </c>
      <c r="BU4" s="68" t="s">
        <v>506</v>
      </c>
      <c r="BV4" s="68" t="s">
        <v>262</v>
      </c>
      <c r="BW4" s="68" t="s">
        <v>507</v>
      </c>
      <c r="BX4" s="68" t="s">
        <v>508</v>
      </c>
      <c r="BY4" s="68" t="s">
        <v>264</v>
      </c>
      <c r="BZ4" s="68" t="s">
        <v>268</v>
      </c>
      <c r="CA4" s="68" t="s">
        <v>272</v>
      </c>
      <c r="CB4" s="68" t="s">
        <v>270</v>
      </c>
      <c r="CC4" s="68" t="s">
        <v>509</v>
      </c>
      <c r="CD4" s="68" t="s">
        <v>510</v>
      </c>
      <c r="CE4" s="68" t="s">
        <v>511</v>
      </c>
      <c r="CF4" s="68" t="s">
        <v>512</v>
      </c>
      <c r="CG4" s="453"/>
      <c r="CH4" s="453"/>
      <c r="CI4" s="227"/>
      <c r="CJ4" s="228"/>
      <c r="CK4" s="227"/>
      <c r="CL4" s="228"/>
      <c r="CM4" s="228"/>
      <c r="CN4" s="228"/>
      <c r="CO4" s="228"/>
      <c r="CP4" s="228"/>
      <c r="CQ4" s="228"/>
      <c r="CR4" s="228"/>
      <c r="CS4" s="228"/>
      <c r="CT4" s="227"/>
      <c r="CU4" s="227"/>
      <c r="CV4" s="227"/>
      <c r="CW4" s="227"/>
      <c r="CX4" s="227"/>
      <c r="CY4" s="227"/>
      <c r="CZ4" s="227"/>
      <c r="DA4" s="227"/>
      <c r="DB4" s="228"/>
      <c r="DC4" s="228"/>
      <c r="DD4" s="228"/>
      <c r="DE4" s="228"/>
      <c r="DF4" s="228"/>
      <c r="DG4" s="228"/>
      <c r="DH4" s="228"/>
      <c r="DI4" s="228"/>
      <c r="DJ4" s="228"/>
      <c r="DK4" s="228"/>
      <c r="DL4" s="228"/>
      <c r="DM4" s="228"/>
      <c r="DN4" s="228"/>
      <c r="DO4" s="228"/>
      <c r="DP4" s="228"/>
      <c r="DQ4" s="228"/>
    </row>
    <row r="5" s="61" customFormat="1" ht="16" customHeight="1" spans="1:121">
      <c r="A5" s="269" t="s">
        <v>475</v>
      </c>
      <c r="B5" s="269" t="s">
        <v>513</v>
      </c>
      <c r="C5" s="269" t="s">
        <v>514</v>
      </c>
      <c r="D5" s="269" t="s">
        <v>515</v>
      </c>
      <c r="E5" s="269" t="s">
        <v>516</v>
      </c>
      <c r="F5" s="269" t="s">
        <v>276</v>
      </c>
      <c r="G5" s="70" t="str">
        <f>IF(AI24="","未粘报表","已粘报表")</f>
        <v>未粘报表</v>
      </c>
      <c r="H5" s="269" t="s">
        <v>283</v>
      </c>
      <c r="I5" s="269" t="s">
        <v>347</v>
      </c>
      <c r="J5" s="269" t="s">
        <v>517</v>
      </c>
      <c r="K5" s="269" t="s">
        <v>518</v>
      </c>
      <c r="L5" s="269" t="s">
        <v>519</v>
      </c>
      <c r="M5" s="85"/>
      <c r="N5" s="269" t="s">
        <v>520</v>
      </c>
      <c r="O5" s="269" t="s">
        <v>521</v>
      </c>
      <c r="P5" s="269" t="s">
        <v>522</v>
      </c>
      <c r="Q5" s="269" t="s">
        <v>523</v>
      </c>
      <c r="R5" s="269" t="s">
        <v>524</v>
      </c>
      <c r="S5" s="121"/>
      <c r="T5" s="120"/>
      <c r="U5" s="269" t="s">
        <v>521</v>
      </c>
      <c r="V5" s="77">
        <f>第1期!AP9</f>
        <v>0</v>
      </c>
      <c r="W5" s="77">
        <f>第1期!AP10</f>
        <v>0</v>
      </c>
      <c r="X5" s="77">
        <f>第1期!AP11</f>
        <v>0</v>
      </c>
      <c r="Y5" s="77">
        <f>第1期!AP12</f>
        <v>0</v>
      </c>
      <c r="Z5" s="77">
        <f>第1期!AJ26</f>
        <v>0</v>
      </c>
      <c r="AA5" s="77" t="e">
        <f>(V5+W5+X5+Y5)*AC11</f>
        <v>#DIV/0!</v>
      </c>
      <c r="AB5" s="154" t="s">
        <v>521</v>
      </c>
      <c r="AC5" s="152" t="e">
        <f>初始化表!$B$8*初始化表!E17*初始化表!$H$5/1300+初始化表!$B$12*初始化表!E17/1300+初始化表!E19+初始化表!E18*(-C35-C44)/(SUM(B17:E17)*初始化表!E18+SUM(B18:E18)*初始化表!F18+SUM(B19:E19)*初始化表!G18+SUM(B20:E20)*初始化表!H18)</f>
        <v>#DIV/0!</v>
      </c>
      <c r="AD5" s="153" t="e">
        <f>$AC5+初始化表!L19+$F6*B6/SUMPRODUCT($B6:$E6,$V42:$Y42)+B$10*B6/SUMPRODUCT(B$6:B$9,V$42:V$45)+初始化表!L13/I63+(IF(I25+J25=0,0,1)*初始化表!H25+IF(K25+L25=0,0,1)*初始化表!I25)/(I63+J63+K63+L63)</f>
        <v>#DIV/0!</v>
      </c>
      <c r="AE5" s="153" t="e">
        <f>$AC5+初始化表!M19+$F6*C6/SUMPRODUCT($B6:$E6,$V42:$Y42)+C$10*C6/SUMPRODUCT(C$6:C$9,W$42:W$45)+初始化表!M13/J63+(IF(I25+J25=0,0,1)*初始化表!H25+IF(K25+L25=0,0,1)*初始化表!I25)/(I63+J63+K63+L63)</f>
        <v>#DIV/0!</v>
      </c>
      <c r="AF5" s="153" t="e">
        <f>$AC5+初始化表!N19+$F6*D6/SUMPRODUCT($B6:$E6,$V42:$Y42)+D$10*D6/SUMPRODUCT(D$6:D$9,X$42:X$45)+初始化表!N13/K63+(IF(I25+J25=0,0,1)*初始化表!H25+IF(K25+L25=0,0,1)*初始化表!I25)/(I63+J63+K63+L63)</f>
        <v>#DIV/0!</v>
      </c>
      <c r="AG5" s="153" t="e">
        <f>$AC5+初始化表!O19+$F6*E6/SUMPRODUCT($B6:$E6,$V42:$Y42)+E$10*E6/SUMPRODUCT(E$6:E$9,Y$42:Y$45)+初始化表!O13/L63+(IF(I25+J25=0,0,1)*初始化表!H25+IF(K25+L25=0,0,1)*初始化表!I25)/(I63+J63+K63+L63)</f>
        <v>#DIV/0!</v>
      </c>
      <c r="AH5" s="73"/>
      <c r="AI5" s="527"/>
      <c r="AJ5" s="527"/>
      <c r="AK5" s="527"/>
      <c r="AL5" s="527"/>
      <c r="AM5" s="527"/>
      <c r="AN5" s="527"/>
      <c r="AO5" s="527"/>
      <c r="AP5" s="527"/>
      <c r="AQ5" s="527"/>
      <c r="AR5" s="527"/>
      <c r="AS5" s="527"/>
      <c r="AT5" s="527"/>
      <c r="AU5" s="527"/>
      <c r="AV5" s="527"/>
      <c r="AW5" s="527"/>
      <c r="AX5" s="527"/>
      <c r="AY5" s="527"/>
      <c r="AZ5" s="63"/>
      <c r="BA5" s="269" t="s">
        <v>37</v>
      </c>
      <c r="BB5" s="269" t="s">
        <v>521</v>
      </c>
      <c r="BC5" s="270"/>
      <c r="BD5" s="270"/>
      <c r="BE5" s="270"/>
      <c r="BF5" s="269" t="s">
        <v>522</v>
      </c>
      <c r="BG5" s="270"/>
      <c r="BH5" s="270"/>
      <c r="BI5" s="270"/>
      <c r="BJ5" s="269" t="s">
        <v>523</v>
      </c>
      <c r="BK5" s="270"/>
      <c r="BL5" s="270"/>
      <c r="BM5" s="270"/>
      <c r="BN5" s="269" t="s">
        <v>524</v>
      </c>
      <c r="BO5" s="270"/>
      <c r="BP5" s="270"/>
      <c r="BQ5" s="270"/>
      <c r="BR5" s="62"/>
      <c r="BS5" s="69">
        <f t="shared" ref="BS5:BS24" si="0">BA7</f>
        <v>0</v>
      </c>
      <c r="BT5" s="550">
        <f t="shared" ref="BT5:BT24" si="1">IF(BS5=0,0,1)</f>
        <v>0</v>
      </c>
      <c r="BU5" s="550">
        <f>第1期!AQ107*0.5</f>
        <v>0</v>
      </c>
      <c r="BV5" s="556" t="e">
        <f>AVERAGE(BT30:CI30)*初始化表!B$31</f>
        <v>#DIV/0!</v>
      </c>
      <c r="BW5" s="556" t="e">
        <f>$BT5*(AL107-BW$25)/BW$26*初始化表!B$30</f>
        <v>#DIV/0!</v>
      </c>
      <c r="BX5" s="556" t="e">
        <f>$BT5*(AM107-BX$25)/BX$26*初始化表!B$33</f>
        <v>#DIV/0!</v>
      </c>
      <c r="BY5" s="556" t="e">
        <f>$BT5*(AN107-BY$25)/BY$26*初始化表!B$32</f>
        <v>#DIV/0!</v>
      </c>
      <c r="BZ5" s="556" t="e">
        <f>$BT5*(AP107-BZ$25)/BZ$26*初始化表!B$34</f>
        <v>#DIV/0!</v>
      </c>
      <c r="CA5" s="556" t="e">
        <f>$BT$5*(AW107-CA$25)/CA$26*初始化表!B$36</f>
        <v>#DIV/0!</v>
      </c>
      <c r="CB5" s="556" t="e">
        <f>CE5-CC5-BU5-SUM(BV5:CA5)/2</f>
        <v>#DIV/0!</v>
      </c>
      <c r="CC5" s="550">
        <f>IF(AO107-AX107&gt;=0,0,-0.1*(1-EXP(2*10^(-6)*(AO107-AX107))))</f>
        <v>0</v>
      </c>
      <c r="CD5" s="561" t="e">
        <f>SUM(BV5:CB5)</f>
        <v>#DIV/0!</v>
      </c>
      <c r="CE5" s="561">
        <f>AQ107</f>
        <v>0</v>
      </c>
      <c r="CF5" s="561">
        <f>BU5*2</f>
        <v>0</v>
      </c>
      <c r="CG5" s="453"/>
      <c r="CH5" s="453"/>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c r="DP5" s="228"/>
      <c r="DQ5" s="228"/>
    </row>
    <row r="6" s="61" customFormat="1" ht="16" customHeight="1" spans="1:121">
      <c r="A6" s="269" t="s">
        <v>521</v>
      </c>
      <c r="B6" s="457" t="e">
        <f>O20</f>
        <v>#DIV/0!</v>
      </c>
      <c r="C6" s="458" t="e">
        <f t="shared" ref="C6:E9" si="2">P20</f>
        <v>#DIV/0!</v>
      </c>
      <c r="D6" s="458" t="e">
        <f t="shared" si="2"/>
        <v>#DIV/0!</v>
      </c>
      <c r="E6" s="458" t="e">
        <f t="shared" si="2"/>
        <v>#DIV/0!</v>
      </c>
      <c r="F6" s="459" t="e">
        <f>O28</f>
        <v>#DIV/0!</v>
      </c>
      <c r="G6" s="73"/>
      <c r="H6" s="269" t="s">
        <v>521</v>
      </c>
      <c r="I6" s="473">
        <f>第1期!I6+第1期!J6</f>
        <v>0</v>
      </c>
      <c r="J6" s="480"/>
      <c r="K6" s="481">
        <f>IF(IF((I6+F17)&gt;=初始化表!I31,5,IF((I6+F17)&gt;=初始化表!H31,4,IF((I6+F17)&gt;=初始化表!G31,3,IF((I6+F17)&gt;=初始化表!F31,2,IF((I6+F17)&gt;=初始化表!E31,1,0)))))+IF(I6+F17&gt;初始化表!E31,O$45)&lt;第1期!K6+1,IF((I6+F17)&gt;=初始化表!I31,5,IF((I6+F17)&gt;=初始化表!H31,4,IF((I6+F17)&gt;=初始化表!G31,3,IF((I6+F17)&gt;=初始化表!F31,2,IF((I6+F17)&gt;=初始化表!E31,1,0)))))+IF(I6+F17&gt;初始化表!E31,O$45),第1期!K6+1)</f>
        <v>2</v>
      </c>
      <c r="L6" s="459">
        <f>IF(I6&lt;初始化表!E31,初始化表!E31-I6,IF(I6&lt;初始化表!F31,初始化表!F31-I6,IF(I6&lt;初始化表!G31,初始化表!G31-I6,IF(I6&lt;初始化表!H31,初始化表!H31-I6,IF(I6&lt;初始化表!I31,初始化表!I31-I6,0)))))</f>
        <v>0</v>
      </c>
      <c r="M6" s="85"/>
      <c r="N6" s="269" t="s">
        <v>525</v>
      </c>
      <c r="O6" s="88">
        <f>第1期!O6+0.0005</f>
        <v>0.0385</v>
      </c>
      <c r="P6" s="88">
        <f>第1期!P6+0.0005</f>
        <v>0.0385</v>
      </c>
      <c r="Q6" s="88">
        <f>第1期!Q6+0.0005</f>
        <v>0.0385</v>
      </c>
      <c r="R6" s="88">
        <f>第1期!R6+0.0005</f>
        <v>0.0385</v>
      </c>
      <c r="S6" s="122"/>
      <c r="T6" s="120"/>
      <c r="U6" s="269" t="s">
        <v>522</v>
      </c>
      <c r="V6" s="77">
        <f>第1期!AP13</f>
        <v>0</v>
      </c>
      <c r="W6" s="77">
        <f>第1期!AP14</f>
        <v>0</v>
      </c>
      <c r="X6" s="77">
        <f>第1期!AP15</f>
        <v>0</v>
      </c>
      <c r="Y6" s="77">
        <f>第1期!AP16</f>
        <v>0</v>
      </c>
      <c r="Z6" s="77">
        <f>第1期!AJ27</f>
        <v>0</v>
      </c>
      <c r="AA6" s="77" t="e">
        <f t="shared" ref="AA6:AA8" si="3">(V6+W6+X6+Y6)*AC12</f>
        <v>#DIV/0!</v>
      </c>
      <c r="AB6" s="154" t="s">
        <v>522</v>
      </c>
      <c r="AC6" s="152" t="e">
        <f>初始化表!$B$8*初始化表!F17*初始化表!$H$5/1300+初始化表!$B$12*初始化表!F17/1300+初始化表!F19+初始化表!F18*(-C35-C44)/(SUM(B17:E17)*初始化表!E18+SUM(B18:E18)*初始化表!F18+SUM(B19:E19)*初始化表!G18+SUM(B20:E20)*初始化表!H18)</f>
        <v>#DIV/0!</v>
      </c>
      <c r="AD6" s="153" t="e">
        <f>$AC6+初始化表!L20+$F7*B7/SUMPRODUCT($B7:$E7,$V43:$Y43)+B$10*B7/SUMPRODUCT(B$6:B$9,V$42:V$45)+初始化表!L14/I64+(IF(I26+J26=0,0,1)*初始化表!H26+IF(K26+L26=0,0,1)*初始化表!I26)/(I64+J64+K64+L64)</f>
        <v>#DIV/0!</v>
      </c>
      <c r="AE6" s="153" t="e">
        <f>$AC6+初始化表!M20+$F7*C7/SUMPRODUCT($B7:$E7,$V43:$Y43)+C$10*C7/SUMPRODUCT(C$6:C$9,W$42:W$45)+初始化表!M14/J64+(IF(I26+J26=0,0,1)*初始化表!H26+IF(K26+L26=0,0,1)*初始化表!I26)/(I64+J64+K64+L64)</f>
        <v>#DIV/0!</v>
      </c>
      <c r="AF6" s="153" t="e">
        <f>$AC6+初始化表!N20+$F7*D7/SUMPRODUCT($B7:$E7,$V43:$Y43)+D$10*D7/SUMPRODUCT(D$6:D$9,X$42:X$45)+初始化表!N14/K64+(IF(I26+J26=0,0,1)*初始化表!H26+IF(K26+L26=0,0,1)*初始化表!I26)/(I64+J64+K64+L64)</f>
        <v>#DIV/0!</v>
      </c>
      <c r="AG6" s="153" t="e">
        <f>$AC6+初始化表!O20+$F7*E7/SUMPRODUCT($B7:$E7,$V43:$Y43)+E$10*E7/SUMPRODUCT(E$6:E$9,Y$42:Y$45)+初始化表!O14/L64+(IF(I26+J26=0,0,1)*初始化表!H26+IF(K26+L26=0,0,1)*初始化表!I26)/(I64+J64+K64+L64)</f>
        <v>#DIV/0!</v>
      </c>
      <c r="AH6" s="73"/>
      <c r="AZ6" s="63"/>
      <c r="BA6" s="270"/>
      <c r="BB6" s="269" t="s">
        <v>513</v>
      </c>
      <c r="BC6" s="269" t="s">
        <v>514</v>
      </c>
      <c r="BD6" s="269" t="s">
        <v>515</v>
      </c>
      <c r="BE6" s="269" t="s">
        <v>516</v>
      </c>
      <c r="BF6" s="269" t="s">
        <v>513</v>
      </c>
      <c r="BG6" s="269" t="s">
        <v>514</v>
      </c>
      <c r="BH6" s="269" t="s">
        <v>515</v>
      </c>
      <c r="BI6" s="269" t="s">
        <v>516</v>
      </c>
      <c r="BJ6" s="269" t="s">
        <v>513</v>
      </c>
      <c r="BK6" s="269" t="s">
        <v>514</v>
      </c>
      <c r="BL6" s="269" t="s">
        <v>515</v>
      </c>
      <c r="BM6" s="269" t="s">
        <v>516</v>
      </c>
      <c r="BN6" s="269" t="s">
        <v>513</v>
      </c>
      <c r="BO6" s="269" t="s">
        <v>514</v>
      </c>
      <c r="BP6" s="269" t="s">
        <v>515</v>
      </c>
      <c r="BQ6" s="269" t="s">
        <v>516</v>
      </c>
      <c r="BR6" s="62"/>
      <c r="BS6" s="69">
        <f t="shared" si="0"/>
        <v>0</v>
      </c>
      <c r="BT6" s="550">
        <f t="shared" si="1"/>
        <v>0</v>
      </c>
      <c r="BU6" s="550">
        <f>第1期!AQ108*0.5</f>
        <v>0</v>
      </c>
      <c r="BV6" s="556" t="e">
        <f>AVERAGE(BT31:CI31)*初始化表!B$31</f>
        <v>#DIV/0!</v>
      </c>
      <c r="BW6" s="556" t="e">
        <f>$BT6*(AL108-BW$25)/BW$26*初始化表!B$30</f>
        <v>#DIV/0!</v>
      </c>
      <c r="BX6" s="556" t="e">
        <f>$BT6*(AM108-BX$25)/BX$26*初始化表!B$33</f>
        <v>#DIV/0!</v>
      </c>
      <c r="BY6" s="556" t="e">
        <f>$BT6*(AN108-BY$25)/BY$26*初始化表!B$32</f>
        <v>#DIV/0!</v>
      </c>
      <c r="BZ6" s="556" t="e">
        <f>$BT6*(AP108-BZ$25)/BZ$26*初始化表!B$34</f>
        <v>#DIV/0!</v>
      </c>
      <c r="CA6" s="556" t="e">
        <f>$BT$5*(AW108-CA$25)/CA$26*初始化表!B$36</f>
        <v>#DIV/0!</v>
      </c>
      <c r="CB6" s="556" t="e">
        <f t="shared" ref="CB6:CB24" si="4">CE6-CC6-BU6-SUM(BV6:CA6)/2</f>
        <v>#DIV/0!</v>
      </c>
      <c r="CC6" s="550">
        <f t="shared" ref="CC6:CC24" si="5">IF(AO108-AX108&gt;=0,0,-0.1*(1-EXP(2*10^(-6)*(AO108-AX108))))</f>
        <v>0</v>
      </c>
      <c r="CD6" s="561" t="e">
        <f t="shared" ref="CD6:CD24" si="6">SUM(BV6:CB6)</f>
        <v>#DIV/0!</v>
      </c>
      <c r="CE6" s="561">
        <f t="shared" ref="CE6:CE24" si="7">AQ108</f>
        <v>0</v>
      </c>
      <c r="CF6" s="561">
        <f t="shared" ref="CF6:CF24" si="8">BU6*2</f>
        <v>0</v>
      </c>
      <c r="CG6" s="453"/>
      <c r="CH6" s="453"/>
      <c r="CI6" s="227"/>
      <c r="CJ6" s="228"/>
      <c r="CK6" s="227"/>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c r="DP6" s="228"/>
      <c r="DQ6" s="228"/>
    </row>
    <row r="7" s="61" customFormat="1" ht="16" customHeight="1" spans="1:121">
      <c r="A7" s="269" t="s">
        <v>522</v>
      </c>
      <c r="B7" s="460" t="e">
        <f t="shared" ref="B7:B9" si="9">O21</f>
        <v>#DIV/0!</v>
      </c>
      <c r="C7" s="71" t="e">
        <f t="shared" si="2"/>
        <v>#DIV/0!</v>
      </c>
      <c r="D7" s="71" t="e">
        <f t="shared" si="2"/>
        <v>#DIV/0!</v>
      </c>
      <c r="E7" s="71" t="e">
        <f t="shared" si="2"/>
        <v>#DIV/0!</v>
      </c>
      <c r="F7" s="72" t="e">
        <f>P28</f>
        <v>#DIV/0!</v>
      </c>
      <c r="G7" s="73"/>
      <c r="H7" s="269" t="s">
        <v>522</v>
      </c>
      <c r="I7" s="482">
        <f>第1期!I7+第1期!J7</f>
        <v>0</v>
      </c>
      <c r="J7" s="86"/>
      <c r="K7" s="87">
        <f>IF(IF((I7+F18)&gt;=初始化表!I32,5,IF((I7+F18)&gt;=初始化表!H32,4,IF((I7+F18)&gt;=初始化表!G32,3,IF((I7+F18)&gt;=初始化表!F32,2,IF((I7+F18)&gt;=初始化表!E32,1,0)))))+IF(I7+F18&gt;初始化表!E32,O$45)&lt;第1期!K7+1,IF((I7+F18)&gt;=初始化表!I32,5,IF((I7+F18)&gt;=初始化表!H32,4,IF((I7+F18)&gt;=初始化表!G32,3,IF((I7+F18)&gt;=初始化表!F32,2,IF((I7+F18)&gt;=初始化表!E32,1,0)))))+IF(I7+F18&gt;初始化表!E32,O$45),第1期!K7+1)</f>
        <v>2</v>
      </c>
      <c r="L7" s="72">
        <f>IF(I7&lt;初始化表!E32,初始化表!E32-I7,IF(I7&lt;初始化表!F32,初始化表!F32-I7,IF(I7&lt;初始化表!G32,初始化表!G32-I7,IF(I7&lt;初始化表!H32,初始化表!H32-I7,IF(I7&lt;初始化表!I32,初始化表!I32-I7,0)))))</f>
        <v>0</v>
      </c>
      <c r="M7" s="85"/>
      <c r="N7" s="269" t="s">
        <v>526</v>
      </c>
      <c r="O7" s="269" t="s">
        <v>513</v>
      </c>
      <c r="P7" s="269" t="s">
        <v>514</v>
      </c>
      <c r="Q7" s="269" t="s">
        <v>515</v>
      </c>
      <c r="R7" s="269" t="s">
        <v>516</v>
      </c>
      <c r="S7" s="121"/>
      <c r="T7" s="120"/>
      <c r="U7" s="269" t="s">
        <v>523</v>
      </c>
      <c r="V7" s="77">
        <f>第1期!AP17</f>
        <v>0</v>
      </c>
      <c r="W7" s="77">
        <f>第1期!AP18</f>
        <v>0</v>
      </c>
      <c r="X7" s="77">
        <f>第1期!AP19</f>
        <v>0</v>
      </c>
      <c r="Y7" s="77">
        <f>第1期!AP20</f>
        <v>0</v>
      </c>
      <c r="Z7" s="77">
        <f>第1期!AJ28</f>
        <v>0</v>
      </c>
      <c r="AA7" s="77" t="e">
        <f t="shared" si="3"/>
        <v>#DIV/0!</v>
      </c>
      <c r="AB7" s="154" t="s">
        <v>523</v>
      </c>
      <c r="AC7" s="152" t="e">
        <f>初始化表!$B$8*初始化表!G17*初始化表!$H$5/1300+初始化表!$B$12*初始化表!G17/1300+初始化表!G19+初始化表!G18*(-C35-C44)/(SUM(B17:E17)*初始化表!E18+SUM(B18:E18)*初始化表!F18+SUM(B19:E19)*初始化表!G18+SUM(B20:E20)*初始化表!H18)</f>
        <v>#DIV/0!</v>
      </c>
      <c r="AD7" s="153" t="e">
        <f>$AC7+初始化表!L21+$F8*B8/SUMPRODUCT($B8:$E8,$V44:$Y44)+B$10*B8/SUMPRODUCT(B$6:B$9,V$42:V$45)+初始化表!L15/I65+(IF(I27+J27=0,0,1)*初始化表!H27+IF(K27+L27=0,0,1)*初始化表!I27)/(I65+J65+K65+L65)</f>
        <v>#DIV/0!</v>
      </c>
      <c r="AE7" s="153" t="e">
        <f>$AC7+初始化表!M21+$F8*C8/SUMPRODUCT($B8:$E8,$V44:$Y44)+C$10*C8/SUMPRODUCT(C$6:C$9,W$42:W$45)+初始化表!M15/J65+(IF(I27+J27=0,0,1)*初始化表!H27+IF(K27+L27=0,0,1)*初始化表!I27)/(I65+J65+K65+L65)</f>
        <v>#DIV/0!</v>
      </c>
      <c r="AF7" s="153" t="e">
        <f>$AC7+初始化表!N21+$F8*D8/SUMPRODUCT($B8:$E8,$V44:$Y44)+D$10*D8/SUMPRODUCT(D$6:D$9,X$42:X$45)+初始化表!N15/K65+(IF(I27+J27=0,0,1)*初始化表!H27+IF(K27+L27=0,0,1)*初始化表!I27)/(I65+J65+K65+L65)</f>
        <v>#DIV/0!</v>
      </c>
      <c r="AG7" s="153" t="e">
        <f>$AC7+初始化表!O21+$F8*E8/SUMPRODUCT($B8:$E8,$V44:$Y44)+E$10*E8/SUMPRODUCT(E$6:E$9,Y$42:Y$45)+初始化表!O15/L65+(IF(I27+J27=0,0,1)*初始化表!H27+IF(K27+L27=0,0,1)*初始化表!I27)/(I65+J65+K65+L65)</f>
        <v>#DIV/0!</v>
      </c>
      <c r="AH7" s="73"/>
      <c r="AI7" s="68" t="s">
        <v>424</v>
      </c>
      <c r="AJ7" s="69"/>
      <c r="AK7" s="69"/>
      <c r="AL7" s="69"/>
      <c r="AM7" s="69"/>
      <c r="AN7" s="69"/>
      <c r="AO7" s="69"/>
      <c r="AP7" s="69"/>
      <c r="AQ7" s="69"/>
      <c r="AZ7" s="63"/>
      <c r="BA7" s="539">
        <f t="shared" ref="BA7:BA26" si="10">AI37</f>
        <v>0</v>
      </c>
      <c r="BB7" s="235">
        <f t="shared" ref="BB7:BQ22" si="11">IF($BA7="","",INT(BB$28*AJ61))</f>
        <v>0</v>
      </c>
      <c r="BC7" s="235">
        <f t="shared" si="11"/>
        <v>0</v>
      </c>
      <c r="BD7" s="235">
        <f t="shared" si="11"/>
        <v>0</v>
      </c>
      <c r="BE7" s="235">
        <f t="shared" si="11"/>
        <v>0</v>
      </c>
      <c r="BF7" s="235">
        <f t="shared" si="11"/>
        <v>0</v>
      </c>
      <c r="BG7" s="235">
        <f t="shared" si="11"/>
        <v>0</v>
      </c>
      <c r="BH7" s="235">
        <f t="shared" si="11"/>
        <v>0</v>
      </c>
      <c r="BI7" s="235">
        <f t="shared" si="11"/>
        <v>0</v>
      </c>
      <c r="BJ7" s="235">
        <f t="shared" si="11"/>
        <v>0</v>
      </c>
      <c r="BK7" s="235">
        <f t="shared" si="11"/>
        <v>0</v>
      </c>
      <c r="BL7" s="235">
        <f t="shared" si="11"/>
        <v>0</v>
      </c>
      <c r="BM7" s="235">
        <f t="shared" si="11"/>
        <v>0</v>
      </c>
      <c r="BN7" s="235">
        <f t="shared" si="11"/>
        <v>0</v>
      </c>
      <c r="BO7" s="235">
        <f t="shared" si="11"/>
        <v>0</v>
      </c>
      <c r="BP7" s="235">
        <f t="shared" si="11"/>
        <v>0</v>
      </c>
      <c r="BQ7" s="235">
        <f t="shared" si="11"/>
        <v>0</v>
      </c>
      <c r="BR7" s="62"/>
      <c r="BS7" s="69">
        <f t="shared" si="0"/>
        <v>0</v>
      </c>
      <c r="BT7" s="550">
        <f t="shared" si="1"/>
        <v>0</v>
      </c>
      <c r="BU7" s="550">
        <f>第1期!AQ109*0.5</f>
        <v>0</v>
      </c>
      <c r="BV7" s="556" t="e">
        <f>AVERAGE(BT32:CI32)*初始化表!B$31</f>
        <v>#DIV/0!</v>
      </c>
      <c r="BW7" s="556" t="e">
        <f>$BT7*(AL109-BW$25)/BW$26*初始化表!B$30</f>
        <v>#DIV/0!</v>
      </c>
      <c r="BX7" s="556" t="e">
        <f>$BT7*(AM109-BX$25)/BX$26*初始化表!B$33</f>
        <v>#DIV/0!</v>
      </c>
      <c r="BY7" s="556" t="e">
        <f>$BT7*(AN109-BY$25)/BY$26*初始化表!B$32</f>
        <v>#DIV/0!</v>
      </c>
      <c r="BZ7" s="556" t="e">
        <f>$BT7*(AP109-BZ$25)/BZ$26*初始化表!B$34</f>
        <v>#DIV/0!</v>
      </c>
      <c r="CA7" s="556" t="e">
        <f>$BT$5*(AW109-CA$25)/CA$26*初始化表!B$36</f>
        <v>#DIV/0!</v>
      </c>
      <c r="CB7" s="556" t="e">
        <f t="shared" si="4"/>
        <v>#DIV/0!</v>
      </c>
      <c r="CC7" s="550">
        <f t="shared" si="5"/>
        <v>0</v>
      </c>
      <c r="CD7" s="561" t="e">
        <f t="shared" si="6"/>
        <v>#DIV/0!</v>
      </c>
      <c r="CE7" s="561">
        <f t="shared" si="7"/>
        <v>0</v>
      </c>
      <c r="CF7" s="561">
        <f t="shared" si="8"/>
        <v>0</v>
      </c>
      <c r="CG7" s="453"/>
      <c r="CH7" s="453"/>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row>
    <row r="8" s="61" customFormat="1" ht="16" customHeight="1" spans="1:121">
      <c r="A8" s="269" t="s">
        <v>523</v>
      </c>
      <c r="B8" s="460" t="e">
        <f t="shared" si="9"/>
        <v>#DIV/0!</v>
      </c>
      <c r="C8" s="71" t="e">
        <f t="shared" si="2"/>
        <v>#DIV/0!</v>
      </c>
      <c r="D8" s="71" t="e">
        <f t="shared" si="2"/>
        <v>#DIV/0!</v>
      </c>
      <c r="E8" s="71" t="e">
        <f t="shared" si="2"/>
        <v>#DIV/0!</v>
      </c>
      <c r="F8" s="72" t="e">
        <f>Q28</f>
        <v>#DIV/0!</v>
      </c>
      <c r="G8" s="73"/>
      <c r="H8" s="269" t="s">
        <v>523</v>
      </c>
      <c r="I8" s="482">
        <f>第1期!I8+第1期!J8</f>
        <v>0</v>
      </c>
      <c r="J8" s="86"/>
      <c r="K8" s="87">
        <f>IF(IF((I8+F19)&gt;=初始化表!I33,5,IF((I8+F19)&gt;=初始化表!H33,4,IF((I8+F19)&gt;=初始化表!G33,3,IF((I8+F19)&gt;=初始化表!F33,2,IF((I8+F19)&gt;=初始化表!E33,1,0)))))+IF(I8+F19&gt;初始化表!E33,O$45)&lt;第1期!K8+1,IF((I8+F19)&gt;=初始化表!I33,5,IF((I8+F19)&gt;=初始化表!H33,4,IF((I8+F19)&gt;=初始化表!G33,3,IF((I8+F19)&gt;=初始化表!F33,2,IF((I8+F19)&gt;=初始化表!E33,1,0)))))+IF(I8+F19&gt;初始化表!E33,O$45),第1期!K8+1)</f>
        <v>2</v>
      </c>
      <c r="L8" s="72">
        <f>IF(I8&lt;初始化表!E33,初始化表!E33-I8,IF(I8&lt;初始化表!F33,初始化表!F33-I8,IF(I8&lt;初始化表!G33,初始化表!G33-I8,IF(I8&lt;初始化表!H33,初始化表!H33-I8,IF(I8&lt;初始化表!I33,初始化表!I33-I8,0)))))</f>
        <v>0</v>
      </c>
      <c r="M8" s="85"/>
      <c r="N8" s="269" t="s">
        <v>525</v>
      </c>
      <c r="O8" s="88">
        <f>第1期!O8+0.0005</f>
        <v>0.0385</v>
      </c>
      <c r="P8" s="88">
        <f>第1期!P8+0.0005</f>
        <v>0.0385</v>
      </c>
      <c r="Q8" s="88">
        <f>第1期!Q8+0.0005</f>
        <v>0.0385</v>
      </c>
      <c r="R8" s="88">
        <f>第1期!R8+0.0005</f>
        <v>0.0385</v>
      </c>
      <c r="S8" s="122"/>
      <c r="T8" s="120"/>
      <c r="U8" s="269" t="s">
        <v>524</v>
      </c>
      <c r="V8" s="77">
        <f>第1期!AP21</f>
        <v>0</v>
      </c>
      <c r="W8" s="77">
        <f>第1期!AP22</f>
        <v>0</v>
      </c>
      <c r="X8" s="77">
        <f>第1期!AP23</f>
        <v>0</v>
      </c>
      <c r="Y8" s="77">
        <f>第1期!AP24</f>
        <v>0</v>
      </c>
      <c r="Z8" s="77">
        <f>第1期!AJ29</f>
        <v>0</v>
      </c>
      <c r="AA8" s="77" t="e">
        <f t="shared" si="3"/>
        <v>#DIV/0!</v>
      </c>
      <c r="AB8" s="154" t="s">
        <v>524</v>
      </c>
      <c r="AC8" s="152" t="e">
        <f>初始化表!$B$8*初始化表!H17*初始化表!$H$5/1300+初始化表!$B$12*初始化表!H17/1300+初始化表!H19+初始化表!H18*(-C35-C44)/(SUM(B17:E17)*初始化表!E18+SUM(B18:E18)*初始化表!F18+SUM(B19:E19)*初始化表!G18+SUM(B20:E20)*初始化表!H18)</f>
        <v>#DIV/0!</v>
      </c>
      <c r="AD8" s="153" t="e">
        <f>$AC8+初始化表!L22+$F9*B9/SUMPRODUCT($B9:$E9,$V45:$Y45)+B$10*B9/SUMPRODUCT(B$6:B$9,V$42:V$45)+初始化表!L16/I66+(IF(I28+J28=0,0,1)*初始化表!H28+IF(K28+L28=0,0,1)*初始化表!I28)/(I66+J66+K66+L66)</f>
        <v>#DIV/0!</v>
      </c>
      <c r="AE8" s="153" t="e">
        <f>$AC8+初始化表!M22+$F9*C9/SUMPRODUCT($B9:$E9,$V45:$Y45)+C$10*C9/SUMPRODUCT(C$6:C$9,W$42:W$45)+初始化表!M16/J66+(IF(I28+J28=0,0,1)*初始化表!H28+IF(K28+L28=0,0,1)*初始化表!I28)/(I66+J66+K66+L66)</f>
        <v>#DIV/0!</v>
      </c>
      <c r="AF8" s="153" t="e">
        <f>$AC8+初始化表!N22+$F9*D9/SUMPRODUCT($B9:$E9,$V45:$Y45)+D$10*D9/SUMPRODUCT(D$6:D$9,X$42:X$45)+初始化表!N16/K66+(IF(I28+J28=0,0,1)*初始化表!H28+IF(K28+L28=0,0,1)*初始化表!I28)/(I66+J66+K66+L66)</f>
        <v>#DIV/0!</v>
      </c>
      <c r="AG8" s="153" t="e">
        <f>$AC8+初始化表!O22+$F9*E9/SUMPRODUCT($B9:$E9,$V45:$Y45)+E$10*E9/SUMPRODUCT(E$6:E$9,Y$42:Y$45)+初始化表!O16/L66+(IF(I28+J28=0,0,1)*初始化表!H28+IF(K28+L28=0,0,1)*初始化表!I28)/(I66+J66+K66+L66)</f>
        <v>#DIV/0!</v>
      </c>
      <c r="AH8" s="73"/>
      <c r="AI8" s="298" t="s">
        <v>283</v>
      </c>
      <c r="AJ8" s="298" t="s">
        <v>284</v>
      </c>
      <c r="AK8" s="298" t="s">
        <v>285</v>
      </c>
      <c r="AL8" s="298" t="s">
        <v>286</v>
      </c>
      <c r="AM8" s="298" t="s">
        <v>287</v>
      </c>
      <c r="AN8" s="298" t="s">
        <v>288</v>
      </c>
      <c r="AO8" s="298" t="s">
        <v>289</v>
      </c>
      <c r="AP8" s="298" t="s">
        <v>290</v>
      </c>
      <c r="AQ8" s="314" t="s">
        <v>291</v>
      </c>
      <c r="AR8" s="185" t="s">
        <v>433</v>
      </c>
      <c r="AS8" s="185" t="s">
        <v>434</v>
      </c>
      <c r="AT8" s="185" t="s">
        <v>435</v>
      </c>
      <c r="AU8" s="185" t="s">
        <v>436</v>
      </c>
      <c r="AV8" s="185" t="s">
        <v>437</v>
      </c>
      <c r="AW8" s="185" t="s">
        <v>438</v>
      </c>
      <c r="AZ8" s="63"/>
      <c r="BA8" s="539">
        <f t="shared" si="10"/>
        <v>0</v>
      </c>
      <c r="BB8" s="235">
        <f t="shared" si="11"/>
        <v>0</v>
      </c>
      <c r="BC8" s="235">
        <f t="shared" si="11"/>
        <v>0</v>
      </c>
      <c r="BD8" s="235">
        <f t="shared" si="11"/>
        <v>0</v>
      </c>
      <c r="BE8" s="235">
        <f t="shared" si="11"/>
        <v>0</v>
      </c>
      <c r="BF8" s="235">
        <f t="shared" si="11"/>
        <v>0</v>
      </c>
      <c r="BG8" s="235">
        <f t="shared" si="11"/>
        <v>0</v>
      </c>
      <c r="BH8" s="235">
        <f t="shared" si="11"/>
        <v>0</v>
      </c>
      <c r="BI8" s="235">
        <f t="shared" si="11"/>
        <v>0</v>
      </c>
      <c r="BJ8" s="235">
        <f t="shared" si="11"/>
        <v>0</v>
      </c>
      <c r="BK8" s="235">
        <f t="shared" si="11"/>
        <v>0</v>
      </c>
      <c r="BL8" s="235">
        <f t="shared" si="11"/>
        <v>0</v>
      </c>
      <c r="BM8" s="235">
        <f t="shared" si="11"/>
        <v>0</v>
      </c>
      <c r="BN8" s="235">
        <f t="shared" si="11"/>
        <v>0</v>
      </c>
      <c r="BO8" s="235">
        <f t="shared" si="11"/>
        <v>0</v>
      </c>
      <c r="BP8" s="235">
        <f t="shared" si="11"/>
        <v>0</v>
      </c>
      <c r="BQ8" s="235">
        <f t="shared" si="11"/>
        <v>0</v>
      </c>
      <c r="BR8" s="62"/>
      <c r="BS8" s="69">
        <f t="shared" si="0"/>
        <v>0</v>
      </c>
      <c r="BT8" s="550">
        <f t="shared" si="1"/>
        <v>0</v>
      </c>
      <c r="BU8" s="550">
        <f>第1期!AQ110*0.5</f>
        <v>0</v>
      </c>
      <c r="BV8" s="556" t="e">
        <f>AVERAGE(BT33:CI33)*初始化表!B$31</f>
        <v>#DIV/0!</v>
      </c>
      <c r="BW8" s="556" t="e">
        <f>$BT8*(AL110-BW$25)/BW$26*初始化表!B$30</f>
        <v>#DIV/0!</v>
      </c>
      <c r="BX8" s="556" t="e">
        <f>$BT8*(AM110-BX$25)/BX$26*初始化表!B$33</f>
        <v>#DIV/0!</v>
      </c>
      <c r="BY8" s="556" t="e">
        <f>$BT8*(AN110-BY$25)/BY$26*初始化表!B$32</f>
        <v>#DIV/0!</v>
      </c>
      <c r="BZ8" s="556" t="e">
        <f>$BT8*(AP110-BZ$25)/BZ$26*初始化表!B$34</f>
        <v>#DIV/0!</v>
      </c>
      <c r="CA8" s="556" t="e">
        <f>$BT$5*(AW110-CA$25)/CA$26*初始化表!B$36</f>
        <v>#DIV/0!</v>
      </c>
      <c r="CB8" s="556" t="e">
        <f t="shared" si="4"/>
        <v>#DIV/0!</v>
      </c>
      <c r="CC8" s="550">
        <f t="shared" si="5"/>
        <v>0</v>
      </c>
      <c r="CD8" s="561" t="e">
        <f t="shared" si="6"/>
        <v>#DIV/0!</v>
      </c>
      <c r="CE8" s="561">
        <f t="shared" si="7"/>
        <v>0</v>
      </c>
      <c r="CF8" s="561">
        <f t="shared" si="8"/>
        <v>0</v>
      </c>
      <c r="CG8" s="453"/>
      <c r="CH8" s="453"/>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c r="DQ8" s="228"/>
    </row>
    <row r="9" s="61" customFormat="1" ht="16" customHeight="1" spans="1:121">
      <c r="A9" s="269" t="s">
        <v>524</v>
      </c>
      <c r="B9" s="460" t="e">
        <f t="shared" si="9"/>
        <v>#DIV/0!</v>
      </c>
      <c r="C9" s="71" t="e">
        <f t="shared" si="2"/>
        <v>#DIV/0!</v>
      </c>
      <c r="D9" s="71" t="e">
        <f t="shared" si="2"/>
        <v>#DIV/0!</v>
      </c>
      <c r="E9" s="71" t="e">
        <f t="shared" si="2"/>
        <v>#DIV/0!</v>
      </c>
      <c r="F9" s="461" t="e">
        <f>R28</f>
        <v>#DIV/0!</v>
      </c>
      <c r="G9" s="73"/>
      <c r="H9" s="269" t="s">
        <v>524</v>
      </c>
      <c r="I9" s="482">
        <f>第1期!I9+第1期!J9</f>
        <v>0</v>
      </c>
      <c r="J9" s="86"/>
      <c r="K9" s="87">
        <f>IF(IF((I9+F20)&gt;=初始化表!I34,5,IF((I9+F20)&gt;=初始化表!H34,4,IF((I9+F20)&gt;=初始化表!G34,3,IF((I9+F20)&gt;=初始化表!F34,2,IF((I9+F20)&gt;=初始化表!E34,1,0)))))+IF(I9+F20&gt;初始化表!E34,O$45)&lt;第1期!K9+1,IF((I9+F20)&gt;=初始化表!I34,5,IF((I9+F20)&gt;=初始化表!H34,4,IF((I9+F20)&gt;=初始化表!G34,3,IF((I9+F20)&gt;=初始化表!F34,2,IF((I9+F20)&gt;=初始化表!E34,1,0)))))+IF(I9+F20&gt;初始化表!E34,O$45),第1期!K9+1)</f>
        <v>2</v>
      </c>
      <c r="L9" s="72">
        <f>IF(I9&lt;初始化表!E34,初始化表!E34-I9,IF(I9&lt;初始化表!F34,初始化表!F34-I9,IF(I9&lt;初始化表!G34,初始化表!G34-I9,IF(I9&lt;初始化表!H34,初始化表!H34-I9,IF(I9&lt;初始化表!I34,初始化表!I34-I9,0)))))</f>
        <v>0</v>
      </c>
      <c r="M9" s="85"/>
      <c r="N9" s="269" t="s">
        <v>527</v>
      </c>
      <c r="O9" s="269" t="s">
        <v>513</v>
      </c>
      <c r="P9" s="269" t="s">
        <v>514</v>
      </c>
      <c r="Q9" s="269" t="s">
        <v>515</v>
      </c>
      <c r="R9" s="269" t="s">
        <v>516</v>
      </c>
      <c r="S9" s="121"/>
      <c r="T9" s="68" t="s">
        <v>528</v>
      </c>
      <c r="U9" s="123"/>
      <c r="V9" s="74"/>
      <c r="W9" s="74"/>
      <c r="X9" s="74"/>
      <c r="Y9" s="74"/>
      <c r="Z9" s="74" t="e">
        <f>SUMPRODUCT(V5:Y8,V23:Y26)</f>
        <v>#DIV/0!</v>
      </c>
      <c r="AA9" s="73"/>
      <c r="AB9" s="155"/>
      <c r="AC9" s="155"/>
      <c r="AD9" s="155"/>
      <c r="AE9" s="155"/>
      <c r="AF9" s="155"/>
      <c r="AG9" s="155"/>
      <c r="AH9" s="73"/>
      <c r="AI9" s="528"/>
      <c r="AJ9" s="528"/>
      <c r="AK9" s="529"/>
      <c r="AL9" s="529">
        <f>V42</f>
        <v>0</v>
      </c>
      <c r="AM9" s="530"/>
      <c r="AN9" s="531"/>
      <c r="AO9" s="529"/>
      <c r="AP9" s="529"/>
      <c r="AQ9" s="537"/>
      <c r="AR9" s="103"/>
      <c r="AS9" s="103">
        <f t="shared" ref="AS9:AS24" si="12">AM9-AK9</f>
        <v>0</v>
      </c>
      <c r="AT9" s="103"/>
      <c r="AU9" s="103"/>
      <c r="AV9" s="103"/>
      <c r="AW9" s="103"/>
      <c r="AZ9" s="63"/>
      <c r="BA9" s="539">
        <f t="shared" si="10"/>
        <v>0</v>
      </c>
      <c r="BB9" s="235">
        <f t="shared" si="11"/>
        <v>0</v>
      </c>
      <c r="BC9" s="235">
        <f t="shared" si="11"/>
        <v>0</v>
      </c>
      <c r="BD9" s="235">
        <f t="shared" si="11"/>
        <v>0</v>
      </c>
      <c r="BE9" s="235">
        <f t="shared" si="11"/>
        <v>0</v>
      </c>
      <c r="BF9" s="235">
        <f t="shared" si="11"/>
        <v>0</v>
      </c>
      <c r="BG9" s="235">
        <f t="shared" si="11"/>
        <v>0</v>
      </c>
      <c r="BH9" s="235">
        <f t="shared" si="11"/>
        <v>0</v>
      </c>
      <c r="BI9" s="235">
        <f t="shared" si="11"/>
        <v>0</v>
      </c>
      <c r="BJ9" s="235">
        <f t="shared" si="11"/>
        <v>0</v>
      </c>
      <c r="BK9" s="235">
        <f t="shared" si="11"/>
        <v>0</v>
      </c>
      <c r="BL9" s="235">
        <f t="shared" si="11"/>
        <v>0</v>
      </c>
      <c r="BM9" s="235">
        <f t="shared" si="11"/>
        <v>0</v>
      </c>
      <c r="BN9" s="235">
        <f t="shared" si="11"/>
        <v>0</v>
      </c>
      <c r="BO9" s="235">
        <f t="shared" si="11"/>
        <v>0</v>
      </c>
      <c r="BP9" s="235">
        <f t="shared" si="11"/>
        <v>0</v>
      </c>
      <c r="BQ9" s="235">
        <f t="shared" si="11"/>
        <v>0</v>
      </c>
      <c r="BR9" s="62"/>
      <c r="BS9" s="69">
        <f t="shared" si="0"/>
        <v>0</v>
      </c>
      <c r="BT9" s="550">
        <f t="shared" si="1"/>
        <v>0</v>
      </c>
      <c r="BU9" s="550">
        <f>第1期!AQ111*0.5</f>
        <v>0</v>
      </c>
      <c r="BV9" s="556" t="e">
        <f>AVERAGE(BT34:CI34)*初始化表!B$31</f>
        <v>#DIV/0!</v>
      </c>
      <c r="BW9" s="556" t="e">
        <f>$BT9*(AL111-BW$25)/BW$26*初始化表!B$30</f>
        <v>#DIV/0!</v>
      </c>
      <c r="BX9" s="556" t="e">
        <f>$BT9*(AM111-BX$25)/BX$26*初始化表!B$33</f>
        <v>#DIV/0!</v>
      </c>
      <c r="BY9" s="556" t="e">
        <f>$BT9*(AN111-BY$25)/BY$26*初始化表!B$32</f>
        <v>#DIV/0!</v>
      </c>
      <c r="BZ9" s="556" t="e">
        <f>$BT9*(AP111-BZ$25)/BZ$26*初始化表!B$34</f>
        <v>#DIV/0!</v>
      </c>
      <c r="CA9" s="556" t="e">
        <f>$BT$5*(AW111-CA$25)/CA$26*初始化表!B$36</f>
        <v>#DIV/0!</v>
      </c>
      <c r="CB9" s="556" t="e">
        <f t="shared" si="4"/>
        <v>#DIV/0!</v>
      </c>
      <c r="CC9" s="550">
        <f t="shared" si="5"/>
        <v>0</v>
      </c>
      <c r="CD9" s="561" t="e">
        <f t="shared" si="6"/>
        <v>#DIV/0!</v>
      </c>
      <c r="CE9" s="561">
        <f t="shared" si="7"/>
        <v>0</v>
      </c>
      <c r="CF9" s="561">
        <f t="shared" si="8"/>
        <v>0</v>
      </c>
      <c r="CG9" s="453"/>
      <c r="CH9" s="453"/>
      <c r="CI9" s="228"/>
      <c r="CJ9" s="230"/>
      <c r="CK9" s="228"/>
      <c r="CL9" s="230"/>
      <c r="CM9" s="230"/>
      <c r="CN9" s="230"/>
      <c r="CO9" s="230"/>
      <c r="CP9" s="228"/>
      <c r="CQ9" s="228"/>
      <c r="CR9" s="228"/>
      <c r="CS9" s="228"/>
      <c r="CT9" s="228"/>
      <c r="CU9" s="228"/>
      <c r="CV9" s="231"/>
      <c r="CW9" s="231"/>
      <c r="CX9" s="231"/>
      <c r="CY9" s="231"/>
      <c r="CZ9" s="228"/>
      <c r="DA9" s="228"/>
      <c r="DB9" s="228"/>
      <c r="DC9" s="228"/>
      <c r="DD9" s="228"/>
      <c r="DE9" s="228"/>
      <c r="DF9" s="228"/>
      <c r="DG9" s="228"/>
      <c r="DH9" s="228"/>
      <c r="DI9" s="228"/>
      <c r="DJ9" s="228"/>
      <c r="DK9" s="228"/>
      <c r="DL9" s="228"/>
      <c r="DM9" s="228"/>
      <c r="DN9" s="228"/>
      <c r="DO9" s="228"/>
      <c r="DP9" s="228"/>
      <c r="DQ9" s="228"/>
    </row>
    <row r="10" s="61" customFormat="1" ht="16" customHeight="1" spans="1:121">
      <c r="A10" s="269" t="s">
        <v>280</v>
      </c>
      <c r="B10" s="462" t="e">
        <f>O29</f>
        <v>#DIV/0!</v>
      </c>
      <c r="C10" s="461" t="e">
        <f>P29</f>
        <v>#DIV/0!</v>
      </c>
      <c r="D10" s="461" t="e">
        <f t="shared" ref="D10:E10" si="13">Q29</f>
        <v>#DIV/0!</v>
      </c>
      <c r="E10" s="463" t="e">
        <f t="shared" si="13"/>
        <v>#DIV/0!</v>
      </c>
      <c r="F10" s="269" t="s">
        <v>281</v>
      </c>
      <c r="G10" s="73"/>
      <c r="H10" s="74"/>
      <c r="I10" s="74"/>
      <c r="J10" s="74"/>
      <c r="K10" s="74"/>
      <c r="L10" s="74"/>
      <c r="M10" s="85"/>
      <c r="N10" s="269" t="s">
        <v>198</v>
      </c>
      <c r="O10" s="88">
        <f>S10+T10</f>
        <v>0.04</v>
      </c>
      <c r="P10" s="88"/>
      <c r="Q10" s="88"/>
      <c r="R10" s="88"/>
      <c r="S10" s="89">
        <v>0.04</v>
      </c>
      <c r="T10" s="125">
        <f>(Z17-Z42)/10000</f>
        <v>0</v>
      </c>
      <c r="U10" s="269" t="s">
        <v>529</v>
      </c>
      <c r="V10" s="269" t="s">
        <v>513</v>
      </c>
      <c r="W10" s="269" t="s">
        <v>514</v>
      </c>
      <c r="X10" s="269" t="s">
        <v>515</v>
      </c>
      <c r="Y10" s="269" t="s">
        <v>516</v>
      </c>
      <c r="Z10" s="74"/>
      <c r="AA10" s="73"/>
      <c r="AB10" s="154" t="s">
        <v>530</v>
      </c>
      <c r="AC10" s="154" t="s">
        <v>513</v>
      </c>
      <c r="AD10" s="154" t="s">
        <v>514</v>
      </c>
      <c r="AE10" s="154" t="s">
        <v>515</v>
      </c>
      <c r="AF10" s="154" t="s">
        <v>516</v>
      </c>
      <c r="AG10" s="421" t="s">
        <v>402</v>
      </c>
      <c r="AH10" s="422" t="s">
        <v>531</v>
      </c>
      <c r="AI10" s="528"/>
      <c r="AJ10" s="528"/>
      <c r="AK10" s="529"/>
      <c r="AL10" s="529">
        <f>W42</f>
        <v>0</v>
      </c>
      <c r="AM10" s="530"/>
      <c r="AN10" s="531"/>
      <c r="AO10" s="529"/>
      <c r="AP10" s="529"/>
      <c r="AQ10" s="537"/>
      <c r="AR10" s="103"/>
      <c r="AS10" s="103">
        <f t="shared" si="12"/>
        <v>0</v>
      </c>
      <c r="AT10" s="103"/>
      <c r="AU10" s="103"/>
      <c r="AV10" s="103"/>
      <c r="AW10" s="103"/>
      <c r="AZ10" s="63"/>
      <c r="BA10" s="539">
        <f t="shared" si="10"/>
        <v>0</v>
      </c>
      <c r="BB10" s="235">
        <f t="shared" si="11"/>
        <v>0</v>
      </c>
      <c r="BC10" s="235">
        <f t="shared" si="11"/>
        <v>0</v>
      </c>
      <c r="BD10" s="235">
        <f t="shared" si="11"/>
        <v>0</v>
      </c>
      <c r="BE10" s="235">
        <f t="shared" si="11"/>
        <v>0</v>
      </c>
      <c r="BF10" s="235">
        <f t="shared" si="11"/>
        <v>0</v>
      </c>
      <c r="BG10" s="235">
        <f t="shared" si="11"/>
        <v>0</v>
      </c>
      <c r="BH10" s="235">
        <f t="shared" si="11"/>
        <v>0</v>
      </c>
      <c r="BI10" s="235">
        <f t="shared" si="11"/>
        <v>0</v>
      </c>
      <c r="BJ10" s="235">
        <f t="shared" si="11"/>
        <v>0</v>
      </c>
      <c r="BK10" s="235">
        <f t="shared" si="11"/>
        <v>0</v>
      </c>
      <c r="BL10" s="235">
        <f t="shared" si="11"/>
        <v>0</v>
      </c>
      <c r="BM10" s="235">
        <f t="shared" si="11"/>
        <v>0</v>
      </c>
      <c r="BN10" s="235">
        <f t="shared" si="11"/>
        <v>0</v>
      </c>
      <c r="BO10" s="235">
        <f t="shared" si="11"/>
        <v>0</v>
      </c>
      <c r="BP10" s="235">
        <f t="shared" si="11"/>
        <v>0</v>
      </c>
      <c r="BQ10" s="235">
        <f t="shared" si="11"/>
        <v>0</v>
      </c>
      <c r="BR10" s="62"/>
      <c r="BS10" s="69">
        <f t="shared" si="0"/>
        <v>0</v>
      </c>
      <c r="BT10" s="550">
        <f t="shared" si="1"/>
        <v>0</v>
      </c>
      <c r="BU10" s="550">
        <f>第1期!AQ112*0.5</f>
        <v>0</v>
      </c>
      <c r="BV10" s="556" t="e">
        <f>AVERAGE(BT35:CI35)*初始化表!B$31</f>
        <v>#DIV/0!</v>
      </c>
      <c r="BW10" s="556" t="e">
        <f>$BT10*(AL112-BW$25)/BW$26*初始化表!B$30</f>
        <v>#DIV/0!</v>
      </c>
      <c r="BX10" s="556" t="e">
        <f>$BT10*(AM112-BX$25)/BX$26*初始化表!B$33</f>
        <v>#DIV/0!</v>
      </c>
      <c r="BY10" s="556" t="e">
        <f>$BT10*(AN112-BY$25)/BY$26*初始化表!B$32</f>
        <v>#DIV/0!</v>
      </c>
      <c r="BZ10" s="556" t="e">
        <f>$BT10*(AP112-BZ$25)/BZ$26*初始化表!B$34</f>
        <v>#DIV/0!</v>
      </c>
      <c r="CA10" s="556" t="e">
        <f>$BT$5*(AW112-CA$25)/CA$26*初始化表!B$36</f>
        <v>#DIV/0!</v>
      </c>
      <c r="CB10" s="556" t="e">
        <f t="shared" si="4"/>
        <v>#DIV/0!</v>
      </c>
      <c r="CC10" s="550">
        <f t="shared" si="5"/>
        <v>0</v>
      </c>
      <c r="CD10" s="561" t="e">
        <f t="shared" si="6"/>
        <v>#DIV/0!</v>
      </c>
      <c r="CE10" s="561">
        <f t="shared" si="7"/>
        <v>0</v>
      </c>
      <c r="CF10" s="561">
        <f t="shared" si="8"/>
        <v>0</v>
      </c>
      <c r="CG10" s="453"/>
      <c r="CH10" s="453"/>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c r="DP10" s="228"/>
      <c r="DQ10" s="228"/>
    </row>
    <row r="11" s="61" customFormat="1" ht="16" customHeight="1" spans="1:121">
      <c r="A11" s="269" t="s">
        <v>282</v>
      </c>
      <c r="B11" s="269" t="s">
        <v>513</v>
      </c>
      <c r="C11" s="269" t="s">
        <v>514</v>
      </c>
      <c r="D11" s="269" t="s">
        <v>515</v>
      </c>
      <c r="E11" s="269" t="s">
        <v>516</v>
      </c>
      <c r="F11" s="271" t="e">
        <f>F77</f>
        <v>#DIV/0!</v>
      </c>
      <c r="G11" s="73"/>
      <c r="H11" s="269" t="s">
        <v>532</v>
      </c>
      <c r="I11" s="270"/>
      <c r="J11" s="270"/>
      <c r="K11" s="270"/>
      <c r="L11" s="270"/>
      <c r="M11" s="85"/>
      <c r="N11" s="269" t="s">
        <v>202</v>
      </c>
      <c r="O11" s="88">
        <f>S11+T11</f>
        <v>0.05</v>
      </c>
      <c r="P11" s="88"/>
      <c r="Q11" s="88"/>
      <c r="R11" s="88"/>
      <c r="S11" s="89">
        <v>0.05</v>
      </c>
      <c r="T11" s="125">
        <f>(Z18-Z43)/10000</f>
        <v>0</v>
      </c>
      <c r="U11" s="269" t="s">
        <v>521</v>
      </c>
      <c r="V11" s="115">
        <f>第1期!AO9</f>
        <v>0</v>
      </c>
      <c r="W11" s="115">
        <f>第1期!AO10</f>
        <v>0</v>
      </c>
      <c r="X11" s="115">
        <f>第1期!AO11</f>
        <v>0</v>
      </c>
      <c r="Y11" s="115">
        <f>第1期!AO12</f>
        <v>0</v>
      </c>
      <c r="Z11" s="74"/>
      <c r="AA11" s="73"/>
      <c r="AB11" s="154" t="s">
        <v>198</v>
      </c>
      <c r="AC11" s="153" t="e">
        <f t="shared" ref="AC11:AF14" si="14">B6-AD5</f>
        <v>#DIV/0!</v>
      </c>
      <c r="AD11" s="153" t="e">
        <f t="shared" si="14"/>
        <v>#DIV/0!</v>
      </c>
      <c r="AE11" s="153" t="e">
        <f t="shared" si="14"/>
        <v>#DIV/0!</v>
      </c>
      <c r="AF11" s="153" t="e">
        <f t="shared" si="14"/>
        <v>#DIV/0!</v>
      </c>
      <c r="AG11" s="423" t="str">
        <f>IF(AJ24="","未粘报表",IF(AND(V66=AQ9,W66=AQ10,X66=AQ11,Y66=AQ12,V67=AQ13,W67=AQ14,X67=AQ15,Y67=AQ16,V68=AQ17,W68=AQ18,X68=AQ19,Y68=AQ20,V69=AQ21,W69=AQ22,X69=AQ23,Y69=AQ24),"正确","错误"))</f>
        <v>未粘报表</v>
      </c>
      <c r="AH11" s="424" t="str">
        <f>IF(AJ24="","未粘报表",IF(INT(VLOOKUP(初期!$G$52,$AI$107:$AQ$126,7,0))=INT(F64),"现金正确","现金错误"))</f>
        <v>未粘报表</v>
      </c>
      <c r="AI11" s="528"/>
      <c r="AJ11" s="528"/>
      <c r="AK11" s="529"/>
      <c r="AL11" s="529">
        <f>X42</f>
        <v>0</v>
      </c>
      <c r="AM11" s="530"/>
      <c r="AN11" s="531"/>
      <c r="AO11" s="529"/>
      <c r="AP11" s="529"/>
      <c r="AQ11" s="537"/>
      <c r="AR11" s="103"/>
      <c r="AS11" s="103">
        <f t="shared" si="12"/>
        <v>0</v>
      </c>
      <c r="AT11" s="103"/>
      <c r="AU11" s="103"/>
      <c r="AV11" s="103"/>
      <c r="AW11" s="103"/>
      <c r="AZ11" s="63"/>
      <c r="BA11" s="539">
        <f t="shared" si="10"/>
        <v>0</v>
      </c>
      <c r="BB11" s="235">
        <f t="shared" si="11"/>
        <v>0</v>
      </c>
      <c r="BC11" s="235">
        <f t="shared" si="11"/>
        <v>0</v>
      </c>
      <c r="BD11" s="235">
        <f t="shared" si="11"/>
        <v>0</v>
      </c>
      <c r="BE11" s="235">
        <f t="shared" si="11"/>
        <v>0</v>
      </c>
      <c r="BF11" s="235">
        <f t="shared" si="11"/>
        <v>0</v>
      </c>
      <c r="BG11" s="235">
        <f t="shared" si="11"/>
        <v>0</v>
      </c>
      <c r="BH11" s="235">
        <f t="shared" si="11"/>
        <v>0</v>
      </c>
      <c r="BI11" s="235">
        <f t="shared" si="11"/>
        <v>0</v>
      </c>
      <c r="BJ11" s="235">
        <f t="shared" si="11"/>
        <v>0</v>
      </c>
      <c r="BK11" s="235">
        <f t="shared" si="11"/>
        <v>0</v>
      </c>
      <c r="BL11" s="235">
        <f t="shared" si="11"/>
        <v>0</v>
      </c>
      <c r="BM11" s="235">
        <f t="shared" si="11"/>
        <v>0</v>
      </c>
      <c r="BN11" s="235">
        <f t="shared" si="11"/>
        <v>0</v>
      </c>
      <c r="BO11" s="235">
        <f t="shared" si="11"/>
        <v>0</v>
      </c>
      <c r="BP11" s="235">
        <f t="shared" si="11"/>
        <v>0</v>
      </c>
      <c r="BQ11" s="235">
        <f t="shared" si="11"/>
        <v>0</v>
      </c>
      <c r="BR11" s="62"/>
      <c r="BS11" s="69">
        <f t="shared" si="0"/>
        <v>0</v>
      </c>
      <c r="BT11" s="550">
        <f t="shared" si="1"/>
        <v>0</v>
      </c>
      <c r="BU11" s="550">
        <f>第1期!AQ113*0.5</f>
        <v>0</v>
      </c>
      <c r="BV11" s="556" t="e">
        <f>AVERAGE(BT36:CI36)*初始化表!B$31</f>
        <v>#DIV/0!</v>
      </c>
      <c r="BW11" s="556" t="e">
        <f>$BT11*(AL113-BW$25)/BW$26*初始化表!B$30</f>
        <v>#DIV/0!</v>
      </c>
      <c r="BX11" s="556" t="e">
        <f>$BT11*(AM113-BX$25)/BX$26*初始化表!B$33</f>
        <v>#DIV/0!</v>
      </c>
      <c r="BY11" s="556" t="e">
        <f>$BT11*(AN113-BY$25)/BY$26*初始化表!B$32</f>
        <v>#DIV/0!</v>
      </c>
      <c r="BZ11" s="556" t="e">
        <f>$BT11*(AP113-BZ$25)/BZ$26*初始化表!B$34</f>
        <v>#DIV/0!</v>
      </c>
      <c r="CA11" s="556" t="e">
        <f>$BT$5*(AW113-CA$25)/CA$26*初始化表!B$36</f>
        <v>#DIV/0!</v>
      </c>
      <c r="CB11" s="556" t="e">
        <f t="shared" si="4"/>
        <v>#DIV/0!</v>
      </c>
      <c r="CC11" s="550">
        <f t="shared" si="5"/>
        <v>0</v>
      </c>
      <c r="CD11" s="561" t="e">
        <f t="shared" si="6"/>
        <v>#DIV/0!</v>
      </c>
      <c r="CE11" s="561">
        <f t="shared" si="7"/>
        <v>0</v>
      </c>
      <c r="CF11" s="561">
        <f t="shared" si="8"/>
        <v>0</v>
      </c>
      <c r="CG11" s="453"/>
      <c r="CH11" s="453"/>
      <c r="CI11" s="227"/>
      <c r="CJ11" s="228"/>
      <c r="CK11" s="227"/>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row>
    <row r="12" s="61" customFormat="1" ht="16" customHeight="1" spans="1:121">
      <c r="A12" s="269" t="s">
        <v>521</v>
      </c>
      <c r="B12" s="457">
        <f>I63</f>
        <v>0</v>
      </c>
      <c r="C12" s="458">
        <f t="shared" ref="C12:E15" si="15">J63</f>
        <v>0</v>
      </c>
      <c r="D12" s="458">
        <f t="shared" si="15"/>
        <v>0</v>
      </c>
      <c r="E12" s="464">
        <f t="shared" si="15"/>
        <v>0</v>
      </c>
      <c r="F12" s="269" t="s">
        <v>292</v>
      </c>
      <c r="G12" s="73"/>
      <c r="H12" s="269" t="s">
        <v>533</v>
      </c>
      <c r="I12" s="269" t="s">
        <v>521</v>
      </c>
      <c r="J12" s="269" t="s">
        <v>522</v>
      </c>
      <c r="K12" s="269" t="s">
        <v>523</v>
      </c>
      <c r="L12" s="269" t="s">
        <v>524</v>
      </c>
      <c r="M12" s="85"/>
      <c r="N12" s="269" t="s">
        <v>206</v>
      </c>
      <c r="O12" s="88">
        <f>S12+T12</f>
        <v>0.09</v>
      </c>
      <c r="P12" s="88"/>
      <c r="Q12" s="88"/>
      <c r="R12" s="88"/>
      <c r="S12" s="89">
        <v>0.09</v>
      </c>
      <c r="T12" s="125">
        <f>(Z19-Z44)/10000</f>
        <v>0</v>
      </c>
      <c r="U12" s="269" t="s">
        <v>522</v>
      </c>
      <c r="V12" s="115">
        <f>第1期!AO13</f>
        <v>0</v>
      </c>
      <c r="W12" s="115">
        <f>第1期!AO14</f>
        <v>0</v>
      </c>
      <c r="X12" s="115">
        <f>第1期!AO15</f>
        <v>0</v>
      </c>
      <c r="Y12" s="115">
        <f>第1期!AO16</f>
        <v>0</v>
      </c>
      <c r="Z12" s="74"/>
      <c r="AA12" s="73"/>
      <c r="AB12" s="154" t="s">
        <v>202</v>
      </c>
      <c r="AC12" s="153" t="e">
        <f t="shared" si="14"/>
        <v>#DIV/0!</v>
      </c>
      <c r="AD12" s="153" t="e">
        <f t="shared" si="14"/>
        <v>#DIV/0!</v>
      </c>
      <c r="AE12" s="153" t="e">
        <f t="shared" si="14"/>
        <v>#DIV/0!</v>
      </c>
      <c r="AF12" s="153" t="e">
        <f t="shared" si="14"/>
        <v>#DIV/0!</v>
      </c>
      <c r="AG12" s="421" t="s">
        <v>534</v>
      </c>
      <c r="AH12" s="422" t="s">
        <v>535</v>
      </c>
      <c r="AI12" s="528"/>
      <c r="AJ12" s="528"/>
      <c r="AK12" s="529"/>
      <c r="AL12" s="529">
        <f>Y42</f>
        <v>0</v>
      </c>
      <c r="AM12" s="530"/>
      <c r="AN12" s="531"/>
      <c r="AO12" s="529"/>
      <c r="AP12" s="529"/>
      <c r="AQ12" s="537"/>
      <c r="AR12" s="103">
        <f>SUM(AL9:AL12)</f>
        <v>0</v>
      </c>
      <c r="AS12" s="103">
        <f t="shared" si="12"/>
        <v>0</v>
      </c>
      <c r="AT12" s="103">
        <f>SUMIF(AS9:AS12,"&gt;=0",AS9:AS12)</f>
        <v>0</v>
      </c>
      <c r="AU12" s="103">
        <f>SUM(AO9:AO12)</f>
        <v>0</v>
      </c>
      <c r="AV12" s="103">
        <f>SUM(AP9:AP12)</f>
        <v>0</v>
      </c>
      <c r="AW12" s="103">
        <f>SUM(AQ9:AQ12)</f>
        <v>0</v>
      </c>
      <c r="AZ12" s="63"/>
      <c r="BA12" s="539">
        <f t="shared" si="10"/>
        <v>0</v>
      </c>
      <c r="BB12" s="235">
        <f t="shared" si="11"/>
        <v>0</v>
      </c>
      <c r="BC12" s="235">
        <f t="shared" si="11"/>
        <v>0</v>
      </c>
      <c r="BD12" s="235">
        <f t="shared" si="11"/>
        <v>0</v>
      </c>
      <c r="BE12" s="235">
        <f t="shared" si="11"/>
        <v>0</v>
      </c>
      <c r="BF12" s="235">
        <f t="shared" si="11"/>
        <v>0</v>
      </c>
      <c r="BG12" s="235">
        <f t="shared" si="11"/>
        <v>0</v>
      </c>
      <c r="BH12" s="235">
        <f t="shared" si="11"/>
        <v>0</v>
      </c>
      <c r="BI12" s="235">
        <f t="shared" si="11"/>
        <v>0</v>
      </c>
      <c r="BJ12" s="235">
        <f t="shared" si="11"/>
        <v>0</v>
      </c>
      <c r="BK12" s="235">
        <f t="shared" si="11"/>
        <v>0</v>
      </c>
      <c r="BL12" s="235">
        <f t="shared" si="11"/>
        <v>0</v>
      </c>
      <c r="BM12" s="235">
        <f t="shared" si="11"/>
        <v>0</v>
      </c>
      <c r="BN12" s="235">
        <f t="shared" si="11"/>
        <v>0</v>
      </c>
      <c r="BO12" s="235">
        <f t="shared" si="11"/>
        <v>0</v>
      </c>
      <c r="BP12" s="235">
        <f t="shared" si="11"/>
        <v>0</v>
      </c>
      <c r="BQ12" s="235">
        <f t="shared" si="11"/>
        <v>0</v>
      </c>
      <c r="BR12" s="62"/>
      <c r="BS12" s="69">
        <f t="shared" si="0"/>
        <v>0</v>
      </c>
      <c r="BT12" s="550">
        <f t="shared" si="1"/>
        <v>0</v>
      </c>
      <c r="BU12" s="550">
        <f>第1期!AQ114*0.5</f>
        <v>0</v>
      </c>
      <c r="BV12" s="556" t="e">
        <f>AVERAGE(BT37:CI37)*初始化表!B$31</f>
        <v>#DIV/0!</v>
      </c>
      <c r="BW12" s="556" t="e">
        <f>$BT12*(AL114-BW$25)/BW$26*初始化表!B$30</f>
        <v>#DIV/0!</v>
      </c>
      <c r="BX12" s="556" t="e">
        <f>$BT12*(AM114-BX$25)/BX$26*初始化表!B$33</f>
        <v>#DIV/0!</v>
      </c>
      <c r="BY12" s="556" t="e">
        <f>$BT12*(AN114-BY$25)/BY$26*初始化表!B$32</f>
        <v>#DIV/0!</v>
      </c>
      <c r="BZ12" s="556" t="e">
        <f>$BT12*(AP114-BZ$25)/BZ$26*初始化表!B$34</f>
        <v>#DIV/0!</v>
      </c>
      <c r="CA12" s="556" t="e">
        <f>$BT$5*(AW114-CA$25)/CA$26*初始化表!B$36</f>
        <v>#DIV/0!</v>
      </c>
      <c r="CB12" s="556" t="e">
        <f t="shared" si="4"/>
        <v>#DIV/0!</v>
      </c>
      <c r="CC12" s="550">
        <f t="shared" si="5"/>
        <v>0</v>
      </c>
      <c r="CD12" s="561" t="e">
        <f t="shared" si="6"/>
        <v>#DIV/0!</v>
      </c>
      <c r="CE12" s="561">
        <f t="shared" si="7"/>
        <v>0</v>
      </c>
      <c r="CF12" s="561">
        <f t="shared" si="8"/>
        <v>0</v>
      </c>
      <c r="CG12" s="453"/>
      <c r="CH12" s="453"/>
      <c r="CI12" s="231"/>
      <c r="CJ12" s="231"/>
      <c r="CK12" s="231"/>
      <c r="CL12" s="231"/>
      <c r="CM12" s="231"/>
      <c r="CN12" s="231"/>
      <c r="CO12" s="231"/>
      <c r="CP12" s="231"/>
      <c r="CQ12" s="231"/>
      <c r="CR12" s="231"/>
      <c r="CS12" s="231"/>
      <c r="CT12" s="231"/>
      <c r="CU12" s="231"/>
      <c r="CV12" s="231"/>
      <c r="CW12" s="231"/>
      <c r="CX12" s="231"/>
      <c r="CY12" s="231"/>
      <c r="CZ12" s="231"/>
      <c r="DA12" s="228"/>
      <c r="DB12" s="228"/>
      <c r="DC12" s="228"/>
      <c r="DD12" s="228"/>
      <c r="DE12" s="228"/>
      <c r="DF12" s="228"/>
      <c r="DG12" s="228"/>
      <c r="DH12" s="228"/>
      <c r="DI12" s="228"/>
      <c r="DJ12" s="228"/>
      <c r="DK12" s="228"/>
      <c r="DL12" s="228"/>
      <c r="DM12" s="228"/>
      <c r="DN12" s="228"/>
      <c r="DO12" s="228"/>
      <c r="DP12" s="228"/>
      <c r="DQ12" s="228"/>
    </row>
    <row r="13" s="61" customFormat="1" ht="16" customHeight="1" spans="1:121">
      <c r="A13" s="269" t="s">
        <v>522</v>
      </c>
      <c r="B13" s="460">
        <f t="shared" ref="B13:B15" si="16">I64</f>
        <v>0</v>
      </c>
      <c r="C13" s="71">
        <f t="shared" si="15"/>
        <v>0</v>
      </c>
      <c r="D13" s="71">
        <f t="shared" si="15"/>
        <v>0</v>
      </c>
      <c r="E13" s="465">
        <f t="shared" si="15"/>
        <v>0</v>
      </c>
      <c r="F13" s="272" t="e">
        <f>E60</f>
        <v>#DIV/0!</v>
      </c>
      <c r="G13" s="73"/>
      <c r="H13" s="269" t="s">
        <v>536</v>
      </c>
      <c r="I13" s="483">
        <v>3</v>
      </c>
      <c r="J13" s="484">
        <v>2</v>
      </c>
      <c r="K13" s="484">
        <v>1</v>
      </c>
      <c r="L13" s="484">
        <v>1</v>
      </c>
      <c r="M13" s="85"/>
      <c r="N13" s="269" t="s">
        <v>208</v>
      </c>
      <c r="O13" s="88">
        <f>S13+T13</f>
        <v>0.1</v>
      </c>
      <c r="P13" s="88"/>
      <c r="Q13" s="88"/>
      <c r="R13" s="88"/>
      <c r="S13" s="89">
        <v>0.1</v>
      </c>
      <c r="T13" s="125">
        <f>(Z20-Z45)/10000</f>
        <v>0</v>
      </c>
      <c r="U13" s="269" t="s">
        <v>523</v>
      </c>
      <c r="V13" s="115">
        <f>第1期!AO17</f>
        <v>0</v>
      </c>
      <c r="W13" s="115">
        <f>第1期!AO18</f>
        <v>0</v>
      </c>
      <c r="X13" s="115">
        <f>第1期!AO19</f>
        <v>0</v>
      </c>
      <c r="Y13" s="115">
        <f>第1期!AO20</f>
        <v>0</v>
      </c>
      <c r="Z13" s="74"/>
      <c r="AA13" s="73"/>
      <c r="AB13" s="154" t="s">
        <v>206</v>
      </c>
      <c r="AC13" s="153" t="e">
        <f t="shared" si="14"/>
        <v>#DIV/0!</v>
      </c>
      <c r="AD13" s="153" t="e">
        <f t="shared" si="14"/>
        <v>#DIV/0!</v>
      </c>
      <c r="AE13" s="153" t="e">
        <f t="shared" si="14"/>
        <v>#DIV/0!</v>
      </c>
      <c r="AF13" s="153" t="e">
        <f t="shared" si="14"/>
        <v>#DIV/0!</v>
      </c>
      <c r="AG13" s="423" t="str">
        <f>IF(AJ24="","未粘报表",IF(INT(VLOOKUP(初期!$G$52,$AI$107:$AQ$126,3,0))=INT($E$60),"成本正确","成本错误"))</f>
        <v>未粘报表</v>
      </c>
      <c r="AH13" s="424" t="str">
        <f>IF(AJ24="","未粘报表",IF(INT(VLOOKUP(初期!$G$52,$AI$107:$AQ$126,6,0))=INT($F$81),"分红正确","分红错误"))</f>
        <v>未粘报表</v>
      </c>
      <c r="AI13" s="528"/>
      <c r="AJ13" s="528"/>
      <c r="AK13" s="529"/>
      <c r="AL13" s="529">
        <f>V43</f>
        <v>0</v>
      </c>
      <c r="AM13" s="530"/>
      <c r="AN13" s="531"/>
      <c r="AO13" s="529"/>
      <c r="AP13" s="529"/>
      <c r="AQ13" s="537"/>
      <c r="AR13" s="103"/>
      <c r="AS13" s="103">
        <f t="shared" si="12"/>
        <v>0</v>
      </c>
      <c r="AT13" s="103"/>
      <c r="AU13" s="103"/>
      <c r="AV13" s="103"/>
      <c r="AW13" s="103"/>
      <c r="AZ13" s="63"/>
      <c r="BA13" s="539">
        <f t="shared" si="10"/>
        <v>0</v>
      </c>
      <c r="BB13" s="235">
        <f t="shared" si="11"/>
        <v>0</v>
      </c>
      <c r="BC13" s="235">
        <f t="shared" si="11"/>
        <v>0</v>
      </c>
      <c r="BD13" s="235">
        <f t="shared" si="11"/>
        <v>0</v>
      </c>
      <c r="BE13" s="235">
        <f t="shared" si="11"/>
        <v>0</v>
      </c>
      <c r="BF13" s="235">
        <f t="shared" si="11"/>
        <v>0</v>
      </c>
      <c r="BG13" s="235">
        <f t="shared" si="11"/>
        <v>0</v>
      </c>
      <c r="BH13" s="235">
        <f t="shared" si="11"/>
        <v>0</v>
      </c>
      <c r="BI13" s="235">
        <f t="shared" si="11"/>
        <v>0</v>
      </c>
      <c r="BJ13" s="235">
        <f t="shared" si="11"/>
        <v>0</v>
      </c>
      <c r="BK13" s="235">
        <f t="shared" si="11"/>
        <v>0</v>
      </c>
      <c r="BL13" s="235">
        <f t="shared" si="11"/>
        <v>0</v>
      </c>
      <c r="BM13" s="235">
        <f t="shared" si="11"/>
        <v>0</v>
      </c>
      <c r="BN13" s="235">
        <f t="shared" si="11"/>
        <v>0</v>
      </c>
      <c r="BO13" s="235">
        <f t="shared" si="11"/>
        <v>0</v>
      </c>
      <c r="BP13" s="235">
        <f t="shared" si="11"/>
        <v>0</v>
      </c>
      <c r="BQ13" s="235">
        <f t="shared" si="11"/>
        <v>0</v>
      </c>
      <c r="BR13" s="62"/>
      <c r="BS13" s="69">
        <f t="shared" si="0"/>
        <v>0</v>
      </c>
      <c r="BT13" s="550">
        <f t="shared" si="1"/>
        <v>0</v>
      </c>
      <c r="BU13" s="550">
        <f>第1期!AQ115*0.5</f>
        <v>0</v>
      </c>
      <c r="BV13" s="556" t="e">
        <f>AVERAGE(BT38:CI38)*初始化表!B$31</f>
        <v>#DIV/0!</v>
      </c>
      <c r="BW13" s="556" t="e">
        <f>$BT13*(AL115-BW$25)/BW$26*初始化表!B$30</f>
        <v>#DIV/0!</v>
      </c>
      <c r="BX13" s="556" t="e">
        <f>$BT13*(AM115-BX$25)/BX$26*初始化表!B$33</f>
        <v>#DIV/0!</v>
      </c>
      <c r="BY13" s="556" t="e">
        <f>$BT13*(AN115-BY$25)/BY$26*初始化表!B$32</f>
        <v>#DIV/0!</v>
      </c>
      <c r="BZ13" s="556" t="e">
        <f>$BT13*(AP115-BZ$25)/BZ$26*初始化表!B$34</f>
        <v>#DIV/0!</v>
      </c>
      <c r="CA13" s="556" t="e">
        <f>$BT$5*(AW115-CA$25)/CA$26*初始化表!B$36</f>
        <v>#DIV/0!</v>
      </c>
      <c r="CB13" s="556" t="e">
        <f t="shared" si="4"/>
        <v>#DIV/0!</v>
      </c>
      <c r="CC13" s="550">
        <f t="shared" si="5"/>
        <v>0</v>
      </c>
      <c r="CD13" s="561" t="e">
        <f t="shared" si="6"/>
        <v>#DIV/0!</v>
      </c>
      <c r="CE13" s="561">
        <f t="shared" si="7"/>
        <v>0</v>
      </c>
      <c r="CF13" s="561">
        <f t="shared" si="8"/>
        <v>0</v>
      </c>
      <c r="CG13" s="453"/>
      <c r="CH13" s="453"/>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row>
    <row r="14" s="61" customFormat="1" ht="16" customHeight="1" spans="1:121">
      <c r="A14" s="269" t="s">
        <v>523</v>
      </c>
      <c r="B14" s="460">
        <f t="shared" si="16"/>
        <v>0</v>
      </c>
      <c r="C14" s="71">
        <f t="shared" si="15"/>
        <v>0</v>
      </c>
      <c r="D14" s="71">
        <f t="shared" si="15"/>
        <v>0</v>
      </c>
      <c r="E14" s="465">
        <f t="shared" si="15"/>
        <v>0</v>
      </c>
      <c r="F14" s="269" t="s">
        <v>296</v>
      </c>
      <c r="G14" s="73"/>
      <c r="H14" s="269" t="s">
        <v>537</v>
      </c>
      <c r="I14" s="485" t="e">
        <f>2*(I13*初始化表!E18+J13*初始化表!F18+K13*初始化表!G18+初始化表!H18/初始化表!H17*(L13*初始化表!H17-1/5*(I13*初始化表!E17+J13*初始化表!F17+K13*初始化表!G17+L13*初始化表!H17)))/((I13*初始化表!E17+J13*初始化表!F17+K13*初始化表!G17+L13*初始化表!H17)*4/5)</f>
        <v>#DIV/0!</v>
      </c>
      <c r="J14" s="269" t="s">
        <v>538</v>
      </c>
      <c r="K14" s="269" t="s">
        <v>539</v>
      </c>
      <c r="L14" s="269" t="s">
        <v>540</v>
      </c>
      <c r="M14" s="85"/>
      <c r="N14" s="269" t="s">
        <v>541</v>
      </c>
      <c r="O14" s="269" t="s">
        <v>513</v>
      </c>
      <c r="P14" s="269" t="s">
        <v>514</v>
      </c>
      <c r="Q14" s="269" t="s">
        <v>515</v>
      </c>
      <c r="R14" s="269" t="s">
        <v>516</v>
      </c>
      <c r="S14" s="121"/>
      <c r="T14" s="120"/>
      <c r="U14" s="269" t="s">
        <v>524</v>
      </c>
      <c r="V14" s="115">
        <f>第1期!AO21</f>
        <v>0</v>
      </c>
      <c r="W14" s="115">
        <f>第1期!AO22</f>
        <v>0</v>
      </c>
      <c r="X14" s="115">
        <f>第1期!AO23</f>
        <v>0</v>
      </c>
      <c r="Y14" s="115">
        <f>第1期!AO24</f>
        <v>0</v>
      </c>
      <c r="Z14" s="74"/>
      <c r="AA14" s="73"/>
      <c r="AB14" s="154" t="s">
        <v>208</v>
      </c>
      <c r="AC14" s="153" t="e">
        <f t="shared" si="14"/>
        <v>#DIV/0!</v>
      </c>
      <c r="AD14" s="153" t="e">
        <f t="shared" si="14"/>
        <v>#DIV/0!</v>
      </c>
      <c r="AE14" s="153" t="e">
        <f t="shared" si="14"/>
        <v>#DIV/0!</v>
      </c>
      <c r="AF14" s="153" t="e">
        <f t="shared" si="14"/>
        <v>#DIV/0!</v>
      </c>
      <c r="AH14" s="425"/>
      <c r="AI14" s="528"/>
      <c r="AJ14" s="528"/>
      <c r="AK14" s="529"/>
      <c r="AL14" s="529">
        <f>W43</f>
        <v>0</v>
      </c>
      <c r="AM14" s="530"/>
      <c r="AN14" s="531"/>
      <c r="AO14" s="529"/>
      <c r="AP14" s="529"/>
      <c r="AQ14" s="537"/>
      <c r="AR14" s="103"/>
      <c r="AS14" s="103">
        <f t="shared" si="12"/>
        <v>0</v>
      </c>
      <c r="AT14" s="103"/>
      <c r="AU14" s="103"/>
      <c r="AV14" s="103"/>
      <c r="AW14" s="103"/>
      <c r="AZ14" s="63"/>
      <c r="BA14" s="539">
        <f t="shared" si="10"/>
        <v>0</v>
      </c>
      <c r="BB14" s="235">
        <f t="shared" si="11"/>
        <v>0</v>
      </c>
      <c r="BC14" s="235">
        <f t="shared" si="11"/>
        <v>0</v>
      </c>
      <c r="BD14" s="235">
        <f t="shared" si="11"/>
        <v>0</v>
      </c>
      <c r="BE14" s="235">
        <f t="shared" si="11"/>
        <v>0</v>
      </c>
      <c r="BF14" s="235">
        <f t="shared" si="11"/>
        <v>0</v>
      </c>
      <c r="BG14" s="235">
        <f t="shared" si="11"/>
        <v>0</v>
      </c>
      <c r="BH14" s="235">
        <f t="shared" si="11"/>
        <v>0</v>
      </c>
      <c r="BI14" s="235">
        <f t="shared" si="11"/>
        <v>0</v>
      </c>
      <c r="BJ14" s="235">
        <f t="shared" si="11"/>
        <v>0</v>
      </c>
      <c r="BK14" s="235">
        <f t="shared" si="11"/>
        <v>0</v>
      </c>
      <c r="BL14" s="235">
        <f t="shared" si="11"/>
        <v>0</v>
      </c>
      <c r="BM14" s="235">
        <f t="shared" si="11"/>
        <v>0</v>
      </c>
      <c r="BN14" s="235">
        <f t="shared" si="11"/>
        <v>0</v>
      </c>
      <c r="BO14" s="235">
        <f t="shared" si="11"/>
        <v>0</v>
      </c>
      <c r="BP14" s="235">
        <f t="shared" si="11"/>
        <v>0</v>
      </c>
      <c r="BQ14" s="235">
        <f t="shared" si="11"/>
        <v>0</v>
      </c>
      <c r="BR14" s="62"/>
      <c r="BS14" s="69">
        <f t="shared" si="0"/>
        <v>0</v>
      </c>
      <c r="BT14" s="550">
        <f t="shared" si="1"/>
        <v>0</v>
      </c>
      <c r="BU14" s="550">
        <f>第1期!AQ116*0.5</f>
        <v>0</v>
      </c>
      <c r="BV14" s="556" t="e">
        <f>AVERAGE(BT39:CI39)*初始化表!B$31</f>
        <v>#DIV/0!</v>
      </c>
      <c r="BW14" s="556" t="e">
        <f>$BT14*(AL116-BW$25)/BW$26*初始化表!B$30</f>
        <v>#DIV/0!</v>
      </c>
      <c r="BX14" s="556" t="e">
        <f>$BT14*(AM116-BX$25)/BX$26*初始化表!B$33</f>
        <v>#DIV/0!</v>
      </c>
      <c r="BY14" s="556" t="e">
        <f>$BT14*(AN116-BY$25)/BY$26*初始化表!B$32</f>
        <v>#DIV/0!</v>
      </c>
      <c r="BZ14" s="556" t="e">
        <f>$BT14*(AP116-BZ$25)/BZ$26*初始化表!B$34</f>
        <v>#DIV/0!</v>
      </c>
      <c r="CA14" s="556" t="e">
        <f>$BT$5*(AW116-CA$25)/CA$26*初始化表!B$36</f>
        <v>#DIV/0!</v>
      </c>
      <c r="CB14" s="556" t="e">
        <f t="shared" si="4"/>
        <v>#DIV/0!</v>
      </c>
      <c r="CC14" s="550">
        <f t="shared" si="5"/>
        <v>0</v>
      </c>
      <c r="CD14" s="561" t="e">
        <f t="shared" si="6"/>
        <v>#DIV/0!</v>
      </c>
      <c r="CE14" s="561">
        <f t="shared" si="7"/>
        <v>0</v>
      </c>
      <c r="CF14" s="561">
        <f t="shared" si="8"/>
        <v>0</v>
      </c>
      <c r="CG14" s="453"/>
      <c r="CH14" s="453"/>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c r="DP14" s="228"/>
      <c r="DQ14" s="228"/>
    </row>
    <row r="15" s="61" customFormat="1" ht="16" customHeight="1" spans="1:121">
      <c r="A15" s="269" t="s">
        <v>524</v>
      </c>
      <c r="B15" s="466">
        <f t="shared" si="16"/>
        <v>0</v>
      </c>
      <c r="C15" s="467">
        <f t="shared" si="15"/>
        <v>0</v>
      </c>
      <c r="D15" s="467">
        <f t="shared" si="15"/>
        <v>0</v>
      </c>
      <c r="E15" s="468">
        <f t="shared" si="15"/>
        <v>0</v>
      </c>
      <c r="F15" s="272" t="e">
        <f>F64</f>
        <v>#DIV/0!</v>
      </c>
      <c r="G15" s="73"/>
      <c r="H15" s="269" t="s">
        <v>542</v>
      </c>
      <c r="I15" s="486" t="e">
        <f>第1期!H17/第1期!N49</f>
        <v>#DIV/0!</v>
      </c>
      <c r="J15" s="487" t="e">
        <f>N49*I14-H17</f>
        <v>#DIV/0!</v>
      </c>
      <c r="K15" s="487" t="e">
        <f>N49*I15-H17</f>
        <v>#DIV/0!</v>
      </c>
      <c r="L15" s="469" t="e">
        <f>C22+I15*(O49-N49)</f>
        <v>#DIV/0!</v>
      </c>
      <c r="M15" s="85"/>
      <c r="N15" s="269" t="s">
        <v>198</v>
      </c>
      <c r="O15" s="71" t="e">
        <f t="shared" ref="O15:R16" si="17">INT((1+O10+IF(V42&gt;V17,(V17-V42)/V17/15,(V17-V42)/V17/10))*V23)</f>
        <v>#DIV/0!</v>
      </c>
      <c r="P15" s="71" t="e">
        <f t="shared" si="17"/>
        <v>#DIV/0!</v>
      </c>
      <c r="Q15" s="71" t="e">
        <f t="shared" si="17"/>
        <v>#DIV/0!</v>
      </c>
      <c r="R15" s="71" t="e">
        <f t="shared" si="17"/>
        <v>#DIV/0!</v>
      </c>
      <c r="S15" s="126"/>
      <c r="T15" s="120"/>
      <c r="U15" s="123"/>
      <c r="V15" s="74"/>
      <c r="W15" s="74"/>
      <c r="X15" s="74"/>
      <c r="Y15" s="74"/>
      <c r="Z15" s="74"/>
      <c r="AA15" s="73"/>
      <c r="AB15" s="155"/>
      <c r="AC15" s="155"/>
      <c r="AD15" s="155"/>
      <c r="AE15" s="155"/>
      <c r="AF15" s="155"/>
      <c r="AG15" s="155"/>
      <c r="AH15" s="73"/>
      <c r="AI15" s="528"/>
      <c r="AJ15" s="528"/>
      <c r="AK15" s="529"/>
      <c r="AL15" s="529">
        <f>X43</f>
        <v>0</v>
      </c>
      <c r="AM15" s="530"/>
      <c r="AN15" s="531"/>
      <c r="AO15" s="529"/>
      <c r="AP15" s="529"/>
      <c r="AQ15" s="537"/>
      <c r="AR15" s="103"/>
      <c r="AS15" s="103">
        <f t="shared" si="12"/>
        <v>0</v>
      </c>
      <c r="AT15" s="103"/>
      <c r="AU15" s="103"/>
      <c r="AV15" s="103"/>
      <c r="AW15" s="103"/>
      <c r="AZ15" s="63"/>
      <c r="BA15" s="539">
        <f t="shared" si="10"/>
        <v>0</v>
      </c>
      <c r="BB15" s="235">
        <f t="shared" si="11"/>
        <v>0</v>
      </c>
      <c r="BC15" s="235">
        <f t="shared" si="11"/>
        <v>0</v>
      </c>
      <c r="BD15" s="235">
        <f t="shared" si="11"/>
        <v>0</v>
      </c>
      <c r="BE15" s="235">
        <f t="shared" si="11"/>
        <v>0</v>
      </c>
      <c r="BF15" s="235">
        <f t="shared" si="11"/>
        <v>0</v>
      </c>
      <c r="BG15" s="235">
        <f t="shared" si="11"/>
        <v>0</v>
      </c>
      <c r="BH15" s="235">
        <f t="shared" si="11"/>
        <v>0</v>
      </c>
      <c r="BI15" s="235">
        <f t="shared" si="11"/>
        <v>0</v>
      </c>
      <c r="BJ15" s="235">
        <f t="shared" si="11"/>
        <v>0</v>
      </c>
      <c r="BK15" s="235">
        <f t="shared" si="11"/>
        <v>0</v>
      </c>
      <c r="BL15" s="235">
        <f t="shared" si="11"/>
        <v>0</v>
      </c>
      <c r="BM15" s="235">
        <f t="shared" si="11"/>
        <v>0</v>
      </c>
      <c r="BN15" s="235">
        <f t="shared" si="11"/>
        <v>0</v>
      </c>
      <c r="BO15" s="235">
        <f t="shared" si="11"/>
        <v>0</v>
      </c>
      <c r="BP15" s="235">
        <f t="shared" si="11"/>
        <v>0</v>
      </c>
      <c r="BQ15" s="235">
        <f t="shared" si="11"/>
        <v>0</v>
      </c>
      <c r="BR15" s="62"/>
      <c r="BS15" s="69">
        <f t="shared" si="0"/>
        <v>0</v>
      </c>
      <c r="BT15" s="550">
        <f t="shared" si="1"/>
        <v>0</v>
      </c>
      <c r="BU15" s="550">
        <f>第1期!AQ117*0.5</f>
        <v>0</v>
      </c>
      <c r="BV15" s="556" t="e">
        <f>AVERAGE(BT40:CI40)*初始化表!B$31</f>
        <v>#DIV/0!</v>
      </c>
      <c r="BW15" s="556" t="e">
        <f>$BT15*(AL117-BW$25)/BW$26*初始化表!B$30</f>
        <v>#DIV/0!</v>
      </c>
      <c r="BX15" s="556" t="e">
        <f>$BT15*(AM117-BX$25)/BX$26*初始化表!B$33</f>
        <v>#DIV/0!</v>
      </c>
      <c r="BY15" s="556" t="e">
        <f>$BT15*(AN117-BY$25)/BY$26*初始化表!B$32</f>
        <v>#DIV/0!</v>
      </c>
      <c r="BZ15" s="556" t="e">
        <f>$BT15*(AP117-BZ$25)/BZ$26*初始化表!B$34</f>
        <v>#DIV/0!</v>
      </c>
      <c r="CA15" s="556" t="e">
        <f>$BT$5*(AW117-CA$25)/CA$26*初始化表!B$36</f>
        <v>#DIV/0!</v>
      </c>
      <c r="CB15" s="556" t="e">
        <f t="shared" si="4"/>
        <v>#DIV/0!</v>
      </c>
      <c r="CC15" s="550">
        <f t="shared" si="5"/>
        <v>0</v>
      </c>
      <c r="CD15" s="561" t="e">
        <f t="shared" si="6"/>
        <v>#DIV/0!</v>
      </c>
      <c r="CE15" s="561">
        <f t="shared" si="7"/>
        <v>0</v>
      </c>
      <c r="CF15" s="561">
        <f t="shared" si="8"/>
        <v>0</v>
      </c>
      <c r="CG15" s="453"/>
      <c r="CH15" s="453"/>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c r="DP15" s="228"/>
      <c r="DQ15" s="228"/>
    </row>
    <row r="16" s="61" customFormat="1" ht="16" customHeight="1" spans="1:121">
      <c r="A16" s="269" t="s">
        <v>298</v>
      </c>
      <c r="B16" s="269" t="s">
        <v>103</v>
      </c>
      <c r="C16" s="269" t="s">
        <v>299</v>
      </c>
      <c r="D16" s="269" t="s">
        <v>104</v>
      </c>
      <c r="E16" s="269" t="s">
        <v>300</v>
      </c>
      <c r="F16" s="269" t="s">
        <v>110</v>
      </c>
      <c r="G16" s="73"/>
      <c r="H16" s="269" t="s">
        <v>543</v>
      </c>
      <c r="I16" s="269" t="s">
        <v>544</v>
      </c>
      <c r="J16" s="269" t="s">
        <v>545</v>
      </c>
      <c r="K16" s="269" t="s">
        <v>546</v>
      </c>
      <c r="L16" s="269" t="s">
        <v>547</v>
      </c>
      <c r="M16" s="85"/>
      <c r="N16" s="269" t="s">
        <v>202</v>
      </c>
      <c r="O16" s="71" t="e">
        <f t="shared" si="17"/>
        <v>#DIV/0!</v>
      </c>
      <c r="P16" s="71" t="e">
        <f t="shared" si="17"/>
        <v>#DIV/0!</v>
      </c>
      <c r="Q16" s="71" t="e">
        <f t="shared" si="17"/>
        <v>#DIV/0!</v>
      </c>
      <c r="R16" s="71" t="e">
        <f t="shared" si="17"/>
        <v>#DIV/0!</v>
      </c>
      <c r="S16" s="126"/>
      <c r="T16" s="120"/>
      <c r="U16" s="269" t="s">
        <v>548</v>
      </c>
      <c r="V16" s="269" t="s">
        <v>513</v>
      </c>
      <c r="W16" s="269" t="s">
        <v>514</v>
      </c>
      <c r="X16" s="269" t="s">
        <v>515</v>
      </c>
      <c r="Y16" s="269" t="s">
        <v>516</v>
      </c>
      <c r="Z16" s="269" t="s">
        <v>549</v>
      </c>
      <c r="AA16" s="73"/>
      <c r="AB16" s="154" t="s">
        <v>550</v>
      </c>
      <c r="AC16" s="154" t="s">
        <v>513</v>
      </c>
      <c r="AD16" s="154" t="s">
        <v>514</v>
      </c>
      <c r="AE16" s="154" t="s">
        <v>515</v>
      </c>
      <c r="AF16" s="154" t="s">
        <v>516</v>
      </c>
      <c r="AG16" s="74"/>
      <c r="AH16" s="73"/>
      <c r="AI16" s="528"/>
      <c r="AJ16" s="528"/>
      <c r="AK16" s="529"/>
      <c r="AL16" s="529">
        <f>Y43</f>
        <v>0</v>
      </c>
      <c r="AM16" s="530"/>
      <c r="AN16" s="531"/>
      <c r="AO16" s="529"/>
      <c r="AP16" s="529"/>
      <c r="AQ16" s="537"/>
      <c r="AR16" s="103">
        <f>SUM(AL13:AL16)</f>
        <v>0</v>
      </c>
      <c r="AS16" s="103">
        <f t="shared" si="12"/>
        <v>0</v>
      </c>
      <c r="AT16" s="103">
        <f>SUMIF(AS13:AS16,"&gt;=0",AS13:AS16)</f>
        <v>0</v>
      </c>
      <c r="AU16" s="103">
        <f>SUM(AO13:AO16)</f>
        <v>0</v>
      </c>
      <c r="AV16" s="103">
        <f>SUM(AP13:AP16)</f>
        <v>0</v>
      </c>
      <c r="AW16" s="103">
        <f>SUM(AQ13:AQ16)</f>
        <v>0</v>
      </c>
      <c r="AZ16" s="63"/>
      <c r="BA16" s="539">
        <f t="shared" si="10"/>
        <v>0</v>
      </c>
      <c r="BB16" s="235">
        <f t="shared" si="11"/>
        <v>0</v>
      </c>
      <c r="BC16" s="235">
        <f t="shared" si="11"/>
        <v>0</v>
      </c>
      <c r="BD16" s="235">
        <f t="shared" si="11"/>
        <v>0</v>
      </c>
      <c r="BE16" s="235">
        <f t="shared" si="11"/>
        <v>0</v>
      </c>
      <c r="BF16" s="235">
        <f t="shared" si="11"/>
        <v>0</v>
      </c>
      <c r="BG16" s="235">
        <f t="shared" si="11"/>
        <v>0</v>
      </c>
      <c r="BH16" s="235">
        <f t="shared" si="11"/>
        <v>0</v>
      </c>
      <c r="BI16" s="235">
        <f t="shared" si="11"/>
        <v>0</v>
      </c>
      <c r="BJ16" s="235">
        <f t="shared" si="11"/>
        <v>0</v>
      </c>
      <c r="BK16" s="235">
        <f t="shared" si="11"/>
        <v>0</v>
      </c>
      <c r="BL16" s="235">
        <f t="shared" si="11"/>
        <v>0</v>
      </c>
      <c r="BM16" s="235">
        <f t="shared" si="11"/>
        <v>0</v>
      </c>
      <c r="BN16" s="235">
        <f t="shared" si="11"/>
        <v>0</v>
      </c>
      <c r="BO16" s="235">
        <f t="shared" si="11"/>
        <v>0</v>
      </c>
      <c r="BP16" s="235">
        <f t="shared" si="11"/>
        <v>0</v>
      </c>
      <c r="BQ16" s="235">
        <f t="shared" si="11"/>
        <v>0</v>
      </c>
      <c r="BR16" s="62"/>
      <c r="BS16" s="69">
        <f t="shared" si="0"/>
        <v>0</v>
      </c>
      <c r="BT16" s="550">
        <f t="shared" si="1"/>
        <v>0</v>
      </c>
      <c r="BU16" s="550">
        <f>第1期!AQ118*0.5</f>
        <v>0</v>
      </c>
      <c r="BV16" s="556" t="e">
        <f>AVERAGE(BT41:CI41)*初始化表!B$31</f>
        <v>#DIV/0!</v>
      </c>
      <c r="BW16" s="556" t="e">
        <f>$BT16*(AL118-BW$25)/BW$26*初始化表!B$30</f>
        <v>#DIV/0!</v>
      </c>
      <c r="BX16" s="556" t="e">
        <f>$BT16*(AM118-BX$25)/BX$26*初始化表!B$33</f>
        <v>#DIV/0!</v>
      </c>
      <c r="BY16" s="556" t="e">
        <f>$BT16*(AN118-BY$25)/BY$26*初始化表!B$32</f>
        <v>#DIV/0!</v>
      </c>
      <c r="BZ16" s="556" t="e">
        <f>$BT16*(AP118-BZ$25)/BZ$26*初始化表!B$34</f>
        <v>#DIV/0!</v>
      </c>
      <c r="CA16" s="556" t="e">
        <f>$BT$5*(AW118-CA$25)/CA$26*初始化表!B$36</f>
        <v>#DIV/0!</v>
      </c>
      <c r="CB16" s="556" t="e">
        <f t="shared" si="4"/>
        <v>#DIV/0!</v>
      </c>
      <c r="CC16" s="550">
        <f t="shared" si="5"/>
        <v>0</v>
      </c>
      <c r="CD16" s="561" t="e">
        <f t="shared" si="6"/>
        <v>#DIV/0!</v>
      </c>
      <c r="CE16" s="561">
        <f t="shared" si="7"/>
        <v>0</v>
      </c>
      <c r="CF16" s="561">
        <f t="shared" si="8"/>
        <v>0</v>
      </c>
      <c r="CG16" s="453"/>
      <c r="CH16" s="453"/>
      <c r="CI16" s="227"/>
      <c r="CJ16" s="228"/>
      <c r="CK16" s="227"/>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c r="DQ16" s="228"/>
    </row>
    <row r="17" s="61" customFormat="1" ht="16" customHeight="1" spans="1:121">
      <c r="A17" s="269" t="s">
        <v>521</v>
      </c>
      <c r="B17" s="457">
        <f>I25</f>
        <v>0</v>
      </c>
      <c r="C17" s="458">
        <f t="shared" ref="C17:E20" si="18">J25</f>
        <v>0</v>
      </c>
      <c r="D17" s="458">
        <f t="shared" si="18"/>
        <v>0</v>
      </c>
      <c r="E17" s="458">
        <f t="shared" si="18"/>
        <v>0</v>
      </c>
      <c r="F17" s="459">
        <f>J6</f>
        <v>0</v>
      </c>
      <c r="G17" s="73"/>
      <c r="H17" s="469">
        <f>第1期!F68</f>
        <v>0</v>
      </c>
      <c r="I17" s="474">
        <f>INT(0.5*H17)</f>
        <v>0</v>
      </c>
      <c r="J17" s="469">
        <f>IF(初始化表!B1=1,INT(3%*H17),INT(3%*H17+0.99))</f>
        <v>0</v>
      </c>
      <c r="K17" s="474">
        <f>INT(0.1*H17)</f>
        <v>0</v>
      </c>
      <c r="L17" s="474">
        <f>H17+B22-C22</f>
        <v>0</v>
      </c>
      <c r="M17" s="85"/>
      <c r="N17" s="269" t="s">
        <v>206</v>
      </c>
      <c r="O17" s="71" t="e">
        <f t="shared" ref="O17:R18" si="19">INT((1+O12+IF(V44&gt;V19,(V19-V44)/V19/20,(V19-V44)/V19/8))*V25)</f>
        <v>#DIV/0!</v>
      </c>
      <c r="P17" s="71" t="e">
        <f t="shared" si="19"/>
        <v>#DIV/0!</v>
      </c>
      <c r="Q17" s="71" t="e">
        <f t="shared" si="19"/>
        <v>#DIV/0!</v>
      </c>
      <c r="R17" s="71" t="e">
        <f t="shared" si="19"/>
        <v>#DIV/0!</v>
      </c>
      <c r="S17" s="126"/>
      <c r="T17" s="120"/>
      <c r="U17" s="269" t="s">
        <v>521</v>
      </c>
      <c r="V17" s="115">
        <f>第1期!AL9</f>
        <v>0</v>
      </c>
      <c r="W17" s="115">
        <f>第1期!AL10</f>
        <v>0</v>
      </c>
      <c r="X17" s="115">
        <f>第1期!AL11</f>
        <v>0</v>
      </c>
      <c r="Y17" s="115">
        <f>第1期!AL12</f>
        <v>0</v>
      </c>
      <c r="Z17" s="398">
        <f>SUM(V17:Y17)</f>
        <v>0</v>
      </c>
      <c r="AA17" s="73"/>
      <c r="AB17" s="154" t="s">
        <v>198</v>
      </c>
      <c r="AC17" s="156" t="e">
        <f>AC11/初始化表!$E$18</f>
        <v>#DIV/0!</v>
      </c>
      <c r="AD17" s="156" t="e">
        <f>AD11/初始化表!$E$18</f>
        <v>#DIV/0!</v>
      </c>
      <c r="AE17" s="156" t="e">
        <f>AE11/初始化表!$E$18</f>
        <v>#DIV/0!</v>
      </c>
      <c r="AF17" s="156" t="e">
        <f>AF11/初始化表!$E$18</f>
        <v>#DIV/0!</v>
      </c>
      <c r="AG17" s="74"/>
      <c r="AH17" s="73"/>
      <c r="AI17" s="528"/>
      <c r="AJ17" s="528"/>
      <c r="AK17" s="529"/>
      <c r="AL17" s="529">
        <f>V44</f>
        <v>0</v>
      </c>
      <c r="AM17" s="530"/>
      <c r="AN17" s="531"/>
      <c r="AO17" s="529"/>
      <c r="AP17" s="529"/>
      <c r="AQ17" s="537"/>
      <c r="AR17" s="103"/>
      <c r="AS17" s="103">
        <f t="shared" si="12"/>
        <v>0</v>
      </c>
      <c r="AT17" s="103"/>
      <c r="AU17" s="103"/>
      <c r="AV17" s="103"/>
      <c r="AW17" s="103"/>
      <c r="AZ17" s="63"/>
      <c r="BA17" s="539">
        <f t="shared" si="10"/>
        <v>0</v>
      </c>
      <c r="BB17" s="235">
        <f t="shared" si="11"/>
        <v>0</v>
      </c>
      <c r="BC17" s="235">
        <f t="shared" si="11"/>
        <v>0</v>
      </c>
      <c r="BD17" s="235">
        <f t="shared" si="11"/>
        <v>0</v>
      </c>
      <c r="BE17" s="235">
        <f t="shared" si="11"/>
        <v>0</v>
      </c>
      <c r="BF17" s="235">
        <f t="shared" si="11"/>
        <v>0</v>
      </c>
      <c r="BG17" s="235">
        <f t="shared" si="11"/>
        <v>0</v>
      </c>
      <c r="BH17" s="235">
        <f t="shared" si="11"/>
        <v>0</v>
      </c>
      <c r="BI17" s="235">
        <f t="shared" si="11"/>
        <v>0</v>
      </c>
      <c r="BJ17" s="235">
        <f t="shared" si="11"/>
        <v>0</v>
      </c>
      <c r="BK17" s="235">
        <f t="shared" si="11"/>
        <v>0</v>
      </c>
      <c r="BL17" s="235">
        <f t="shared" si="11"/>
        <v>0</v>
      </c>
      <c r="BM17" s="235">
        <f t="shared" si="11"/>
        <v>0</v>
      </c>
      <c r="BN17" s="235">
        <f t="shared" si="11"/>
        <v>0</v>
      </c>
      <c r="BO17" s="235">
        <f t="shared" si="11"/>
        <v>0</v>
      </c>
      <c r="BP17" s="235">
        <f t="shared" si="11"/>
        <v>0</v>
      </c>
      <c r="BQ17" s="235">
        <f t="shared" si="11"/>
        <v>0</v>
      </c>
      <c r="BR17" s="62"/>
      <c r="BS17" s="69">
        <f t="shared" si="0"/>
        <v>0</v>
      </c>
      <c r="BT17" s="550">
        <f t="shared" si="1"/>
        <v>0</v>
      </c>
      <c r="BU17" s="550">
        <f>第1期!AQ119*0.5</f>
        <v>0</v>
      </c>
      <c r="BV17" s="556" t="e">
        <f>AVERAGE(BT42:CI42)*初始化表!B$31</f>
        <v>#DIV/0!</v>
      </c>
      <c r="BW17" s="556" t="e">
        <f>$BT17*(AL119-BW$25)/BW$26*初始化表!B$30</f>
        <v>#DIV/0!</v>
      </c>
      <c r="BX17" s="556" t="e">
        <f>$BT17*(AM119-BX$25)/BX$26*初始化表!B$33</f>
        <v>#DIV/0!</v>
      </c>
      <c r="BY17" s="556" t="e">
        <f>$BT17*(AN119-BY$25)/BY$26*初始化表!B$32</f>
        <v>#DIV/0!</v>
      </c>
      <c r="BZ17" s="556" t="e">
        <f>$BT17*(AP119-BZ$25)/BZ$26*初始化表!B$34</f>
        <v>#DIV/0!</v>
      </c>
      <c r="CA17" s="556" t="e">
        <f>$BT$5*(AW119-CA$25)/CA$26*初始化表!B$36</f>
        <v>#DIV/0!</v>
      </c>
      <c r="CB17" s="556" t="e">
        <f t="shared" si="4"/>
        <v>#DIV/0!</v>
      </c>
      <c r="CC17" s="550">
        <f t="shared" si="5"/>
        <v>0</v>
      </c>
      <c r="CD17" s="561" t="e">
        <f t="shared" si="6"/>
        <v>#DIV/0!</v>
      </c>
      <c r="CE17" s="561">
        <f t="shared" si="7"/>
        <v>0</v>
      </c>
      <c r="CF17" s="561">
        <f t="shared" si="8"/>
        <v>0</v>
      </c>
      <c r="CG17" s="453"/>
      <c r="CH17" s="453"/>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c r="DP17" s="228"/>
      <c r="DQ17" s="228"/>
    </row>
    <row r="18" s="61" customFormat="1" ht="16" customHeight="1" spans="1:121">
      <c r="A18" s="269" t="s">
        <v>522</v>
      </c>
      <c r="B18" s="460">
        <f t="shared" ref="B18:B20" si="20">I26</f>
        <v>0</v>
      </c>
      <c r="C18" s="71">
        <f t="shared" si="18"/>
        <v>0</v>
      </c>
      <c r="D18" s="71">
        <f t="shared" si="18"/>
        <v>0</v>
      </c>
      <c r="E18" s="71">
        <f t="shared" si="18"/>
        <v>0</v>
      </c>
      <c r="F18" s="72">
        <f t="shared" ref="F18:F20" si="21">J7</f>
        <v>0</v>
      </c>
      <c r="G18" s="73"/>
      <c r="H18" s="269" t="s">
        <v>551</v>
      </c>
      <c r="I18" s="488">
        <v>0</v>
      </c>
      <c r="J18" s="269" t="s">
        <v>552</v>
      </c>
      <c r="K18" s="489">
        <v>0</v>
      </c>
      <c r="L18" s="74"/>
      <c r="M18" s="85"/>
      <c r="N18" s="269" t="s">
        <v>208</v>
      </c>
      <c r="O18" s="71" t="e">
        <f>INT((1+O13+IF(V45&gt;V20,(V20-V45)/V20/20,(V20-V45)/V20/8))*V26)</f>
        <v>#DIV/0!</v>
      </c>
      <c r="P18" s="71" t="e">
        <f>INT((1+P13+IF(W45&gt;W20,(W20-W45)/W20/20,(W20-W45)/W20/8))*W26)</f>
        <v>#DIV/0!</v>
      </c>
      <c r="Q18" s="71" t="e">
        <f t="shared" si="19"/>
        <v>#DIV/0!</v>
      </c>
      <c r="R18" s="71" t="e">
        <f t="shared" si="19"/>
        <v>#DIV/0!</v>
      </c>
      <c r="S18" s="126"/>
      <c r="T18" s="522" t="s">
        <v>716</v>
      </c>
      <c r="U18" s="419" t="s">
        <v>522</v>
      </c>
      <c r="V18" s="115">
        <f>第1期!AL13</f>
        <v>0</v>
      </c>
      <c r="W18" s="115">
        <f>第1期!AL14</f>
        <v>0</v>
      </c>
      <c r="X18" s="115">
        <f>第1期!AL15</f>
        <v>0</v>
      </c>
      <c r="Y18" s="115">
        <f>第1期!AL16</f>
        <v>0</v>
      </c>
      <c r="Z18" s="398">
        <f>SUM(V18:Y18)</f>
        <v>0</v>
      </c>
      <c r="AA18" s="73"/>
      <c r="AB18" s="154" t="s">
        <v>202</v>
      </c>
      <c r="AC18" s="156" t="e">
        <f>AC12/初始化表!$F$18</f>
        <v>#DIV/0!</v>
      </c>
      <c r="AD18" s="156" t="e">
        <f>AD12/初始化表!$F$18</f>
        <v>#DIV/0!</v>
      </c>
      <c r="AE18" s="156" t="e">
        <f>AE12/初始化表!$F$18</f>
        <v>#DIV/0!</v>
      </c>
      <c r="AF18" s="156" t="e">
        <f>AF12/初始化表!$F$18</f>
        <v>#DIV/0!</v>
      </c>
      <c r="AG18" s="74"/>
      <c r="AH18" s="73"/>
      <c r="AI18" s="528"/>
      <c r="AJ18" s="528"/>
      <c r="AK18" s="529"/>
      <c r="AL18" s="529">
        <f>W44</f>
        <v>0</v>
      </c>
      <c r="AM18" s="530"/>
      <c r="AN18" s="531"/>
      <c r="AO18" s="529"/>
      <c r="AP18" s="529"/>
      <c r="AQ18" s="537"/>
      <c r="AR18" s="103"/>
      <c r="AS18" s="103">
        <f t="shared" si="12"/>
        <v>0</v>
      </c>
      <c r="AT18" s="103"/>
      <c r="AU18" s="103"/>
      <c r="AV18" s="103"/>
      <c r="AW18" s="103"/>
      <c r="AZ18" s="63"/>
      <c r="BA18" s="539">
        <f t="shared" si="10"/>
        <v>0</v>
      </c>
      <c r="BB18" s="235">
        <f t="shared" si="11"/>
        <v>0</v>
      </c>
      <c r="BC18" s="235">
        <f t="shared" si="11"/>
        <v>0</v>
      </c>
      <c r="BD18" s="235">
        <f t="shared" si="11"/>
        <v>0</v>
      </c>
      <c r="BE18" s="235">
        <f t="shared" si="11"/>
        <v>0</v>
      </c>
      <c r="BF18" s="235">
        <f t="shared" si="11"/>
        <v>0</v>
      </c>
      <c r="BG18" s="235">
        <f t="shared" si="11"/>
        <v>0</v>
      </c>
      <c r="BH18" s="235">
        <f t="shared" si="11"/>
        <v>0</v>
      </c>
      <c r="BI18" s="235">
        <f t="shared" si="11"/>
        <v>0</v>
      </c>
      <c r="BJ18" s="235">
        <f t="shared" si="11"/>
        <v>0</v>
      </c>
      <c r="BK18" s="235">
        <f t="shared" si="11"/>
        <v>0</v>
      </c>
      <c r="BL18" s="235">
        <f t="shared" si="11"/>
        <v>0</v>
      </c>
      <c r="BM18" s="235">
        <f t="shared" si="11"/>
        <v>0</v>
      </c>
      <c r="BN18" s="235">
        <f t="shared" si="11"/>
        <v>0</v>
      </c>
      <c r="BO18" s="235">
        <f t="shared" si="11"/>
        <v>0</v>
      </c>
      <c r="BP18" s="235">
        <f t="shared" si="11"/>
        <v>0</v>
      </c>
      <c r="BQ18" s="235">
        <f t="shared" si="11"/>
        <v>0</v>
      </c>
      <c r="BR18" s="62"/>
      <c r="BS18" s="69">
        <f t="shared" si="0"/>
        <v>0</v>
      </c>
      <c r="BT18" s="550">
        <f t="shared" si="1"/>
        <v>0</v>
      </c>
      <c r="BU18" s="550">
        <f>第1期!AQ120*0.5</f>
        <v>0</v>
      </c>
      <c r="BV18" s="556" t="e">
        <f>AVERAGE(BT43:CI43)*初始化表!B$31</f>
        <v>#DIV/0!</v>
      </c>
      <c r="BW18" s="556" t="e">
        <f>$BT18*(AL120-BW$25)/BW$26*初始化表!B$30</f>
        <v>#DIV/0!</v>
      </c>
      <c r="BX18" s="556" t="e">
        <f>$BT18*(AM120-BX$25)/BX$26*初始化表!B$33</f>
        <v>#DIV/0!</v>
      </c>
      <c r="BY18" s="556" t="e">
        <f>$BT18*(AN120-BY$25)/BY$26*初始化表!B$32</f>
        <v>#DIV/0!</v>
      </c>
      <c r="BZ18" s="556" t="e">
        <f>$BT18*(AP120-BZ$25)/BZ$26*初始化表!B$34</f>
        <v>#DIV/0!</v>
      </c>
      <c r="CA18" s="556" t="e">
        <f>$BT$5*(AW120-CA$25)/CA$26*初始化表!B$36</f>
        <v>#DIV/0!</v>
      </c>
      <c r="CB18" s="556" t="e">
        <f t="shared" si="4"/>
        <v>#DIV/0!</v>
      </c>
      <c r="CC18" s="550">
        <f t="shared" si="5"/>
        <v>0</v>
      </c>
      <c r="CD18" s="561" t="e">
        <f t="shared" si="6"/>
        <v>#DIV/0!</v>
      </c>
      <c r="CE18" s="561">
        <f t="shared" si="7"/>
        <v>0</v>
      </c>
      <c r="CF18" s="561">
        <f t="shared" si="8"/>
        <v>0</v>
      </c>
      <c r="CG18" s="453"/>
      <c r="CH18" s="453"/>
      <c r="CI18" s="227"/>
      <c r="CJ18" s="228"/>
      <c r="CK18" s="227"/>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c r="DP18" s="228"/>
      <c r="DQ18" s="228"/>
    </row>
    <row r="19" s="61" customFormat="1" ht="16" customHeight="1" spans="1:121">
      <c r="A19" s="269" t="s">
        <v>523</v>
      </c>
      <c r="B19" s="460">
        <f t="shared" si="20"/>
        <v>0</v>
      </c>
      <c r="C19" s="71">
        <f t="shared" si="18"/>
        <v>0</v>
      </c>
      <c r="D19" s="71">
        <f t="shared" si="18"/>
        <v>0</v>
      </c>
      <c r="E19" s="71">
        <f t="shared" si="18"/>
        <v>0</v>
      </c>
      <c r="F19" s="72">
        <f t="shared" si="21"/>
        <v>0</v>
      </c>
      <c r="G19" s="73"/>
      <c r="H19" s="270"/>
      <c r="I19" s="269" t="s">
        <v>554</v>
      </c>
      <c r="J19" s="269" t="s">
        <v>555</v>
      </c>
      <c r="K19" s="269" t="s">
        <v>556</v>
      </c>
      <c r="L19" s="91"/>
      <c r="M19" s="85"/>
      <c r="N19" s="269" t="s">
        <v>557</v>
      </c>
      <c r="O19" s="269" t="s">
        <v>513</v>
      </c>
      <c r="P19" s="269" t="s">
        <v>514</v>
      </c>
      <c r="Q19" s="269" t="s">
        <v>515</v>
      </c>
      <c r="R19" s="269" t="s">
        <v>516</v>
      </c>
      <c r="S19" s="121"/>
      <c r="T19" s="522"/>
      <c r="U19" s="419" t="s">
        <v>523</v>
      </c>
      <c r="V19" s="115">
        <f>第1期!AL17</f>
        <v>0</v>
      </c>
      <c r="W19" s="115">
        <f>第1期!AL18</f>
        <v>0</v>
      </c>
      <c r="X19" s="115">
        <f>第1期!AL19</f>
        <v>0</v>
      </c>
      <c r="Y19" s="115">
        <f>第1期!AL20</f>
        <v>0</v>
      </c>
      <c r="Z19" s="398">
        <f>SUM(V19:Y19)</f>
        <v>0</v>
      </c>
      <c r="AA19" s="73"/>
      <c r="AB19" s="154" t="s">
        <v>206</v>
      </c>
      <c r="AC19" s="156" t="e">
        <f>AC13/初始化表!$G$18</f>
        <v>#DIV/0!</v>
      </c>
      <c r="AD19" s="156" t="e">
        <f>AD13/初始化表!$G$18</f>
        <v>#DIV/0!</v>
      </c>
      <c r="AE19" s="156" t="e">
        <f>AE13/初始化表!$G$18</f>
        <v>#DIV/0!</v>
      </c>
      <c r="AF19" s="156" t="e">
        <f>AF13/初始化表!$G$18</f>
        <v>#DIV/0!</v>
      </c>
      <c r="AG19" s="74"/>
      <c r="AH19" s="73"/>
      <c r="AI19" s="528"/>
      <c r="AJ19" s="528"/>
      <c r="AK19" s="529"/>
      <c r="AL19" s="529">
        <f>X44</f>
        <v>0</v>
      </c>
      <c r="AM19" s="530"/>
      <c r="AN19" s="531"/>
      <c r="AO19" s="529"/>
      <c r="AP19" s="529"/>
      <c r="AQ19" s="537"/>
      <c r="AR19" s="103"/>
      <c r="AS19" s="103">
        <f t="shared" si="12"/>
        <v>0</v>
      </c>
      <c r="AT19" s="103"/>
      <c r="AU19" s="103"/>
      <c r="AV19" s="103"/>
      <c r="AW19" s="103"/>
      <c r="AZ19" s="63"/>
      <c r="BA19" s="539">
        <f t="shared" si="10"/>
        <v>0</v>
      </c>
      <c r="BB19" s="235">
        <f t="shared" si="11"/>
        <v>0</v>
      </c>
      <c r="BC19" s="235">
        <f t="shared" si="11"/>
        <v>0</v>
      </c>
      <c r="BD19" s="235">
        <f t="shared" si="11"/>
        <v>0</v>
      </c>
      <c r="BE19" s="235">
        <f t="shared" si="11"/>
        <v>0</v>
      </c>
      <c r="BF19" s="235">
        <f t="shared" si="11"/>
        <v>0</v>
      </c>
      <c r="BG19" s="235">
        <f t="shared" si="11"/>
        <v>0</v>
      </c>
      <c r="BH19" s="235">
        <f t="shared" si="11"/>
        <v>0</v>
      </c>
      <c r="BI19" s="235">
        <f t="shared" si="11"/>
        <v>0</v>
      </c>
      <c r="BJ19" s="235">
        <f t="shared" si="11"/>
        <v>0</v>
      </c>
      <c r="BK19" s="235">
        <f t="shared" si="11"/>
        <v>0</v>
      </c>
      <c r="BL19" s="235">
        <f t="shared" si="11"/>
        <v>0</v>
      </c>
      <c r="BM19" s="235">
        <f t="shared" si="11"/>
        <v>0</v>
      </c>
      <c r="BN19" s="235">
        <f t="shared" si="11"/>
        <v>0</v>
      </c>
      <c r="BO19" s="235">
        <f t="shared" si="11"/>
        <v>0</v>
      </c>
      <c r="BP19" s="235">
        <f t="shared" si="11"/>
        <v>0</v>
      </c>
      <c r="BQ19" s="235">
        <f t="shared" si="11"/>
        <v>0</v>
      </c>
      <c r="BR19" s="62"/>
      <c r="BS19" s="69">
        <f t="shared" si="0"/>
        <v>0</v>
      </c>
      <c r="BT19" s="550">
        <f t="shared" si="1"/>
        <v>0</v>
      </c>
      <c r="BU19" s="550">
        <f>第1期!AQ121*0.5</f>
        <v>0</v>
      </c>
      <c r="BV19" s="556" t="e">
        <f>AVERAGE(BT44:CI44)*初始化表!B$31</f>
        <v>#DIV/0!</v>
      </c>
      <c r="BW19" s="556" t="e">
        <f>$BT19*(AL121-BW$25)/BW$26*初始化表!B$30</f>
        <v>#DIV/0!</v>
      </c>
      <c r="BX19" s="556" t="e">
        <f>$BT19*(AM121-BX$25)/BX$26*初始化表!B$33</f>
        <v>#DIV/0!</v>
      </c>
      <c r="BY19" s="556" t="e">
        <f>$BT19*(AN121-BY$25)/BY$26*初始化表!B$32</f>
        <v>#DIV/0!</v>
      </c>
      <c r="BZ19" s="556" t="e">
        <f>$BT19*(AP121-BZ$25)/BZ$26*初始化表!B$34</f>
        <v>#DIV/0!</v>
      </c>
      <c r="CA19" s="556" t="e">
        <f>$BT$5*(AW121-CA$25)/CA$26*初始化表!B$36</f>
        <v>#DIV/0!</v>
      </c>
      <c r="CB19" s="556" t="e">
        <f t="shared" si="4"/>
        <v>#DIV/0!</v>
      </c>
      <c r="CC19" s="550">
        <f t="shared" si="5"/>
        <v>0</v>
      </c>
      <c r="CD19" s="561" t="e">
        <f t="shared" si="6"/>
        <v>#DIV/0!</v>
      </c>
      <c r="CE19" s="561">
        <f t="shared" si="7"/>
        <v>0</v>
      </c>
      <c r="CF19" s="561">
        <f t="shared" si="8"/>
        <v>0</v>
      </c>
      <c r="CG19" s="453"/>
      <c r="CH19" s="453"/>
      <c r="CI19" s="228"/>
      <c r="CJ19" s="228"/>
      <c r="CK19" s="228"/>
      <c r="CL19" s="228"/>
      <c r="CM19" s="228"/>
      <c r="CN19" s="228"/>
      <c r="CO19" s="228"/>
      <c r="CP19" s="228"/>
      <c r="CQ19" s="228"/>
      <c r="CR19" s="228"/>
      <c r="CS19" s="228"/>
      <c r="CT19" s="228"/>
      <c r="CU19" s="228"/>
      <c r="CV19" s="228"/>
      <c r="CW19" s="228"/>
      <c r="CX19" s="228"/>
      <c r="CY19" s="228"/>
      <c r="CZ19" s="228"/>
      <c r="DA19" s="228"/>
      <c r="DB19" s="228"/>
      <c r="DC19" s="228"/>
      <c r="DD19" s="228"/>
      <c r="DE19" s="228"/>
      <c r="DF19" s="228"/>
      <c r="DG19" s="228"/>
      <c r="DH19" s="228"/>
      <c r="DI19" s="228"/>
      <c r="DJ19" s="228"/>
      <c r="DK19" s="228"/>
      <c r="DL19" s="228"/>
      <c r="DM19" s="228"/>
      <c r="DN19" s="228"/>
      <c r="DO19" s="228"/>
      <c r="DP19" s="228"/>
      <c r="DQ19" s="228"/>
    </row>
    <row r="20" s="61" customFormat="1" ht="16" customHeight="1" spans="1:121">
      <c r="A20" s="269" t="s">
        <v>524</v>
      </c>
      <c r="B20" s="466">
        <f t="shared" si="20"/>
        <v>0</v>
      </c>
      <c r="C20" s="467">
        <f t="shared" si="18"/>
        <v>0</v>
      </c>
      <c r="D20" s="467">
        <f t="shared" si="18"/>
        <v>0</v>
      </c>
      <c r="E20" s="467">
        <f t="shared" si="18"/>
        <v>0</v>
      </c>
      <c r="F20" s="461">
        <f t="shared" si="21"/>
        <v>0</v>
      </c>
      <c r="G20" s="73"/>
      <c r="H20" s="269" t="s">
        <v>558</v>
      </c>
      <c r="I20" s="490" t="e">
        <f>(H17-K18)/N49</f>
        <v>#DIV/0!</v>
      </c>
      <c r="J20" s="491" t="e">
        <f>(H17-K18+I17/4)/N49</f>
        <v>#DIV/0!</v>
      </c>
      <c r="K20" s="492" t="e">
        <f>(H17-K18+I18/4)/N49</f>
        <v>#DIV/0!</v>
      </c>
      <c r="L20" s="91"/>
      <c r="M20" s="85"/>
      <c r="N20" s="269" t="s">
        <v>198</v>
      </c>
      <c r="O20" s="93" t="e">
        <f>O15</f>
        <v>#DIV/0!</v>
      </c>
      <c r="P20" s="93" t="e">
        <f t="shared" ref="P20:R20" si="22">P15</f>
        <v>#DIV/0!</v>
      </c>
      <c r="Q20" s="93" t="e">
        <f t="shared" si="22"/>
        <v>#DIV/0!</v>
      </c>
      <c r="R20" s="93" t="e">
        <f t="shared" si="22"/>
        <v>#DIV/0!</v>
      </c>
      <c r="S20" s="523"/>
      <c r="T20" s="358" t="e">
        <f>MAX(AC23,AD23,AE23,AF23)-MIN(AC23,AD23,AE23,AF23)</f>
        <v>#DIV/0!</v>
      </c>
      <c r="U20" s="419" t="s">
        <v>524</v>
      </c>
      <c r="V20" s="115">
        <f>第1期!AL21</f>
        <v>0</v>
      </c>
      <c r="W20" s="115">
        <f>第1期!AL22</f>
        <v>0</v>
      </c>
      <c r="X20" s="115">
        <f>第1期!AL23</f>
        <v>0</v>
      </c>
      <c r="Y20" s="115">
        <f>第1期!AL24</f>
        <v>0</v>
      </c>
      <c r="Z20" s="398">
        <f>SUM(V20:Y20)</f>
        <v>0</v>
      </c>
      <c r="AA20" s="73"/>
      <c r="AB20" s="154" t="s">
        <v>208</v>
      </c>
      <c r="AC20" s="156" t="e">
        <f>AC14/初始化表!$H$18</f>
        <v>#DIV/0!</v>
      </c>
      <c r="AD20" s="156" t="e">
        <f>AD14/初始化表!$H$18</f>
        <v>#DIV/0!</v>
      </c>
      <c r="AE20" s="156" t="e">
        <f>AE14/初始化表!$H$18</f>
        <v>#DIV/0!</v>
      </c>
      <c r="AF20" s="156" t="e">
        <f>AF14/初始化表!$H$18</f>
        <v>#DIV/0!</v>
      </c>
      <c r="AG20" s="74"/>
      <c r="AH20" s="73"/>
      <c r="AI20" s="528"/>
      <c r="AJ20" s="528"/>
      <c r="AK20" s="529"/>
      <c r="AL20" s="529">
        <f>Y44</f>
        <v>0</v>
      </c>
      <c r="AM20" s="530"/>
      <c r="AN20" s="531"/>
      <c r="AO20" s="529"/>
      <c r="AP20" s="529"/>
      <c r="AQ20" s="537"/>
      <c r="AR20" s="103">
        <f>SUM(AL17:AL20)</f>
        <v>0</v>
      </c>
      <c r="AS20" s="103">
        <f t="shared" si="12"/>
        <v>0</v>
      </c>
      <c r="AT20" s="103">
        <f>SUMIF(AS17:AS20,"&gt;=0",AS17:AS20)</f>
        <v>0</v>
      </c>
      <c r="AU20" s="103">
        <f>SUM(AO17:AO20)</f>
        <v>0</v>
      </c>
      <c r="AV20" s="103">
        <f>SUM(AP17:AP20)</f>
        <v>0</v>
      </c>
      <c r="AW20" s="103">
        <f>SUM(AQ17:AQ20)</f>
        <v>0</v>
      </c>
      <c r="AZ20" s="63"/>
      <c r="BA20" s="539">
        <f t="shared" si="10"/>
        <v>0</v>
      </c>
      <c r="BB20" s="235">
        <f t="shared" si="11"/>
        <v>0</v>
      </c>
      <c r="BC20" s="235">
        <f t="shared" si="11"/>
        <v>0</v>
      </c>
      <c r="BD20" s="235">
        <f t="shared" si="11"/>
        <v>0</v>
      </c>
      <c r="BE20" s="235">
        <f t="shared" si="11"/>
        <v>0</v>
      </c>
      <c r="BF20" s="235">
        <f t="shared" si="11"/>
        <v>0</v>
      </c>
      <c r="BG20" s="235">
        <f t="shared" si="11"/>
        <v>0</v>
      </c>
      <c r="BH20" s="235">
        <f t="shared" si="11"/>
        <v>0</v>
      </c>
      <c r="BI20" s="235">
        <f t="shared" si="11"/>
        <v>0</v>
      </c>
      <c r="BJ20" s="235">
        <f t="shared" si="11"/>
        <v>0</v>
      </c>
      <c r="BK20" s="235">
        <f t="shared" si="11"/>
        <v>0</v>
      </c>
      <c r="BL20" s="235">
        <f t="shared" si="11"/>
        <v>0</v>
      </c>
      <c r="BM20" s="235">
        <f t="shared" si="11"/>
        <v>0</v>
      </c>
      <c r="BN20" s="235">
        <f t="shared" si="11"/>
        <v>0</v>
      </c>
      <c r="BO20" s="235">
        <f t="shared" si="11"/>
        <v>0</v>
      </c>
      <c r="BP20" s="235">
        <f t="shared" si="11"/>
        <v>0</v>
      </c>
      <c r="BQ20" s="235">
        <f t="shared" si="11"/>
        <v>0</v>
      </c>
      <c r="BR20" s="62"/>
      <c r="BS20" s="69">
        <f t="shared" si="0"/>
        <v>0</v>
      </c>
      <c r="BT20" s="550">
        <f t="shared" si="1"/>
        <v>0</v>
      </c>
      <c r="BU20" s="550">
        <f>第1期!AQ122*0.5</f>
        <v>0</v>
      </c>
      <c r="BV20" s="556" t="e">
        <f>AVERAGE(BT45:CI45)*初始化表!B$31</f>
        <v>#DIV/0!</v>
      </c>
      <c r="BW20" s="556" t="e">
        <f>$BT20*(AL122-BW$25)/BW$26*初始化表!B$30</f>
        <v>#DIV/0!</v>
      </c>
      <c r="BX20" s="556" t="e">
        <f>$BT20*(AM122-BX$25)/BX$26*初始化表!B$33</f>
        <v>#DIV/0!</v>
      </c>
      <c r="BY20" s="556" t="e">
        <f>$BT20*(AN122-BY$25)/BY$26*初始化表!B$32</f>
        <v>#DIV/0!</v>
      </c>
      <c r="BZ20" s="556" t="e">
        <f>$BT20*(AP122-BZ$25)/BZ$26*初始化表!B$34</f>
        <v>#DIV/0!</v>
      </c>
      <c r="CA20" s="556" t="e">
        <f>$BT$5*(AW122-CA$25)/CA$26*初始化表!B$36</f>
        <v>#DIV/0!</v>
      </c>
      <c r="CB20" s="556" t="e">
        <f t="shared" si="4"/>
        <v>#DIV/0!</v>
      </c>
      <c r="CC20" s="550">
        <f t="shared" si="5"/>
        <v>0</v>
      </c>
      <c r="CD20" s="561" t="e">
        <f t="shared" si="6"/>
        <v>#DIV/0!</v>
      </c>
      <c r="CE20" s="561">
        <f t="shared" si="7"/>
        <v>0</v>
      </c>
      <c r="CF20" s="561">
        <f t="shared" si="8"/>
        <v>0</v>
      </c>
      <c r="CG20" s="453"/>
      <c r="CH20" s="453"/>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c r="DP20" s="228"/>
      <c r="DQ20" s="228"/>
    </row>
    <row r="21" s="61" customFormat="1" ht="16" customHeight="1" spans="1:121">
      <c r="A21" s="269" t="s">
        <v>303</v>
      </c>
      <c r="B21" s="269" t="s">
        <v>304</v>
      </c>
      <c r="C21" s="269" t="s">
        <v>305</v>
      </c>
      <c r="D21" s="269" t="s">
        <v>306</v>
      </c>
      <c r="E21" s="269" t="s">
        <v>307</v>
      </c>
      <c r="F21" s="270"/>
      <c r="G21" s="73"/>
      <c r="H21" s="269" t="s">
        <v>559</v>
      </c>
      <c r="I21" s="493" t="e">
        <f>(L17-ROUND(L17*0.03,0))/O49</f>
        <v>#DIV/0!</v>
      </c>
      <c r="J21" s="494" t="e">
        <f>(L17-ROUND(L17*0.03,0)+ROUNDDOWN(L17/2,0)/4)/O49</f>
        <v>#DIV/0!</v>
      </c>
      <c r="K21" s="269" t="s">
        <v>235</v>
      </c>
      <c r="L21" s="495" t="e">
        <f>初始化表!I20</f>
        <v>#DIV/0!</v>
      </c>
      <c r="M21" s="85"/>
      <c r="N21" s="269" t="s">
        <v>202</v>
      </c>
      <c r="O21" s="93" t="e">
        <f t="shared" ref="O21:R23" si="23">O16</f>
        <v>#DIV/0!</v>
      </c>
      <c r="P21" s="93" t="e">
        <f t="shared" si="23"/>
        <v>#DIV/0!</v>
      </c>
      <c r="Q21" s="93" t="e">
        <f t="shared" si="23"/>
        <v>#DIV/0!</v>
      </c>
      <c r="R21" s="93" t="e">
        <f t="shared" si="23"/>
        <v>#DIV/0!</v>
      </c>
      <c r="S21" s="523"/>
      <c r="T21" s="358" t="e">
        <f t="shared" ref="T21:T23" si="24">MAX(AC24,AD24,AE24,AF24)-MIN(AC24,AD24,AE24,AF24)</f>
        <v>#DIV/0!</v>
      </c>
      <c r="U21" s="123"/>
      <c r="V21" s="74"/>
      <c r="W21" s="74"/>
      <c r="X21" s="74"/>
      <c r="Y21" s="74"/>
      <c r="Z21" s="74"/>
      <c r="AA21" s="73"/>
      <c r="AB21" s="155"/>
      <c r="AC21" s="155"/>
      <c r="AD21" s="155"/>
      <c r="AE21" s="155"/>
      <c r="AF21" s="155"/>
      <c r="AG21" s="155"/>
      <c r="AH21" s="73"/>
      <c r="AI21" s="528"/>
      <c r="AJ21" s="528"/>
      <c r="AK21" s="529"/>
      <c r="AL21" s="529">
        <f>V45</f>
        <v>0</v>
      </c>
      <c r="AM21" s="530"/>
      <c r="AN21" s="531"/>
      <c r="AO21" s="529"/>
      <c r="AP21" s="529"/>
      <c r="AQ21" s="537"/>
      <c r="AR21" s="103"/>
      <c r="AS21" s="103">
        <f t="shared" si="12"/>
        <v>0</v>
      </c>
      <c r="AT21" s="103"/>
      <c r="AU21" s="103"/>
      <c r="AV21" s="103"/>
      <c r="AW21" s="103"/>
      <c r="AZ21" s="63"/>
      <c r="BA21" s="539">
        <f t="shared" si="10"/>
        <v>0</v>
      </c>
      <c r="BB21" s="235">
        <f t="shared" si="11"/>
        <v>0</v>
      </c>
      <c r="BC21" s="235">
        <f t="shared" si="11"/>
        <v>0</v>
      </c>
      <c r="BD21" s="235">
        <f t="shared" si="11"/>
        <v>0</v>
      </c>
      <c r="BE21" s="235">
        <f t="shared" si="11"/>
        <v>0</v>
      </c>
      <c r="BF21" s="235">
        <f t="shared" si="11"/>
        <v>0</v>
      </c>
      <c r="BG21" s="235">
        <f t="shared" si="11"/>
        <v>0</v>
      </c>
      <c r="BH21" s="235">
        <f t="shared" si="11"/>
        <v>0</v>
      </c>
      <c r="BI21" s="235">
        <f t="shared" si="11"/>
        <v>0</v>
      </c>
      <c r="BJ21" s="235">
        <f t="shared" si="11"/>
        <v>0</v>
      </c>
      <c r="BK21" s="235">
        <f t="shared" si="11"/>
        <v>0</v>
      </c>
      <c r="BL21" s="235">
        <f t="shared" si="11"/>
        <v>0</v>
      </c>
      <c r="BM21" s="235">
        <f t="shared" si="11"/>
        <v>0</v>
      </c>
      <c r="BN21" s="235">
        <f t="shared" si="11"/>
        <v>0</v>
      </c>
      <c r="BO21" s="235">
        <f t="shared" si="11"/>
        <v>0</v>
      </c>
      <c r="BP21" s="235">
        <f t="shared" si="11"/>
        <v>0</v>
      </c>
      <c r="BQ21" s="235">
        <f t="shared" si="11"/>
        <v>0</v>
      </c>
      <c r="BR21" s="62"/>
      <c r="BS21" s="69">
        <f t="shared" si="0"/>
        <v>0</v>
      </c>
      <c r="BT21" s="550">
        <f t="shared" si="1"/>
        <v>0</v>
      </c>
      <c r="BU21" s="550">
        <f>第1期!AQ123*0.5</f>
        <v>0</v>
      </c>
      <c r="BV21" s="556" t="e">
        <f>AVERAGE(BT46:CI46)*初始化表!B$31</f>
        <v>#DIV/0!</v>
      </c>
      <c r="BW21" s="556" t="e">
        <f>$BT21*(AL123-BW$25)/BW$26*初始化表!B$30</f>
        <v>#DIV/0!</v>
      </c>
      <c r="BX21" s="556" t="e">
        <f>$BT21*(AM123-BX$25)/BX$26*初始化表!B$33</f>
        <v>#DIV/0!</v>
      </c>
      <c r="BY21" s="556" t="e">
        <f>$BT21*(AN123-BY$25)/BY$26*初始化表!B$32</f>
        <v>#DIV/0!</v>
      </c>
      <c r="BZ21" s="556" t="e">
        <f>$BT21*(AP123-BZ$25)/BZ$26*初始化表!B$34</f>
        <v>#DIV/0!</v>
      </c>
      <c r="CA21" s="556" t="e">
        <f>$BT$5*(AW123-CA$25)/CA$26*初始化表!B$36</f>
        <v>#DIV/0!</v>
      </c>
      <c r="CB21" s="556" t="e">
        <f t="shared" si="4"/>
        <v>#DIV/0!</v>
      </c>
      <c r="CC21" s="550">
        <f t="shared" si="5"/>
        <v>0</v>
      </c>
      <c r="CD21" s="561" t="e">
        <f t="shared" si="6"/>
        <v>#DIV/0!</v>
      </c>
      <c r="CE21" s="561">
        <f t="shared" si="7"/>
        <v>0</v>
      </c>
      <c r="CF21" s="561">
        <f t="shared" si="8"/>
        <v>0</v>
      </c>
      <c r="CG21" s="453"/>
      <c r="CH21" s="453"/>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c r="DP21" s="228"/>
      <c r="DQ21" s="228"/>
    </row>
    <row r="22" s="61" customFormat="1" ht="16" customHeight="1" spans="1:121">
      <c r="A22" s="270"/>
      <c r="B22" s="470">
        <f>I18</f>
        <v>0</v>
      </c>
      <c r="C22" s="469">
        <f>K18</f>
        <v>0</v>
      </c>
      <c r="D22" s="471">
        <f>R49</f>
        <v>0</v>
      </c>
      <c r="E22" s="472">
        <f>K43</f>
        <v>0</v>
      </c>
      <c r="F22" s="270"/>
      <c r="G22" s="73"/>
      <c r="H22" s="269" t="s">
        <v>560</v>
      </c>
      <c r="I22" s="496" t="e">
        <f>(M25*初始化表!B4+SUM(V5:Z5)-SUM(V11:Y11)-Z17)/Z17</f>
        <v>#DIV/0!</v>
      </c>
      <c r="J22" s="497" t="e">
        <f>(M26*初始化表!B4+SUM(V6:Z6)-SUM(V12:Y12)-Z18)/Z18</f>
        <v>#DIV/0!</v>
      </c>
      <c r="K22" s="498" t="e">
        <f>(M27*初始化表!B4+SUM(V7:Z7)-SUM(V13:Y13)-Z19)/Z19</f>
        <v>#DIV/0!</v>
      </c>
      <c r="L22" s="95" t="e">
        <f>(M28*初始化表!B4+SUM(V8:Z8)-SUM(V14:Y14)-Z20)/Z20</f>
        <v>#DIV/0!</v>
      </c>
      <c r="M22" s="85"/>
      <c r="N22" s="269" t="s">
        <v>206</v>
      </c>
      <c r="O22" s="93" t="e">
        <f t="shared" si="23"/>
        <v>#DIV/0!</v>
      </c>
      <c r="P22" s="93" t="e">
        <f t="shared" si="23"/>
        <v>#DIV/0!</v>
      </c>
      <c r="Q22" s="93" t="e">
        <f t="shared" si="23"/>
        <v>#DIV/0!</v>
      </c>
      <c r="R22" s="93" t="e">
        <f t="shared" si="23"/>
        <v>#DIV/0!</v>
      </c>
      <c r="S22" s="523"/>
      <c r="T22" s="358" t="e">
        <f t="shared" si="24"/>
        <v>#DIV/0!</v>
      </c>
      <c r="U22" s="419" t="s">
        <v>561</v>
      </c>
      <c r="V22" s="269" t="s">
        <v>513</v>
      </c>
      <c r="W22" s="269" t="s">
        <v>514</v>
      </c>
      <c r="X22" s="269" t="s">
        <v>515</v>
      </c>
      <c r="Y22" s="269" t="s">
        <v>516</v>
      </c>
      <c r="Z22" s="269" t="s">
        <v>276</v>
      </c>
      <c r="AA22" s="73"/>
      <c r="AB22" s="151" t="s">
        <v>562</v>
      </c>
      <c r="AC22" s="151" t="s">
        <v>459</v>
      </c>
      <c r="AD22" s="151" t="s">
        <v>460</v>
      </c>
      <c r="AE22" s="151" t="s">
        <v>461</v>
      </c>
      <c r="AF22" s="151" t="s">
        <v>462</v>
      </c>
      <c r="AG22" s="74"/>
      <c r="AH22" s="73"/>
      <c r="AI22" s="528"/>
      <c r="AJ22" s="528"/>
      <c r="AK22" s="529"/>
      <c r="AL22" s="529">
        <f>W45</f>
        <v>0</v>
      </c>
      <c r="AM22" s="530"/>
      <c r="AN22" s="531"/>
      <c r="AO22" s="529"/>
      <c r="AP22" s="529"/>
      <c r="AQ22" s="537"/>
      <c r="AR22" s="103"/>
      <c r="AS22" s="103">
        <f t="shared" si="12"/>
        <v>0</v>
      </c>
      <c r="AT22" s="103"/>
      <c r="AU22" s="103"/>
      <c r="AV22" s="103"/>
      <c r="AW22" s="103"/>
      <c r="AZ22" s="63"/>
      <c r="BA22" s="539">
        <f t="shared" si="10"/>
        <v>0</v>
      </c>
      <c r="BB22" s="235">
        <f t="shared" si="11"/>
        <v>0</v>
      </c>
      <c r="BC22" s="235">
        <f t="shared" si="11"/>
        <v>0</v>
      </c>
      <c r="BD22" s="235">
        <f t="shared" si="11"/>
        <v>0</v>
      </c>
      <c r="BE22" s="235">
        <f t="shared" si="11"/>
        <v>0</v>
      </c>
      <c r="BF22" s="235">
        <f t="shared" si="11"/>
        <v>0</v>
      </c>
      <c r="BG22" s="235">
        <f t="shared" si="11"/>
        <v>0</v>
      </c>
      <c r="BH22" s="235">
        <f t="shared" si="11"/>
        <v>0</v>
      </c>
      <c r="BI22" s="235">
        <f t="shared" si="11"/>
        <v>0</v>
      </c>
      <c r="BJ22" s="235">
        <f t="shared" si="11"/>
        <v>0</v>
      </c>
      <c r="BK22" s="235">
        <f t="shared" si="11"/>
        <v>0</v>
      </c>
      <c r="BL22" s="235">
        <f t="shared" si="11"/>
        <v>0</v>
      </c>
      <c r="BM22" s="235">
        <f t="shared" si="11"/>
        <v>0</v>
      </c>
      <c r="BN22" s="235">
        <f t="shared" si="11"/>
        <v>0</v>
      </c>
      <c r="BO22" s="235">
        <f t="shared" si="11"/>
        <v>0</v>
      </c>
      <c r="BP22" s="235">
        <f t="shared" si="11"/>
        <v>0</v>
      </c>
      <c r="BQ22" s="235">
        <f>IF($BA22="","",INT(BQ$28*AY76))</f>
        <v>0</v>
      </c>
      <c r="BR22" s="62"/>
      <c r="BS22" s="69">
        <f t="shared" si="0"/>
        <v>0</v>
      </c>
      <c r="BT22" s="550">
        <f t="shared" si="1"/>
        <v>0</v>
      </c>
      <c r="BU22" s="550">
        <f>第1期!AQ124*0.5</f>
        <v>0</v>
      </c>
      <c r="BV22" s="556" t="e">
        <f>AVERAGE(BT47:CI47)*初始化表!B$31</f>
        <v>#DIV/0!</v>
      </c>
      <c r="BW22" s="556" t="e">
        <f>$BT22*(AL124-BW$25)/BW$26*初始化表!B$30</f>
        <v>#DIV/0!</v>
      </c>
      <c r="BX22" s="556" t="e">
        <f>$BT22*(AM124-BX$25)/BX$26*初始化表!B$33</f>
        <v>#DIV/0!</v>
      </c>
      <c r="BY22" s="556" t="e">
        <f>$BT22*(AN124-BY$25)/BY$26*初始化表!B$32</f>
        <v>#DIV/0!</v>
      </c>
      <c r="BZ22" s="556" t="e">
        <f>$BT22*(AP124-BZ$25)/BZ$26*初始化表!B$34</f>
        <v>#DIV/0!</v>
      </c>
      <c r="CA22" s="556" t="e">
        <f>$BT$5*(AW124-CA$25)/CA$26*初始化表!B$36</f>
        <v>#DIV/0!</v>
      </c>
      <c r="CB22" s="556" t="e">
        <f t="shared" si="4"/>
        <v>#DIV/0!</v>
      </c>
      <c r="CC22" s="550">
        <f t="shared" si="5"/>
        <v>0</v>
      </c>
      <c r="CD22" s="561" t="e">
        <f t="shared" si="6"/>
        <v>#DIV/0!</v>
      </c>
      <c r="CE22" s="561">
        <f t="shared" si="7"/>
        <v>0</v>
      </c>
      <c r="CF22" s="561">
        <f t="shared" si="8"/>
        <v>0</v>
      </c>
      <c r="CG22" s="453"/>
      <c r="CH22" s="453"/>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c r="DP22" s="228"/>
      <c r="DQ22" s="228"/>
    </row>
    <row r="23" s="61" customFormat="1" ht="16" customHeight="1" spans="1:121">
      <c r="A23" s="269" t="s">
        <v>308</v>
      </c>
      <c r="B23" s="269" t="s">
        <v>309</v>
      </c>
      <c r="C23" s="269" t="s">
        <v>310</v>
      </c>
      <c r="D23" s="269" t="s">
        <v>311</v>
      </c>
      <c r="E23" s="269" t="s">
        <v>312</v>
      </c>
      <c r="F23" s="269" t="s">
        <v>313</v>
      </c>
      <c r="G23" s="73"/>
      <c r="H23" s="269" t="s">
        <v>298</v>
      </c>
      <c r="I23" s="270"/>
      <c r="J23" s="270"/>
      <c r="K23" s="270"/>
      <c r="L23" s="270"/>
      <c r="M23" s="269" t="s">
        <v>563</v>
      </c>
      <c r="N23" s="419" t="s">
        <v>208</v>
      </c>
      <c r="O23" s="93" t="e">
        <f t="shared" si="23"/>
        <v>#DIV/0!</v>
      </c>
      <c r="P23" s="93" t="e">
        <f t="shared" si="23"/>
        <v>#DIV/0!</v>
      </c>
      <c r="Q23" s="93" t="e">
        <f t="shared" si="23"/>
        <v>#DIV/0!</v>
      </c>
      <c r="R23" s="93" t="e">
        <f t="shared" si="23"/>
        <v>#DIV/0!</v>
      </c>
      <c r="S23" s="523"/>
      <c r="T23" s="358" t="e">
        <f t="shared" si="24"/>
        <v>#DIV/0!</v>
      </c>
      <c r="U23" s="419" t="s">
        <v>521</v>
      </c>
      <c r="V23" s="115" t="e">
        <f>第1期!B6</f>
        <v>#DIV/0!</v>
      </c>
      <c r="W23" s="115" t="e">
        <f>第1期!C6</f>
        <v>#DIV/0!</v>
      </c>
      <c r="X23" s="115" t="e">
        <f>第1期!D6</f>
        <v>#DIV/0!</v>
      </c>
      <c r="Y23" s="115" t="e">
        <f>第1期!E6</f>
        <v>#DIV/0!</v>
      </c>
      <c r="Z23" s="102" t="e">
        <f>第1期!F6</f>
        <v>#DIV/0!</v>
      </c>
      <c r="AA23" s="73"/>
      <c r="AB23" s="151" t="s">
        <v>464</v>
      </c>
      <c r="AC23" s="157" t="e">
        <f>AC11/初始化表!$E$17</f>
        <v>#DIV/0!</v>
      </c>
      <c r="AD23" s="157" t="e">
        <f>AD11/初始化表!$E$17</f>
        <v>#DIV/0!</v>
      </c>
      <c r="AE23" s="157" t="e">
        <f>AE11/初始化表!$E$17</f>
        <v>#DIV/0!</v>
      </c>
      <c r="AF23" s="157" t="e">
        <f>AF11/初始化表!$E$17</f>
        <v>#DIV/0!</v>
      </c>
      <c r="AG23" s="74"/>
      <c r="AH23" s="73"/>
      <c r="AI23" s="528"/>
      <c r="AJ23" s="528"/>
      <c r="AK23" s="529"/>
      <c r="AL23" s="529">
        <f>X45</f>
        <v>0</v>
      </c>
      <c r="AM23" s="530"/>
      <c r="AN23" s="531"/>
      <c r="AO23" s="529"/>
      <c r="AP23" s="529"/>
      <c r="AQ23" s="537"/>
      <c r="AR23" s="103"/>
      <c r="AS23" s="103">
        <f t="shared" si="12"/>
        <v>0</v>
      </c>
      <c r="AT23" s="103"/>
      <c r="AU23" s="103"/>
      <c r="AV23" s="103"/>
      <c r="AW23" s="103"/>
      <c r="AZ23" s="63"/>
      <c r="BA23" s="539">
        <f t="shared" si="10"/>
        <v>0</v>
      </c>
      <c r="BB23" s="235">
        <f t="shared" ref="BB23:BP26" si="25">IF($BA23="","",INT(BB$28*AJ77))</f>
        <v>0</v>
      </c>
      <c r="BC23" s="235">
        <f t="shared" si="25"/>
        <v>0</v>
      </c>
      <c r="BD23" s="235">
        <f t="shared" si="25"/>
        <v>0</v>
      </c>
      <c r="BE23" s="235">
        <f t="shared" si="25"/>
        <v>0</v>
      </c>
      <c r="BF23" s="235">
        <f t="shared" si="25"/>
        <v>0</v>
      </c>
      <c r="BG23" s="235">
        <f t="shared" si="25"/>
        <v>0</v>
      </c>
      <c r="BH23" s="235">
        <f t="shared" si="25"/>
        <v>0</v>
      </c>
      <c r="BI23" s="235">
        <f t="shared" si="25"/>
        <v>0</v>
      </c>
      <c r="BJ23" s="235">
        <f t="shared" si="25"/>
        <v>0</v>
      </c>
      <c r="BK23" s="235">
        <f t="shared" si="25"/>
        <v>0</v>
      </c>
      <c r="BL23" s="235">
        <f t="shared" si="25"/>
        <v>0</v>
      </c>
      <c r="BM23" s="235">
        <f t="shared" si="25"/>
        <v>0</v>
      </c>
      <c r="BN23" s="235">
        <f t="shared" si="25"/>
        <v>0</v>
      </c>
      <c r="BO23" s="235">
        <f t="shared" si="25"/>
        <v>0</v>
      </c>
      <c r="BP23" s="235">
        <f t="shared" si="25"/>
        <v>0</v>
      </c>
      <c r="BQ23" s="235">
        <f>IF($BA23="","",INT(BQ$28*AY77))</f>
        <v>0</v>
      </c>
      <c r="BR23" s="62"/>
      <c r="BS23" s="69">
        <f t="shared" si="0"/>
        <v>0</v>
      </c>
      <c r="BT23" s="550">
        <f t="shared" si="1"/>
        <v>0</v>
      </c>
      <c r="BU23" s="550">
        <f>第1期!AQ125*0.5</f>
        <v>0</v>
      </c>
      <c r="BV23" s="556" t="e">
        <f>AVERAGE(BT48:CI48)*初始化表!B$31</f>
        <v>#DIV/0!</v>
      </c>
      <c r="BW23" s="556" t="e">
        <f>$BT23*(AL125-BW$25)/BW$26*初始化表!B$30</f>
        <v>#DIV/0!</v>
      </c>
      <c r="BX23" s="556" t="e">
        <f>$BT23*(AM125-BX$25)/BX$26*初始化表!B$33</f>
        <v>#DIV/0!</v>
      </c>
      <c r="BY23" s="556" t="e">
        <f>$BT23*(AN125-BY$25)/BY$26*初始化表!B$32</f>
        <v>#DIV/0!</v>
      </c>
      <c r="BZ23" s="556" t="e">
        <f>$BT23*(AP125-BZ$25)/BZ$26*初始化表!B$34</f>
        <v>#DIV/0!</v>
      </c>
      <c r="CA23" s="556" t="e">
        <f>$BT$5*(AW125-CA$25)/CA$26*初始化表!B$36</f>
        <v>#DIV/0!</v>
      </c>
      <c r="CB23" s="556" t="e">
        <f t="shared" si="4"/>
        <v>#DIV/0!</v>
      </c>
      <c r="CC23" s="550">
        <f t="shared" si="5"/>
        <v>0</v>
      </c>
      <c r="CD23" s="561" t="e">
        <f t="shared" si="6"/>
        <v>#DIV/0!</v>
      </c>
      <c r="CE23" s="561">
        <f t="shared" si="7"/>
        <v>0</v>
      </c>
      <c r="CF23" s="561">
        <f t="shared" si="8"/>
        <v>0</v>
      </c>
      <c r="CG23" s="453"/>
      <c r="CH23" s="453"/>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c r="DP23" s="228"/>
      <c r="DQ23" s="228"/>
    </row>
    <row r="24" s="61" customFormat="1" ht="16" customHeight="1" spans="1:121">
      <c r="A24" s="270"/>
      <c r="B24" s="473">
        <f>Q33</f>
        <v>0</v>
      </c>
      <c r="C24" s="459">
        <f>R35</f>
        <v>0</v>
      </c>
      <c r="D24" s="459">
        <f>O37</f>
        <v>0</v>
      </c>
      <c r="E24" s="459" t="e">
        <f>-C63</f>
        <v>#DIV/0!</v>
      </c>
      <c r="F24" s="474">
        <f>R45</f>
        <v>1</v>
      </c>
      <c r="G24" s="73"/>
      <c r="H24" s="270"/>
      <c r="I24" s="269" t="s">
        <v>103</v>
      </c>
      <c r="J24" s="269" t="s">
        <v>299</v>
      </c>
      <c r="K24" s="269" t="s">
        <v>104</v>
      </c>
      <c r="L24" s="269" t="s">
        <v>300</v>
      </c>
      <c r="M24" s="269"/>
      <c r="N24" s="419" t="s">
        <v>564</v>
      </c>
      <c r="O24" s="269" t="s">
        <v>717</v>
      </c>
      <c r="P24" s="269" t="s">
        <v>566</v>
      </c>
      <c r="Q24" s="269" t="s">
        <v>567</v>
      </c>
      <c r="R24" s="269" t="s">
        <v>568</v>
      </c>
      <c r="S24" s="121"/>
      <c r="T24" s="120"/>
      <c r="U24" s="269" t="s">
        <v>522</v>
      </c>
      <c r="V24" s="115" t="e">
        <f>第1期!B7</f>
        <v>#DIV/0!</v>
      </c>
      <c r="W24" s="115" t="e">
        <f>第1期!C7</f>
        <v>#DIV/0!</v>
      </c>
      <c r="X24" s="115" t="e">
        <f>第1期!D7</f>
        <v>#DIV/0!</v>
      </c>
      <c r="Y24" s="115" t="e">
        <f>第1期!E7</f>
        <v>#DIV/0!</v>
      </c>
      <c r="Z24" s="102" t="e">
        <f>第1期!F7</f>
        <v>#DIV/0!</v>
      </c>
      <c r="AA24" s="73"/>
      <c r="AB24" s="151" t="s">
        <v>465</v>
      </c>
      <c r="AC24" s="157" t="e">
        <f>AC12/初始化表!$F$17</f>
        <v>#DIV/0!</v>
      </c>
      <c r="AD24" s="157" t="e">
        <f>AD12/初始化表!$F$17</f>
        <v>#DIV/0!</v>
      </c>
      <c r="AE24" s="157" t="e">
        <f>AE12/初始化表!$F$17</f>
        <v>#DIV/0!</v>
      </c>
      <c r="AF24" s="157" t="e">
        <f>AF12/初始化表!$F$17</f>
        <v>#DIV/0!</v>
      </c>
      <c r="AG24" s="74"/>
      <c r="AH24" s="73"/>
      <c r="AI24" s="528"/>
      <c r="AJ24" s="528"/>
      <c r="AK24" s="529"/>
      <c r="AL24" s="529">
        <f>Y45</f>
        <v>0</v>
      </c>
      <c r="AM24" s="530"/>
      <c r="AN24" s="531"/>
      <c r="AO24" s="529"/>
      <c r="AP24" s="529"/>
      <c r="AQ24" s="537"/>
      <c r="AR24" s="103">
        <f>SUM(AL21:AL24)</f>
        <v>0</v>
      </c>
      <c r="AS24" s="103">
        <f t="shared" si="12"/>
        <v>0</v>
      </c>
      <c r="AT24" s="103">
        <f>SUMIF(AS21:AS24,"&gt;=0",AS21:AS24)</f>
        <v>0</v>
      </c>
      <c r="AU24" s="103">
        <f>SUM(AO21:AO24)</f>
        <v>0</v>
      </c>
      <c r="AV24" s="103">
        <f>SUM(AP21:AP24)</f>
        <v>0</v>
      </c>
      <c r="AW24" s="103">
        <f>SUM(AQ21:AQ24)</f>
        <v>0</v>
      </c>
      <c r="AZ24" s="63"/>
      <c r="BA24" s="539">
        <f t="shared" si="10"/>
        <v>0</v>
      </c>
      <c r="BB24" s="235">
        <f t="shared" si="25"/>
        <v>0</v>
      </c>
      <c r="BC24" s="235">
        <f t="shared" si="25"/>
        <v>0</v>
      </c>
      <c r="BD24" s="235">
        <f t="shared" si="25"/>
        <v>0</v>
      </c>
      <c r="BE24" s="235">
        <f t="shared" si="25"/>
        <v>0</v>
      </c>
      <c r="BF24" s="235">
        <f t="shared" si="25"/>
        <v>0</v>
      </c>
      <c r="BG24" s="235">
        <f t="shared" si="25"/>
        <v>0</v>
      </c>
      <c r="BH24" s="235">
        <f t="shared" si="25"/>
        <v>0</v>
      </c>
      <c r="BI24" s="235">
        <f t="shared" si="25"/>
        <v>0</v>
      </c>
      <c r="BJ24" s="235">
        <f t="shared" si="25"/>
        <v>0</v>
      </c>
      <c r="BK24" s="235">
        <f t="shared" si="25"/>
        <v>0</v>
      </c>
      <c r="BL24" s="235">
        <f t="shared" si="25"/>
        <v>0</v>
      </c>
      <c r="BM24" s="235">
        <f t="shared" si="25"/>
        <v>0</v>
      </c>
      <c r="BN24" s="235">
        <f t="shared" si="25"/>
        <v>0</v>
      </c>
      <c r="BO24" s="235">
        <f t="shared" si="25"/>
        <v>0</v>
      </c>
      <c r="BP24" s="235">
        <f t="shared" si="25"/>
        <v>0</v>
      </c>
      <c r="BQ24" s="235">
        <f>IF($BA24="","",INT(BQ$28*AY78))</f>
        <v>0</v>
      </c>
      <c r="BR24" s="62"/>
      <c r="BS24" s="69">
        <f t="shared" si="0"/>
        <v>0</v>
      </c>
      <c r="BT24" s="550">
        <f t="shared" si="1"/>
        <v>0</v>
      </c>
      <c r="BU24" s="550">
        <f>第1期!AQ126*0.5</f>
        <v>0</v>
      </c>
      <c r="BV24" s="556" t="e">
        <f>AVERAGE(BT49:CI49)*初始化表!B$31</f>
        <v>#DIV/0!</v>
      </c>
      <c r="BW24" s="556" t="e">
        <f>$BT24*(AL126-BW$25)/BW$26*初始化表!B$30</f>
        <v>#DIV/0!</v>
      </c>
      <c r="BX24" s="556" t="e">
        <f>$BT24*(AM126-BX$25)/BX$26*初始化表!B$33</f>
        <v>#DIV/0!</v>
      </c>
      <c r="BY24" s="556" t="e">
        <f>$BT24*(AN126-BY$25)/BY$26*初始化表!B$32</f>
        <v>#DIV/0!</v>
      </c>
      <c r="BZ24" s="556" t="e">
        <f>$BT24*(AP126-BZ$25)/BZ$26*初始化表!B$34</f>
        <v>#DIV/0!</v>
      </c>
      <c r="CA24" s="556" t="e">
        <f>$BT$5*(AW126-CA$25)/CA$26*初始化表!B$36</f>
        <v>#DIV/0!</v>
      </c>
      <c r="CB24" s="556" t="e">
        <f t="shared" si="4"/>
        <v>#DIV/0!</v>
      </c>
      <c r="CC24" s="550">
        <f t="shared" si="5"/>
        <v>0</v>
      </c>
      <c r="CD24" s="561" t="e">
        <f t="shared" si="6"/>
        <v>#DIV/0!</v>
      </c>
      <c r="CE24" s="561">
        <f t="shared" si="7"/>
        <v>0</v>
      </c>
      <c r="CF24" s="561">
        <f t="shared" si="8"/>
        <v>0</v>
      </c>
      <c r="CG24" s="453"/>
      <c r="CH24" s="453"/>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c r="DP24" s="228"/>
      <c r="DQ24" s="228"/>
    </row>
    <row r="25" s="61" customFormat="1" ht="16" customHeight="1" spans="1:121">
      <c r="A25" s="475"/>
      <c r="B25" s="476"/>
      <c r="C25" s="476"/>
      <c r="D25" s="476"/>
      <c r="E25" s="476"/>
      <c r="F25" s="476"/>
      <c r="G25" s="73"/>
      <c r="H25" s="269" t="s">
        <v>521</v>
      </c>
      <c r="I25" s="499"/>
      <c r="J25" s="500"/>
      <c r="K25" s="501"/>
      <c r="L25" s="501"/>
      <c r="M25" s="502">
        <f>I25+J25+K25+L25</f>
        <v>0</v>
      </c>
      <c r="N25" s="269" t="s">
        <v>276</v>
      </c>
      <c r="O25" s="107" t="e">
        <f>INT(SUMPRODUCT(V42:Y42,B6:E6)*O6/1000+0.5)*1000</f>
        <v>#DIV/0!</v>
      </c>
      <c r="P25" s="107" t="e">
        <f>INT(SUMPRODUCT(V43:Y43,B7:E7)*P6/1000+0.5)*1000</f>
        <v>#DIV/0!</v>
      </c>
      <c r="Q25" s="107" t="e">
        <f>INT(SUMPRODUCT(V44:Y44,B8:E8)*Q6/1000+0.5)*1000</f>
        <v>#DIV/0!</v>
      </c>
      <c r="R25" s="107" t="e">
        <f>INT(SUMPRODUCT(V45:Y45,B9:E9)*R6/1000+0.5)*1000</f>
        <v>#DIV/0!</v>
      </c>
      <c r="S25" s="131"/>
      <c r="T25" s="120"/>
      <c r="U25" s="269" t="s">
        <v>523</v>
      </c>
      <c r="V25" s="115" t="e">
        <f>第1期!B8</f>
        <v>#DIV/0!</v>
      </c>
      <c r="W25" s="115" t="e">
        <f>第1期!C8</f>
        <v>#DIV/0!</v>
      </c>
      <c r="X25" s="115" t="e">
        <f>第1期!D8</f>
        <v>#DIV/0!</v>
      </c>
      <c r="Y25" s="115" t="e">
        <f>第1期!E8</f>
        <v>#DIV/0!</v>
      </c>
      <c r="Z25" s="102" t="e">
        <f>第1期!F8</f>
        <v>#DIV/0!</v>
      </c>
      <c r="AA25" s="73"/>
      <c r="AB25" s="151" t="s">
        <v>466</v>
      </c>
      <c r="AC25" s="157" t="e">
        <f>AC13/初始化表!$G$17</f>
        <v>#DIV/0!</v>
      </c>
      <c r="AD25" s="157" t="e">
        <f>AD13/初始化表!$G$17</f>
        <v>#DIV/0!</v>
      </c>
      <c r="AE25" s="157" t="e">
        <f>AE13/初始化表!$G$17</f>
        <v>#DIV/0!</v>
      </c>
      <c r="AF25" s="157" t="e">
        <f>AF13/初始化表!$G$17</f>
        <v>#DIV/0!</v>
      </c>
      <c r="AG25" s="74"/>
      <c r="AH25" s="73"/>
      <c r="AI25" s="532"/>
      <c r="AJ25" s="532"/>
      <c r="AK25" s="532"/>
      <c r="AL25" s="532"/>
      <c r="AM25" s="532"/>
      <c r="AN25" s="532"/>
      <c r="AO25" s="370"/>
      <c r="AP25" s="370"/>
      <c r="AQ25" s="371"/>
      <c r="AR25" s="103"/>
      <c r="AS25" s="103"/>
      <c r="AT25" s="103"/>
      <c r="AU25" s="189">
        <f>(AU12*初始化表!E17+AU16*初始化表!F17+AU20*初始化表!G17+AU24*初始化表!H17)/1300</f>
        <v>0</v>
      </c>
      <c r="AV25" s="189">
        <f>(AV12*初始化表!E17+AV16*初始化表!F17+AV20*初始化表!G17+AV24*初始化表!H17)/1300</f>
        <v>0</v>
      </c>
      <c r="AW25" s="189">
        <f>(AW12*初始化表!E17+AW16*初始化表!F17+AW20*初始化表!G17+AW24*初始化表!H17)/1300</f>
        <v>0</v>
      </c>
      <c r="AZ25" s="63"/>
      <c r="BA25" s="539">
        <f t="shared" si="10"/>
        <v>0</v>
      </c>
      <c r="BB25" s="235">
        <f t="shared" si="25"/>
        <v>0</v>
      </c>
      <c r="BC25" s="235">
        <f t="shared" si="25"/>
        <v>0</v>
      </c>
      <c r="BD25" s="235">
        <f t="shared" si="25"/>
        <v>0</v>
      </c>
      <c r="BE25" s="235">
        <f t="shared" si="25"/>
        <v>0</v>
      </c>
      <c r="BF25" s="235">
        <f t="shared" si="25"/>
        <v>0</v>
      </c>
      <c r="BG25" s="235">
        <f t="shared" si="25"/>
        <v>0</v>
      </c>
      <c r="BH25" s="235">
        <f t="shared" si="25"/>
        <v>0</v>
      </c>
      <c r="BI25" s="235">
        <f t="shared" si="25"/>
        <v>0</v>
      </c>
      <c r="BJ25" s="235">
        <f t="shared" si="25"/>
        <v>0</v>
      </c>
      <c r="BK25" s="235">
        <f t="shared" si="25"/>
        <v>0</v>
      </c>
      <c r="BL25" s="235">
        <f t="shared" si="25"/>
        <v>0</v>
      </c>
      <c r="BM25" s="235">
        <f t="shared" si="25"/>
        <v>0</v>
      </c>
      <c r="BN25" s="235">
        <f t="shared" si="25"/>
        <v>0</v>
      </c>
      <c r="BO25" s="235">
        <f t="shared" si="25"/>
        <v>0</v>
      </c>
      <c r="BP25" s="235">
        <f t="shared" si="25"/>
        <v>0</v>
      </c>
      <c r="BQ25" s="235">
        <f>IF($BA25="","",INT(BQ$28*AY79))</f>
        <v>0</v>
      </c>
      <c r="BR25" s="62"/>
      <c r="BS25" s="68" t="s">
        <v>569</v>
      </c>
      <c r="BT25" s="379"/>
      <c r="BU25" s="379"/>
      <c r="BV25" s="379"/>
      <c r="BW25" s="550" t="e">
        <f>SUM(AL107:AL126)/初始化表!$B5</f>
        <v>#DIV/0!</v>
      </c>
      <c r="BX25" s="550" t="e">
        <f>SUM(AM107:AM126)/初始化表!$B5</f>
        <v>#DIV/0!</v>
      </c>
      <c r="BY25" s="550" t="e">
        <f>SUM(AN107:AN126)/初始化表!$B5</f>
        <v>#DIV/0!</v>
      </c>
      <c r="BZ25" s="550" t="e">
        <f>SUM(AP107:AP126)/初始化表!$B5</f>
        <v>#DIV/0!</v>
      </c>
      <c r="CA25" s="550" t="e">
        <f>SUM(AW107:AW126)/初始化表!$B5</f>
        <v>#DIV/0!</v>
      </c>
      <c r="CB25" s="379"/>
      <c r="CC25" s="379"/>
      <c r="CD25" s="379"/>
      <c r="CE25" s="379"/>
      <c r="CF25" s="379"/>
      <c r="CJ25" s="453"/>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row>
    <row r="26" s="61" customFormat="1" ht="16" customHeight="1" spans="1:121">
      <c r="A26" s="269" t="s">
        <v>422</v>
      </c>
      <c r="B26" s="270"/>
      <c r="C26" s="270"/>
      <c r="D26" s="270"/>
      <c r="E26" s="270"/>
      <c r="F26" s="270"/>
      <c r="G26" s="73"/>
      <c r="H26" s="269" t="s">
        <v>522</v>
      </c>
      <c r="I26" s="503"/>
      <c r="J26" s="93"/>
      <c r="K26" s="93"/>
      <c r="L26" s="93"/>
      <c r="M26" s="504">
        <f t="shared" ref="M26:M28" si="26">I26+J26+K26+L26</f>
        <v>0</v>
      </c>
      <c r="N26" s="269" t="s">
        <v>280</v>
      </c>
      <c r="O26" s="107" t="e">
        <f>INT(SUMPRODUCT(V42:V45,B6:B9)*O8/1000+0.5)*1000</f>
        <v>#DIV/0!</v>
      </c>
      <c r="P26" s="107" t="e">
        <f>INT(SUMPRODUCT(W42:W45,C6:C9)*P8/1000+0.5)*1000</f>
        <v>#DIV/0!</v>
      </c>
      <c r="Q26" s="107" t="e">
        <f>INT(SUMPRODUCT(X42:X45,D6:D9)*Q8/1000+0.5)*1000</f>
        <v>#DIV/0!</v>
      </c>
      <c r="R26" s="107" t="e">
        <f>INT(SUMPRODUCT(Y42:Y45,E6:E9)*R8/1000+0.5)*1000</f>
        <v>#DIV/0!</v>
      </c>
      <c r="S26" s="131"/>
      <c r="T26" s="120"/>
      <c r="U26" s="269" t="s">
        <v>524</v>
      </c>
      <c r="V26" s="115" t="e">
        <f>第1期!B9</f>
        <v>#DIV/0!</v>
      </c>
      <c r="W26" s="115" t="e">
        <f>第1期!C9</f>
        <v>#DIV/0!</v>
      </c>
      <c r="X26" s="115" t="e">
        <f>第1期!D9</f>
        <v>#DIV/0!</v>
      </c>
      <c r="Y26" s="115" t="e">
        <f>第1期!E9</f>
        <v>#DIV/0!</v>
      </c>
      <c r="Z26" s="102" t="e">
        <f>第1期!F9</f>
        <v>#DIV/0!</v>
      </c>
      <c r="AA26" s="73"/>
      <c r="AB26" s="151" t="s">
        <v>468</v>
      </c>
      <c r="AC26" s="157" t="e">
        <f>AC14/初始化表!$H$17</f>
        <v>#DIV/0!</v>
      </c>
      <c r="AD26" s="157" t="e">
        <f>AD14/初始化表!$H$17</f>
        <v>#DIV/0!</v>
      </c>
      <c r="AE26" s="157" t="e">
        <f>AE14/初始化表!$H$17</f>
        <v>#DIV/0!</v>
      </c>
      <c r="AF26" s="157" t="e">
        <f>AF14/初始化表!$H$17</f>
        <v>#DIV/0!</v>
      </c>
      <c r="AG26" s="74"/>
      <c r="AH26" s="73"/>
      <c r="AI26" s="528"/>
      <c r="AJ26" s="529">
        <f>I56</f>
        <v>0</v>
      </c>
      <c r="AK26" s="533"/>
      <c r="AL26" s="533"/>
      <c r="AM26" s="529"/>
      <c r="AN26" s="534">
        <f>O43</f>
        <v>0.95</v>
      </c>
      <c r="AO26" s="370"/>
      <c r="AP26" s="370"/>
      <c r="AQ26" s="371"/>
      <c r="AR26" s="103"/>
      <c r="AS26" s="190" t="s">
        <v>449</v>
      </c>
      <c r="AT26" s="189">
        <f>(SUM(AM9:AM12)*初始化表!E17+SUM(AM13:AM16)*初始化表!F17+SUM(AM17:AM20)*初始化表!G17+SUM(AM21:AM24)*初始化表!H17)/1300</f>
        <v>0</v>
      </c>
      <c r="AU26" s="103"/>
      <c r="AV26" s="103"/>
      <c r="AW26" s="103"/>
      <c r="AZ26" s="63"/>
      <c r="BA26" s="539">
        <f t="shared" si="10"/>
        <v>0</v>
      </c>
      <c r="BB26" s="235">
        <f t="shared" si="25"/>
        <v>0</v>
      </c>
      <c r="BC26" s="235">
        <f t="shared" si="25"/>
        <v>0</v>
      </c>
      <c r="BD26" s="235">
        <f t="shared" si="25"/>
        <v>0</v>
      </c>
      <c r="BE26" s="235">
        <f t="shared" si="25"/>
        <v>0</v>
      </c>
      <c r="BF26" s="235">
        <f t="shared" si="25"/>
        <v>0</v>
      </c>
      <c r="BG26" s="235">
        <f t="shared" si="25"/>
        <v>0</v>
      </c>
      <c r="BH26" s="235">
        <f t="shared" si="25"/>
        <v>0</v>
      </c>
      <c r="BI26" s="235">
        <f t="shared" si="25"/>
        <v>0</v>
      </c>
      <c r="BJ26" s="235">
        <f t="shared" si="25"/>
        <v>0</v>
      </c>
      <c r="BK26" s="235">
        <f t="shared" si="25"/>
        <v>0</v>
      </c>
      <c r="BL26" s="235">
        <f t="shared" si="25"/>
        <v>0</v>
      </c>
      <c r="BM26" s="235">
        <f t="shared" si="25"/>
        <v>0</v>
      </c>
      <c r="BN26" s="235">
        <f t="shared" si="25"/>
        <v>0</v>
      </c>
      <c r="BO26" s="235">
        <f t="shared" si="25"/>
        <v>0</v>
      </c>
      <c r="BP26" s="235">
        <f t="shared" si="25"/>
        <v>0</v>
      </c>
      <c r="BQ26" s="235">
        <f>IF($BA26="","",INT(BQ$28*AY80))</f>
        <v>0</v>
      </c>
      <c r="BR26" s="62"/>
      <c r="BS26" s="68" t="s">
        <v>570</v>
      </c>
      <c r="BT26" s="379"/>
      <c r="BU26" s="379"/>
      <c r="BV26" s="379"/>
      <c r="BW26" s="557" t="e">
        <f>STDEV.P(AL107:AL126)</f>
        <v>#DIV/0!</v>
      </c>
      <c r="BX26" s="557" t="e">
        <f>STDEV.P(AM107:AM126)</f>
        <v>#DIV/0!</v>
      </c>
      <c r="BY26" s="557" t="e">
        <f>STDEV.P(AN107:AN126)</f>
        <v>#DIV/0!</v>
      </c>
      <c r="BZ26" s="557" t="e">
        <f>STDEV.P(AP107:AP126)</f>
        <v>#DIV/0!</v>
      </c>
      <c r="CA26" s="558" t="e">
        <f>STDEV.P(AW107:AW126)</f>
        <v>#DIV/0!</v>
      </c>
      <c r="CB26" s="379"/>
      <c r="CC26" s="379"/>
      <c r="CD26" s="379"/>
      <c r="CE26" s="379"/>
      <c r="CF26" s="379"/>
      <c r="CJ26" s="453"/>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row>
    <row r="27" s="61" customFormat="1" ht="16" customHeight="1" spans="1:121">
      <c r="A27" s="269" t="s">
        <v>571</v>
      </c>
      <c r="B27" s="270"/>
      <c r="C27" s="269" t="s">
        <v>572</v>
      </c>
      <c r="D27" s="269" t="s">
        <v>573</v>
      </c>
      <c r="E27" s="269" t="s">
        <v>574</v>
      </c>
      <c r="F27" s="269" t="s">
        <v>575</v>
      </c>
      <c r="G27" s="73"/>
      <c r="H27" s="269" t="s">
        <v>523</v>
      </c>
      <c r="I27" s="503"/>
      <c r="J27" s="93"/>
      <c r="K27" s="505"/>
      <c r="L27" s="93"/>
      <c r="M27" s="504">
        <f t="shared" si="26"/>
        <v>0</v>
      </c>
      <c r="N27" s="269" t="s">
        <v>576</v>
      </c>
      <c r="O27" s="269" t="s">
        <v>565</v>
      </c>
      <c r="P27" s="269" t="s">
        <v>566</v>
      </c>
      <c r="Q27" s="269" t="s">
        <v>567</v>
      </c>
      <c r="R27" s="269" t="s">
        <v>568</v>
      </c>
      <c r="S27" s="121"/>
      <c r="T27" s="120"/>
      <c r="U27" s="269" t="s">
        <v>280</v>
      </c>
      <c r="V27" s="102" t="e">
        <f>第1期!B10</f>
        <v>#DIV/0!</v>
      </c>
      <c r="W27" s="102" t="e">
        <f>第1期!C10</f>
        <v>#DIV/0!</v>
      </c>
      <c r="X27" s="102" t="e">
        <f>第1期!D10</f>
        <v>#DIV/0!</v>
      </c>
      <c r="Y27" s="102" t="e">
        <f>第1期!E10</f>
        <v>#DIV/0!</v>
      </c>
      <c r="Z27" s="115"/>
      <c r="AA27" s="73"/>
      <c r="AB27" s="155"/>
      <c r="AC27" s="155"/>
      <c r="AD27" s="155"/>
      <c r="AE27" s="155"/>
      <c r="AF27" s="155"/>
      <c r="AG27" s="155"/>
      <c r="AH27" s="73"/>
      <c r="AI27" s="528"/>
      <c r="AJ27" s="529">
        <f>J56</f>
        <v>0</v>
      </c>
      <c r="AK27" s="533"/>
      <c r="AL27" s="533"/>
      <c r="AM27" s="529"/>
      <c r="AN27" s="534">
        <f>P43</f>
        <v>0.95</v>
      </c>
      <c r="AO27" s="370"/>
      <c r="AP27" s="370"/>
      <c r="AQ27" s="371"/>
      <c r="AR27" s="103"/>
      <c r="AS27" s="190" t="s">
        <v>453</v>
      </c>
      <c r="AT27" s="189">
        <f>(AR12*初始化表!E17+AR16*初始化表!F17+AR20*初始化表!G17+AR24*初始化表!H17)/1300</f>
        <v>0</v>
      </c>
      <c r="AU27" s="103"/>
      <c r="AV27" s="103"/>
      <c r="AW27" s="103"/>
      <c r="AZ27" s="63"/>
      <c r="BA27" s="269" t="s">
        <v>577</v>
      </c>
      <c r="BB27" s="540">
        <f t="shared" ref="BB27:BQ27" si="27">INT(SUMPRODUCT(AJ37:AJ56,AJ61:AJ80))</f>
        <v>0</v>
      </c>
      <c r="BC27" s="540">
        <f t="shared" si="27"/>
        <v>0</v>
      </c>
      <c r="BD27" s="540">
        <f t="shared" si="27"/>
        <v>0</v>
      </c>
      <c r="BE27" s="540">
        <f t="shared" si="27"/>
        <v>0</v>
      </c>
      <c r="BF27" s="540">
        <f t="shared" si="27"/>
        <v>0</v>
      </c>
      <c r="BG27" s="540">
        <f t="shared" si="27"/>
        <v>0</v>
      </c>
      <c r="BH27" s="540">
        <f t="shared" si="27"/>
        <v>0</v>
      </c>
      <c r="BI27" s="540">
        <f t="shared" si="27"/>
        <v>0</v>
      </c>
      <c r="BJ27" s="540">
        <f t="shared" si="27"/>
        <v>0</v>
      </c>
      <c r="BK27" s="540">
        <f t="shared" si="27"/>
        <v>0</v>
      </c>
      <c r="BL27" s="540">
        <f t="shared" si="27"/>
        <v>0</v>
      </c>
      <c r="BM27" s="540">
        <f t="shared" si="27"/>
        <v>0</v>
      </c>
      <c r="BN27" s="540">
        <f t="shared" si="27"/>
        <v>0</v>
      </c>
      <c r="BO27" s="540">
        <f t="shared" si="27"/>
        <v>0</v>
      </c>
      <c r="BP27" s="540">
        <f t="shared" si="27"/>
        <v>0</v>
      </c>
      <c r="BQ27" s="540">
        <f t="shared" si="27"/>
        <v>0</v>
      </c>
      <c r="BR27" s="62"/>
      <c r="BS27" s="551" t="s">
        <v>578</v>
      </c>
      <c r="BT27" s="551"/>
      <c r="BU27" s="551"/>
      <c r="BV27" s="551"/>
      <c r="BW27" s="559" t="e">
        <f>100000/BW26*初始化表!B30</f>
        <v>#DIV/0!</v>
      </c>
      <c r="BX27" s="559" t="e">
        <f>100000/BX26*初始化表!B33</f>
        <v>#DIV/0!</v>
      </c>
      <c r="BY27" s="559" t="e">
        <f>100000/BY26*初始化表!B32</f>
        <v>#DIV/0!</v>
      </c>
      <c r="BZ27" s="559" t="e">
        <f>100000/BZ26*初始化表!B34</f>
        <v>#DIV/0!</v>
      </c>
      <c r="CA27" s="560"/>
      <c r="CB27" s="560"/>
      <c r="CC27" s="560"/>
      <c r="CD27" s="560"/>
      <c r="CE27" s="560"/>
      <c r="CF27" s="560"/>
      <c r="CG27" s="62"/>
      <c r="CH27" s="62"/>
      <c r="CI27" s="62"/>
      <c r="CJ27" s="453"/>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row>
    <row r="28" s="61" customFormat="1" ht="16" customHeight="1" spans="1:121">
      <c r="A28" s="269" t="s">
        <v>361</v>
      </c>
      <c r="B28" s="270"/>
      <c r="C28" s="477" t="e">
        <f>第1期!F64</f>
        <v>#DIV/0!</v>
      </c>
      <c r="D28" s="478"/>
      <c r="E28" s="478"/>
      <c r="F28" s="478"/>
      <c r="G28" s="73"/>
      <c r="H28" s="269" t="s">
        <v>524</v>
      </c>
      <c r="I28" s="506"/>
      <c r="J28" s="507"/>
      <c r="K28" s="505"/>
      <c r="L28" s="505"/>
      <c r="M28" s="504">
        <f t="shared" si="26"/>
        <v>0</v>
      </c>
      <c r="N28" s="269" t="s">
        <v>276</v>
      </c>
      <c r="O28" s="93" t="e">
        <f>O25</f>
        <v>#DIV/0!</v>
      </c>
      <c r="P28" s="93" t="e">
        <f t="shared" ref="P28:R28" si="28">P25</f>
        <v>#DIV/0!</v>
      </c>
      <c r="Q28" s="93" t="e">
        <f t="shared" si="28"/>
        <v>#DIV/0!</v>
      </c>
      <c r="R28" s="93" t="e">
        <f t="shared" si="28"/>
        <v>#DIV/0!</v>
      </c>
      <c r="S28" s="131"/>
      <c r="T28" s="120"/>
      <c r="U28" s="123"/>
      <c r="V28" s="74"/>
      <c r="W28" s="74"/>
      <c r="X28" s="74"/>
      <c r="Y28" s="74"/>
      <c r="Z28" s="74"/>
      <c r="AA28" s="73"/>
      <c r="AB28" s="154" t="s">
        <v>579</v>
      </c>
      <c r="AC28" s="154" t="s">
        <v>513</v>
      </c>
      <c r="AD28" s="154" t="s">
        <v>514</v>
      </c>
      <c r="AE28" s="154" t="s">
        <v>515</v>
      </c>
      <c r="AF28" s="154" t="s">
        <v>516</v>
      </c>
      <c r="AG28" s="74"/>
      <c r="AH28" s="73"/>
      <c r="AI28" s="528"/>
      <c r="AJ28" s="529">
        <f>K56</f>
        <v>0</v>
      </c>
      <c r="AK28" s="533"/>
      <c r="AL28" s="533"/>
      <c r="AM28" s="529"/>
      <c r="AN28" s="534">
        <f>Q43</f>
        <v>0.95</v>
      </c>
      <c r="AO28" s="370"/>
      <c r="AP28" s="370"/>
      <c r="AQ28" s="371"/>
      <c r="AR28" s="103"/>
      <c r="AS28" s="190" t="s">
        <v>454</v>
      </c>
      <c r="AT28" s="189">
        <f>(AT12*初始化表!E17+AT16*初始化表!F17+AT20*初始化表!G17+AT24*初始化表!H17)/1300</f>
        <v>0</v>
      </c>
      <c r="AU28" s="103"/>
      <c r="AV28" s="190" t="s">
        <v>580</v>
      </c>
      <c r="AW28" s="189">
        <f>(SUM(I25:L25)*初始化表!E17+SUM(I26:L26)*初始化表!F17+SUM(I27:L27)*初始化表!G17+SUM(I28:L28)*初始化表!H17)/1300</f>
        <v>0</v>
      </c>
      <c r="AZ28" s="63"/>
      <c r="BA28" s="269" t="s">
        <v>581</v>
      </c>
      <c r="BB28" s="541">
        <f>IF(ISERROR(AM9/AN9),0,AM9/AN9)</f>
        <v>0</v>
      </c>
      <c r="BC28" s="541">
        <f>IF(ISERROR($AM$10/$AN$10),0,$AM$10/$AN$10)</f>
        <v>0</v>
      </c>
      <c r="BD28" s="541">
        <f>IF(ISERROR($AM$11/$AN$11),0,$AM$11/$AN$11)</f>
        <v>0</v>
      </c>
      <c r="BE28" s="541">
        <f>IF(ISERROR($AM$12/$AN$12),0,$AM$12/$AN$12)</f>
        <v>0</v>
      </c>
      <c r="BF28" s="541">
        <f>IF(ISERROR($AM$13/$AN$13),0,$AM$13/$AN$13)</f>
        <v>0</v>
      </c>
      <c r="BG28" s="541">
        <f>IF(ISERROR($AM$14/$AN$14),0,$AM$14/$AN$14)</f>
        <v>0</v>
      </c>
      <c r="BH28" s="541">
        <f>IF(ISERROR($AM$15/$AN$15),0,$AM$15/$AN$15)</f>
        <v>0</v>
      </c>
      <c r="BI28" s="541">
        <f>IF(ISERROR($AM$16/$AN$16),0,$AM$16/$AN$16)</f>
        <v>0</v>
      </c>
      <c r="BJ28" s="541">
        <f>IF(ISERROR($AM$17/$AN$17),0,$AM$17/$AN$17)</f>
        <v>0</v>
      </c>
      <c r="BK28" s="541">
        <f>IF(ISERROR($AM$18/$AN$18),0,$AM$18/$AN$18)</f>
        <v>0</v>
      </c>
      <c r="BL28" s="541">
        <f>IF(ISERROR($AM$19/$AN$19),0,$AM$19/$AN$19)</f>
        <v>0</v>
      </c>
      <c r="BM28" s="541">
        <f>IF(ISERROR($AM$20/$AN$20),0,$AM$20/$AN$20)</f>
        <v>0</v>
      </c>
      <c r="BN28" s="541">
        <f>IF(ISERROR($AM$21/$AN$21),0,$AM$21/$AN$21)</f>
        <v>0</v>
      </c>
      <c r="BO28" s="541">
        <f>IF(ISERROR($AM$22/$AN$22),0,$AM$22/$AN$22)</f>
        <v>0</v>
      </c>
      <c r="BP28" s="541">
        <f>IF(ISERROR($AM$23/$AN$23),0,$AM$23/$AN$23)</f>
        <v>0</v>
      </c>
      <c r="BQ28" s="541">
        <f>IF(ISERROR($AM$24/$AN$24),0,$AM$24/$AN$24)</f>
        <v>0</v>
      </c>
      <c r="BR28" s="62"/>
      <c r="BS28" s="269" t="s">
        <v>37</v>
      </c>
      <c r="BT28" s="269" t="s">
        <v>521</v>
      </c>
      <c r="BU28" s="270"/>
      <c r="BV28" s="270"/>
      <c r="BW28" s="270"/>
      <c r="BX28" s="269" t="s">
        <v>522</v>
      </c>
      <c r="BY28" s="270"/>
      <c r="BZ28" s="270"/>
      <c r="CA28" s="270"/>
      <c r="CB28" s="269" t="s">
        <v>523</v>
      </c>
      <c r="CC28" s="270"/>
      <c r="CD28" s="270"/>
      <c r="CE28" s="270"/>
      <c r="CF28" s="269" t="s">
        <v>524</v>
      </c>
      <c r="CG28" s="270"/>
      <c r="CH28" s="270"/>
      <c r="CI28" s="270"/>
      <c r="CJ28" s="453"/>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row>
    <row r="29" s="61" customFormat="1" ht="16" customHeight="1" spans="1:121">
      <c r="A29" s="269" t="s">
        <v>309</v>
      </c>
      <c r="B29" s="270"/>
      <c r="C29" s="106">
        <f>B24</f>
        <v>0</v>
      </c>
      <c r="D29" s="79"/>
      <c r="E29" s="79"/>
      <c r="F29" s="79" t="e">
        <f>C28+C29</f>
        <v>#DIV/0!</v>
      </c>
      <c r="G29" s="73"/>
      <c r="H29" s="354" t="s">
        <v>582</v>
      </c>
      <c r="I29" s="508">
        <f>(H17-C22+初始化表!H4*B22)-((B17+D17)*初始化表!E18+(B18+D18)*初始化表!F18+(B19+D19)*初始化表!G18+(B20+D20)*初始化表!H18)/520</f>
        <v>0</v>
      </c>
      <c r="J29" s="354" t="s">
        <v>583</v>
      </c>
      <c r="K29" s="509">
        <f>H43-(SUM(B17:E17)*初始化表!E19+SUM(B18:E18)*初始化表!F19+SUM(B19:E19)*初始化表!G19+SUM(B20:E20)*初始化表!H19)</f>
        <v>0</v>
      </c>
      <c r="L29" s="510"/>
      <c r="M29" s="511"/>
      <c r="N29" s="269" t="s">
        <v>280</v>
      </c>
      <c r="O29" s="93" t="e">
        <f>O26</f>
        <v>#DIV/0!</v>
      </c>
      <c r="P29" s="93" t="e">
        <f t="shared" ref="P29:R29" si="29">P26</f>
        <v>#DIV/0!</v>
      </c>
      <c r="Q29" s="93" t="e">
        <f t="shared" si="29"/>
        <v>#DIV/0!</v>
      </c>
      <c r="R29" s="93" t="e">
        <f t="shared" si="29"/>
        <v>#DIV/0!</v>
      </c>
      <c r="S29" s="524"/>
      <c r="T29" s="120"/>
      <c r="U29" s="269" t="s">
        <v>584</v>
      </c>
      <c r="V29" s="269" t="s">
        <v>513</v>
      </c>
      <c r="W29" s="269" t="s">
        <v>514</v>
      </c>
      <c r="X29" s="269" t="s">
        <v>515</v>
      </c>
      <c r="Y29" s="269" t="s">
        <v>516</v>
      </c>
      <c r="Z29" s="74"/>
      <c r="AA29" s="73"/>
      <c r="AB29" s="154" t="s">
        <v>198</v>
      </c>
      <c r="AC29" s="156" t="e">
        <f t="shared" ref="AC29:AF32" si="30">AC11/AD5</f>
        <v>#DIV/0!</v>
      </c>
      <c r="AD29" s="156" t="e">
        <f t="shared" si="30"/>
        <v>#DIV/0!</v>
      </c>
      <c r="AE29" s="156" t="e">
        <f t="shared" si="30"/>
        <v>#DIV/0!</v>
      </c>
      <c r="AF29" s="156" t="e">
        <f t="shared" si="30"/>
        <v>#DIV/0!</v>
      </c>
      <c r="AG29" s="74"/>
      <c r="AH29" s="73"/>
      <c r="AI29" s="528"/>
      <c r="AJ29" s="529">
        <f>L56</f>
        <v>0</v>
      </c>
      <c r="AK29" s="533"/>
      <c r="AL29" s="533"/>
      <c r="AM29" s="529"/>
      <c r="AN29" s="534">
        <f>R43</f>
        <v>0.95</v>
      </c>
      <c r="AO29" s="370"/>
      <c r="AP29" s="370"/>
      <c r="AQ29" s="371"/>
      <c r="AR29" s="103"/>
      <c r="AS29" s="190" t="s">
        <v>455</v>
      </c>
      <c r="AT29" s="189">
        <f>(SUM(AK9:AK12)*初始化表!E17+SUM(AK13:AK16)*初始化表!F17+SUM(AK17:AK20)*初始化表!G17+SUM(AK21:AK24)*初始化表!H17)/1300</f>
        <v>0</v>
      </c>
      <c r="AU29" s="103"/>
      <c r="AV29" s="190"/>
      <c r="AW29" s="189"/>
      <c r="AZ29" s="63"/>
      <c r="BA29" s="328" t="s">
        <v>585</v>
      </c>
      <c r="BB29" s="77" t="e">
        <f>B6</f>
        <v>#DIV/0!</v>
      </c>
      <c r="BC29" s="77" t="e">
        <f>C6</f>
        <v>#DIV/0!</v>
      </c>
      <c r="BD29" s="77" t="e">
        <f>D6</f>
        <v>#DIV/0!</v>
      </c>
      <c r="BE29" s="77" t="e">
        <f>E6</f>
        <v>#DIV/0!</v>
      </c>
      <c r="BF29" s="77" t="e">
        <f>B7</f>
        <v>#DIV/0!</v>
      </c>
      <c r="BG29" s="77" t="e">
        <f>C7</f>
        <v>#DIV/0!</v>
      </c>
      <c r="BH29" s="77" t="e">
        <f>D7</f>
        <v>#DIV/0!</v>
      </c>
      <c r="BI29" s="77" t="e">
        <f>E7</f>
        <v>#DIV/0!</v>
      </c>
      <c r="BJ29" s="77" t="e">
        <f>B8</f>
        <v>#DIV/0!</v>
      </c>
      <c r="BK29" s="77" t="e">
        <f>C8</f>
        <v>#DIV/0!</v>
      </c>
      <c r="BL29" s="77" t="e">
        <f>D8</f>
        <v>#DIV/0!</v>
      </c>
      <c r="BM29" s="77" t="e">
        <f>E8</f>
        <v>#DIV/0!</v>
      </c>
      <c r="BN29" s="77" t="e">
        <f>B9</f>
        <v>#DIV/0!</v>
      </c>
      <c r="BO29" s="77" t="e">
        <f>C9</f>
        <v>#DIV/0!</v>
      </c>
      <c r="BP29" s="77" t="e">
        <f>D9</f>
        <v>#DIV/0!</v>
      </c>
      <c r="BQ29" s="77" t="e">
        <f>E9</f>
        <v>#DIV/0!</v>
      </c>
      <c r="BR29" s="62"/>
      <c r="BS29" s="270"/>
      <c r="BT29" s="269" t="s">
        <v>513</v>
      </c>
      <c r="BU29" s="269" t="s">
        <v>514</v>
      </c>
      <c r="BV29" s="269" t="s">
        <v>515</v>
      </c>
      <c r="BW29" s="269" t="s">
        <v>516</v>
      </c>
      <c r="BX29" s="269" t="s">
        <v>513</v>
      </c>
      <c r="BY29" s="269" t="s">
        <v>514</v>
      </c>
      <c r="BZ29" s="269" t="s">
        <v>515</v>
      </c>
      <c r="CA29" s="269" t="s">
        <v>516</v>
      </c>
      <c r="CB29" s="269" t="s">
        <v>513</v>
      </c>
      <c r="CC29" s="269" t="s">
        <v>514</v>
      </c>
      <c r="CD29" s="269" t="s">
        <v>515</v>
      </c>
      <c r="CE29" s="269" t="s">
        <v>516</v>
      </c>
      <c r="CF29" s="269" t="s">
        <v>513</v>
      </c>
      <c r="CG29" s="269" t="s">
        <v>514</v>
      </c>
      <c r="CH29" s="269" t="s">
        <v>515</v>
      </c>
      <c r="CI29" s="269" t="s">
        <v>516</v>
      </c>
      <c r="CJ29" s="453"/>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row>
    <row r="30" s="61" customFormat="1" ht="16" customHeight="1" spans="1:121">
      <c r="A30" s="269" t="s">
        <v>362</v>
      </c>
      <c r="B30" s="270"/>
      <c r="C30" s="106">
        <f>C24</f>
        <v>0</v>
      </c>
      <c r="D30" s="79"/>
      <c r="E30" s="79"/>
      <c r="F30" s="79" t="e">
        <f t="shared" ref="F30:F38" si="31">F29+C30</f>
        <v>#DIV/0!</v>
      </c>
      <c r="G30" s="73"/>
      <c r="H30" s="354" t="s">
        <v>586</v>
      </c>
      <c r="I30" s="354" t="s">
        <v>587</v>
      </c>
      <c r="J30" s="354" t="s">
        <v>588</v>
      </c>
      <c r="K30" s="354" t="s">
        <v>589</v>
      </c>
      <c r="L30" s="354" t="s">
        <v>590</v>
      </c>
      <c r="M30" s="511"/>
      <c r="N30" s="74"/>
      <c r="O30" s="74"/>
      <c r="P30" s="74"/>
      <c r="Q30" s="74"/>
      <c r="R30" s="74"/>
      <c r="S30" s="74"/>
      <c r="T30" s="120"/>
      <c r="U30" s="269" t="s">
        <v>521</v>
      </c>
      <c r="V30" s="115">
        <f>第1期!BB27</f>
        <v>0</v>
      </c>
      <c r="W30" s="115">
        <f>第1期!BC27</f>
        <v>0</v>
      </c>
      <c r="X30" s="115">
        <f>第1期!BD27</f>
        <v>0</v>
      </c>
      <c r="Y30" s="115">
        <f>第1期!BE27</f>
        <v>0</v>
      </c>
      <c r="Z30" s="74"/>
      <c r="AA30" s="73"/>
      <c r="AB30" s="154" t="s">
        <v>202</v>
      </c>
      <c r="AC30" s="156" t="e">
        <f t="shared" si="30"/>
        <v>#DIV/0!</v>
      </c>
      <c r="AD30" s="156" t="e">
        <f t="shared" si="30"/>
        <v>#DIV/0!</v>
      </c>
      <c r="AE30" s="156" t="e">
        <f t="shared" si="30"/>
        <v>#DIV/0!</v>
      </c>
      <c r="AF30" s="156" t="e">
        <f t="shared" si="30"/>
        <v>#DIV/0!</v>
      </c>
      <c r="AG30" s="74"/>
      <c r="AH30" s="73"/>
      <c r="AR30" s="103"/>
      <c r="AS30" s="190" t="s">
        <v>456</v>
      </c>
      <c r="AT30" s="189">
        <f>(AJ26*初始化表!E17+AJ27*初始化表!F17+AJ28*初始化表!G17+AJ29*初始化表!H17)/1300</f>
        <v>0</v>
      </c>
      <c r="AU30" s="103"/>
      <c r="AV30" s="103"/>
      <c r="AW30" s="103"/>
      <c r="AZ30" s="63"/>
      <c r="BA30" s="269" t="s">
        <v>37</v>
      </c>
      <c r="BB30" s="269" t="s">
        <v>591</v>
      </c>
      <c r="BC30" s="269" t="s">
        <v>592</v>
      </c>
      <c r="BD30" s="269" t="s">
        <v>593</v>
      </c>
      <c r="BE30" s="269" t="s">
        <v>594</v>
      </c>
      <c r="BF30" s="269" t="s">
        <v>595</v>
      </c>
      <c r="BG30" s="269" t="s">
        <v>596</v>
      </c>
      <c r="BH30" s="269" t="s">
        <v>597</v>
      </c>
      <c r="BI30" s="372" t="s">
        <v>598</v>
      </c>
      <c r="BJ30" s="521" t="s">
        <v>599</v>
      </c>
      <c r="BK30" s="521" t="s">
        <v>600</v>
      </c>
      <c r="BM30" s="269" t="s">
        <v>601</v>
      </c>
      <c r="BN30" s="269"/>
      <c r="BO30" s="269"/>
      <c r="BP30" s="269"/>
      <c r="BQ30" s="269"/>
      <c r="BR30" s="62"/>
      <c r="BS30" s="539">
        <f t="shared" ref="BS30:BS49" si="32">BS5</f>
        <v>0</v>
      </c>
      <c r="BT30" s="552" t="e">
        <f t="shared" ref="BT30:CI45" si="33">$BT5*(AJ61-BT$50)/BT$51</f>
        <v>#DIV/0!</v>
      </c>
      <c r="BU30" s="552" t="e">
        <f t="shared" si="33"/>
        <v>#DIV/0!</v>
      </c>
      <c r="BV30" s="552" t="e">
        <f t="shared" si="33"/>
        <v>#DIV/0!</v>
      </c>
      <c r="BW30" s="552" t="e">
        <f t="shared" si="33"/>
        <v>#DIV/0!</v>
      </c>
      <c r="BX30" s="552" t="e">
        <f t="shared" si="33"/>
        <v>#DIV/0!</v>
      </c>
      <c r="BY30" s="552" t="e">
        <f t="shared" si="33"/>
        <v>#DIV/0!</v>
      </c>
      <c r="BZ30" s="552" t="e">
        <f t="shared" si="33"/>
        <v>#DIV/0!</v>
      </c>
      <c r="CA30" s="552" t="e">
        <f t="shared" si="33"/>
        <v>#DIV/0!</v>
      </c>
      <c r="CB30" s="552" t="e">
        <f t="shared" si="33"/>
        <v>#DIV/0!</v>
      </c>
      <c r="CC30" s="552" t="e">
        <f t="shared" si="33"/>
        <v>#DIV/0!</v>
      </c>
      <c r="CD30" s="552" t="e">
        <f t="shared" si="33"/>
        <v>#DIV/0!</v>
      </c>
      <c r="CE30" s="552" t="e">
        <f t="shared" si="33"/>
        <v>#DIV/0!</v>
      </c>
      <c r="CF30" s="552" t="e">
        <f t="shared" si="33"/>
        <v>#DIV/0!</v>
      </c>
      <c r="CG30" s="552" t="e">
        <f t="shared" si="33"/>
        <v>#DIV/0!</v>
      </c>
      <c r="CH30" s="552" t="e">
        <f t="shared" si="33"/>
        <v>#DIV/0!</v>
      </c>
      <c r="CI30" s="552" t="e">
        <f t="shared" si="33"/>
        <v>#DIV/0!</v>
      </c>
      <c r="CJ30" s="453"/>
      <c r="CK30" s="228"/>
      <c r="CL30" s="228"/>
      <c r="CM30" s="228"/>
      <c r="CN30" s="228"/>
      <c r="CO30" s="228"/>
      <c r="CP30" s="228"/>
      <c r="CQ30" s="228"/>
      <c r="CR30" s="228"/>
      <c r="CS30" s="228"/>
      <c r="CT30" s="228"/>
      <c r="CU30" s="228"/>
      <c r="CV30" s="228"/>
      <c r="CW30" s="228"/>
      <c r="CX30" s="228"/>
      <c r="CY30" s="228"/>
      <c r="CZ30" s="228"/>
      <c r="DA30" s="228"/>
      <c r="DB30" s="228"/>
      <c r="DC30" s="228"/>
      <c r="DD30" s="228"/>
      <c r="DE30" s="228"/>
      <c r="DF30" s="228"/>
      <c r="DG30" s="228"/>
      <c r="DH30" s="228"/>
      <c r="DI30" s="228"/>
      <c r="DJ30" s="228"/>
      <c r="DK30" s="228"/>
      <c r="DL30" s="228"/>
      <c r="DM30" s="228"/>
      <c r="DN30" s="228"/>
      <c r="DO30" s="228"/>
      <c r="DP30" s="228"/>
      <c r="DQ30" s="228"/>
    </row>
    <row r="31" s="61" customFormat="1" ht="16" customHeight="1" spans="1:121">
      <c r="A31" s="269" t="s">
        <v>363</v>
      </c>
      <c r="B31" s="270"/>
      <c r="C31" s="106">
        <f>-N35*5%</f>
        <v>0</v>
      </c>
      <c r="D31" s="79"/>
      <c r="E31" s="79"/>
      <c r="F31" s="79" t="e">
        <f t="shared" si="31"/>
        <v>#DIV/0!</v>
      </c>
      <c r="G31" s="73"/>
      <c r="H31" s="479" t="e">
        <f>N49-(B17*初始化表!E17+B18*初始化表!F17+B19*初始化表!G17+B20*初始化表!H17)/520</f>
        <v>#DIV/0!</v>
      </c>
      <c r="I31" s="479" t="e">
        <f>N49-(D17*初始化表!E17+D18*初始化表!F17+D19*初始化表!G17+D20*初始化表!H17)/520-(C17*初始化表!E17+C18*初始化表!F17+C19*初始化表!G17+C20*初始化表!H17)/260</f>
        <v>#DIV/0!</v>
      </c>
      <c r="J31" s="479" t="e">
        <f>N49-(E17*初始化表!E17+E18*初始化表!F17+E19*初始化表!G17+E20*初始化表!H17)/260</f>
        <v>#DIV/0!</v>
      </c>
      <c r="K31" s="479">
        <f>((D17-2*E17)*初始化表!E18+(D18-2*E18)*初始化表!F18+(D19-2*E19)*初始化表!G18+(D20-2*E20)*初始化表!H18)/520</f>
        <v>0</v>
      </c>
      <c r="L31" s="479">
        <f>((B17-2*C17)*初始化表!E18+(B18-2*C18)*初始化表!F18+(B19-2*C19)*初始化表!G18+(B20-2*C20)*初始化表!H18)/520</f>
        <v>0</v>
      </c>
      <c r="M31" s="511"/>
      <c r="N31" s="269" t="s">
        <v>602</v>
      </c>
      <c r="O31" s="270"/>
      <c r="P31" s="270"/>
      <c r="Q31" s="270"/>
      <c r="R31" s="270"/>
      <c r="S31" s="74"/>
      <c r="T31" s="120"/>
      <c r="U31" s="269" t="s">
        <v>522</v>
      </c>
      <c r="V31" s="115">
        <f>第1期!BF27</f>
        <v>0</v>
      </c>
      <c r="W31" s="115">
        <f>第1期!BG27</f>
        <v>0</v>
      </c>
      <c r="X31" s="115">
        <f>第1期!BH27</f>
        <v>0</v>
      </c>
      <c r="Y31" s="115">
        <f>第1期!BI27</f>
        <v>0</v>
      </c>
      <c r="Z31" s="74"/>
      <c r="AA31" s="73"/>
      <c r="AB31" s="154" t="s">
        <v>206</v>
      </c>
      <c r="AC31" s="156" t="e">
        <f t="shared" si="30"/>
        <v>#DIV/0!</v>
      </c>
      <c r="AD31" s="156" t="e">
        <f t="shared" si="30"/>
        <v>#DIV/0!</v>
      </c>
      <c r="AE31" s="156" t="e">
        <f t="shared" si="30"/>
        <v>#DIV/0!</v>
      </c>
      <c r="AF31" s="156" t="e">
        <f t="shared" si="30"/>
        <v>#DIV/0!</v>
      </c>
      <c r="AG31" s="74"/>
      <c r="AH31" s="73"/>
      <c r="AI31" s="526" t="s">
        <v>603</v>
      </c>
      <c r="AJ31" s="527"/>
      <c r="AK31" s="527"/>
      <c r="AL31" s="527"/>
      <c r="AM31" s="527"/>
      <c r="AN31" s="527"/>
      <c r="AO31" s="527"/>
      <c r="AP31" s="527"/>
      <c r="AQ31" s="527"/>
      <c r="AR31" s="527"/>
      <c r="AS31" s="527"/>
      <c r="AT31" s="527"/>
      <c r="AU31" s="527"/>
      <c r="AV31" s="527"/>
      <c r="AW31" s="527"/>
      <c r="AX31" s="527"/>
      <c r="AY31" s="527"/>
      <c r="AZ31" s="63"/>
      <c r="BA31" s="539">
        <f t="shared" ref="BA31:BA50" si="34">BA7</f>
        <v>0</v>
      </c>
      <c r="BB31" s="77">
        <f t="shared" ref="BB31:BB50" si="35">SUM(BB7:BE7)</f>
        <v>0</v>
      </c>
      <c r="BC31" s="77">
        <f t="shared" ref="BC31:BC50" si="36">SUM(BF7:BI7)</f>
        <v>0</v>
      </c>
      <c r="BD31" s="77">
        <f t="shared" ref="BD31:BD50" si="37">SUM(BJ7:BM7)</f>
        <v>0</v>
      </c>
      <c r="BE31" s="77">
        <f t="shared" ref="BE31:BE50" si="38">SUM(BN7:BQ7)</f>
        <v>0</v>
      </c>
      <c r="BF31" s="71">
        <f>(BB31*初始化表!E$17+BC31*初始化表!F$17+BD31*初始化表!G$17+BE31*初始化表!H$17)/1300</f>
        <v>0</v>
      </c>
      <c r="BG31" s="545">
        <f t="shared" ref="BG31:BG50" si="39">IF(BF31=0,0,AL107/BF31)</f>
        <v>0</v>
      </c>
      <c r="BH31" s="545">
        <f t="shared" ref="BH31:BH50" si="40">IF(BF31=0,0,AJ107/BF31)</f>
        <v>0</v>
      </c>
      <c r="BI31" s="321">
        <f>$BI$51+MAX(第1期!BI31,0)-第2期!BF31</f>
        <v>0</v>
      </c>
      <c r="BJ31" s="546" t="str">
        <f t="shared" ref="BJ31:BJ50" si="41">IF(BA31=0,"",RANK(BG31,$BG$31:$BG$50))</f>
        <v/>
      </c>
      <c r="BK31" s="546" t="str">
        <f t="shared" ref="BK31:BK50" si="42">IF(BA31=0,"",RANK(BH31,$BH$31:$BH$50))</f>
        <v/>
      </c>
      <c r="BM31" s="270"/>
      <c r="BN31" s="269" t="s">
        <v>513</v>
      </c>
      <c r="BO31" s="269" t="s">
        <v>514</v>
      </c>
      <c r="BP31" s="269" t="s">
        <v>515</v>
      </c>
      <c r="BQ31" s="269" t="s">
        <v>516</v>
      </c>
      <c r="BR31" s="62"/>
      <c r="BS31" s="539">
        <f t="shared" si="32"/>
        <v>0</v>
      </c>
      <c r="BT31" s="552" t="e">
        <f t="shared" si="33"/>
        <v>#DIV/0!</v>
      </c>
      <c r="BU31" s="552" t="e">
        <f t="shared" si="33"/>
        <v>#DIV/0!</v>
      </c>
      <c r="BV31" s="552" t="e">
        <f t="shared" si="33"/>
        <v>#DIV/0!</v>
      </c>
      <c r="BW31" s="552" t="e">
        <f t="shared" si="33"/>
        <v>#DIV/0!</v>
      </c>
      <c r="BX31" s="552" t="e">
        <f t="shared" si="33"/>
        <v>#DIV/0!</v>
      </c>
      <c r="BY31" s="552" t="e">
        <f t="shared" si="33"/>
        <v>#DIV/0!</v>
      </c>
      <c r="BZ31" s="552" t="e">
        <f t="shared" si="33"/>
        <v>#DIV/0!</v>
      </c>
      <c r="CA31" s="552" t="e">
        <f t="shared" si="33"/>
        <v>#DIV/0!</v>
      </c>
      <c r="CB31" s="552" t="e">
        <f t="shared" si="33"/>
        <v>#DIV/0!</v>
      </c>
      <c r="CC31" s="552" t="e">
        <f t="shared" si="33"/>
        <v>#DIV/0!</v>
      </c>
      <c r="CD31" s="552" t="e">
        <f t="shared" si="33"/>
        <v>#DIV/0!</v>
      </c>
      <c r="CE31" s="552" t="e">
        <f t="shared" si="33"/>
        <v>#DIV/0!</v>
      </c>
      <c r="CF31" s="552" t="e">
        <f t="shared" si="33"/>
        <v>#DIV/0!</v>
      </c>
      <c r="CG31" s="552" t="e">
        <f t="shared" si="33"/>
        <v>#DIV/0!</v>
      </c>
      <c r="CH31" s="552" t="e">
        <f t="shared" si="33"/>
        <v>#DIV/0!</v>
      </c>
      <c r="CI31" s="552" t="e">
        <f t="shared" si="33"/>
        <v>#DIV/0!</v>
      </c>
      <c r="CJ31" s="453"/>
      <c r="CK31" s="228"/>
      <c r="CL31" s="228"/>
      <c r="CM31" s="228"/>
      <c r="CN31" s="228"/>
      <c r="CO31" s="228"/>
      <c r="CP31" s="228"/>
      <c r="CQ31" s="228"/>
      <c r="CR31" s="228"/>
      <c r="CS31" s="228"/>
      <c r="CT31" s="228"/>
      <c r="CU31" s="228"/>
      <c r="CV31" s="228"/>
      <c r="CW31" s="228"/>
      <c r="CX31" s="228"/>
      <c r="CY31" s="228"/>
      <c r="CZ31" s="228"/>
      <c r="DA31" s="228"/>
      <c r="DB31" s="228"/>
      <c r="DC31" s="228"/>
      <c r="DD31" s="228"/>
      <c r="DE31" s="228"/>
      <c r="DF31" s="228"/>
      <c r="DG31" s="228"/>
      <c r="DH31" s="228"/>
      <c r="DI31" s="228"/>
      <c r="DJ31" s="228"/>
      <c r="DK31" s="228"/>
      <c r="DL31" s="228"/>
      <c r="DM31" s="228"/>
      <c r="DN31" s="228"/>
      <c r="DO31" s="228"/>
      <c r="DP31" s="228"/>
      <c r="DQ31" s="228"/>
    </row>
    <row r="32" s="61" customFormat="1" ht="16" customHeight="1" spans="1:121">
      <c r="A32" s="269" t="s">
        <v>364</v>
      </c>
      <c r="B32" s="270"/>
      <c r="C32" s="106">
        <f>-O35*初始化表!B24/4</f>
        <v>0</v>
      </c>
      <c r="D32" s="79"/>
      <c r="E32" s="79">
        <f>-C32</f>
        <v>0</v>
      </c>
      <c r="F32" s="79" t="e">
        <f t="shared" si="31"/>
        <v>#DIV/0!</v>
      </c>
      <c r="G32" s="73"/>
      <c r="H32" s="354" t="s">
        <v>604</v>
      </c>
      <c r="I32" s="354" t="s">
        <v>605</v>
      </c>
      <c r="J32" s="354" t="s">
        <v>606</v>
      </c>
      <c r="K32" s="354" t="s">
        <v>607</v>
      </c>
      <c r="L32" s="101"/>
      <c r="M32" s="511"/>
      <c r="N32" s="269" t="s">
        <v>608</v>
      </c>
      <c r="O32" s="269" t="s">
        <v>609</v>
      </c>
      <c r="P32" s="269" t="s">
        <v>610</v>
      </c>
      <c r="Q32" s="269" t="s">
        <v>611</v>
      </c>
      <c r="R32" s="269" t="s">
        <v>612</v>
      </c>
      <c r="S32" s="121"/>
      <c r="T32" s="120"/>
      <c r="U32" s="269" t="s">
        <v>523</v>
      </c>
      <c r="V32" s="115">
        <f>第1期!BJ27</f>
        <v>0</v>
      </c>
      <c r="W32" s="115">
        <f>第1期!BK27</f>
        <v>0</v>
      </c>
      <c r="X32" s="115">
        <f>第1期!BL27</f>
        <v>0</v>
      </c>
      <c r="Y32" s="115">
        <f>第1期!BM27</f>
        <v>0</v>
      </c>
      <c r="Z32" s="74"/>
      <c r="AA32" s="73"/>
      <c r="AB32" s="154" t="s">
        <v>208</v>
      </c>
      <c r="AC32" s="156" t="e">
        <f t="shared" si="30"/>
        <v>#DIV/0!</v>
      </c>
      <c r="AD32" s="156" t="e">
        <f t="shared" si="30"/>
        <v>#DIV/0!</v>
      </c>
      <c r="AE32" s="156" t="e">
        <f t="shared" si="30"/>
        <v>#DIV/0!</v>
      </c>
      <c r="AF32" s="156" t="e">
        <f t="shared" si="30"/>
        <v>#DIV/0!</v>
      </c>
      <c r="AG32" s="74"/>
      <c r="AH32" s="73"/>
      <c r="AI32" s="527"/>
      <c r="AJ32" s="527"/>
      <c r="AK32" s="527"/>
      <c r="AL32" s="527"/>
      <c r="AM32" s="527"/>
      <c r="AN32" s="527"/>
      <c r="AO32" s="527"/>
      <c r="AP32" s="527"/>
      <c r="AQ32" s="527"/>
      <c r="AR32" s="527"/>
      <c r="AS32" s="527"/>
      <c r="AT32" s="527"/>
      <c r="AU32" s="527"/>
      <c r="AV32" s="527"/>
      <c r="AW32" s="527"/>
      <c r="AX32" s="527"/>
      <c r="AY32" s="527"/>
      <c r="AZ32" s="63"/>
      <c r="BA32" s="539">
        <f t="shared" si="34"/>
        <v>0</v>
      </c>
      <c r="BB32" s="77">
        <f t="shared" si="35"/>
        <v>0</v>
      </c>
      <c r="BC32" s="77">
        <f t="shared" si="36"/>
        <v>0</v>
      </c>
      <c r="BD32" s="77">
        <f t="shared" si="37"/>
        <v>0</v>
      </c>
      <c r="BE32" s="77">
        <f t="shared" si="38"/>
        <v>0</v>
      </c>
      <c r="BF32" s="71">
        <f>(BB32*初始化表!E$17+BC32*初始化表!F$17+BD32*初始化表!G$17+BE32*初始化表!H$17)/1300</f>
        <v>0</v>
      </c>
      <c r="BG32" s="545">
        <f t="shared" si="39"/>
        <v>0</v>
      </c>
      <c r="BH32" s="545">
        <f t="shared" si="40"/>
        <v>0</v>
      </c>
      <c r="BI32" s="321">
        <f>$BI$51+MAX(第1期!BI32,0)-第2期!BF32</f>
        <v>0</v>
      </c>
      <c r="BJ32" s="546" t="str">
        <f t="shared" si="41"/>
        <v/>
      </c>
      <c r="BK32" s="546" t="str">
        <f t="shared" si="42"/>
        <v/>
      </c>
      <c r="BM32" s="269" t="s">
        <v>521</v>
      </c>
      <c r="BN32" s="77">
        <f>COUNTIF(BB7:BB26,"&gt;0")</f>
        <v>0</v>
      </c>
      <c r="BO32" s="77">
        <f>COUNTIF(BC7:BC26,"&gt;0")</f>
        <v>0</v>
      </c>
      <c r="BP32" s="77">
        <f>COUNTIF(BD7:BD26,"&gt;0")</f>
        <v>0</v>
      </c>
      <c r="BQ32" s="77">
        <f>COUNTIF(BE7:BE26,"&gt;0")</f>
        <v>0</v>
      </c>
      <c r="BR32" s="62"/>
      <c r="BS32" s="539">
        <f t="shared" si="32"/>
        <v>0</v>
      </c>
      <c r="BT32" s="552" t="e">
        <f t="shared" si="33"/>
        <v>#DIV/0!</v>
      </c>
      <c r="BU32" s="552" t="e">
        <f t="shared" si="33"/>
        <v>#DIV/0!</v>
      </c>
      <c r="BV32" s="552" t="e">
        <f t="shared" si="33"/>
        <v>#DIV/0!</v>
      </c>
      <c r="BW32" s="552" t="e">
        <f t="shared" si="33"/>
        <v>#DIV/0!</v>
      </c>
      <c r="BX32" s="552" t="e">
        <f t="shared" si="33"/>
        <v>#DIV/0!</v>
      </c>
      <c r="BY32" s="552" t="e">
        <f t="shared" si="33"/>
        <v>#DIV/0!</v>
      </c>
      <c r="BZ32" s="552" t="e">
        <f t="shared" si="33"/>
        <v>#DIV/0!</v>
      </c>
      <c r="CA32" s="552" t="e">
        <f t="shared" si="33"/>
        <v>#DIV/0!</v>
      </c>
      <c r="CB32" s="552" t="e">
        <f t="shared" si="33"/>
        <v>#DIV/0!</v>
      </c>
      <c r="CC32" s="552" t="e">
        <f t="shared" si="33"/>
        <v>#DIV/0!</v>
      </c>
      <c r="CD32" s="552" t="e">
        <f t="shared" si="33"/>
        <v>#DIV/0!</v>
      </c>
      <c r="CE32" s="552" t="e">
        <f t="shared" si="33"/>
        <v>#DIV/0!</v>
      </c>
      <c r="CF32" s="552" t="e">
        <f t="shared" si="33"/>
        <v>#DIV/0!</v>
      </c>
      <c r="CG32" s="552" t="e">
        <f t="shared" si="33"/>
        <v>#DIV/0!</v>
      </c>
      <c r="CH32" s="552" t="e">
        <f t="shared" si="33"/>
        <v>#DIV/0!</v>
      </c>
      <c r="CI32" s="552" t="e">
        <f t="shared" si="33"/>
        <v>#DIV/0!</v>
      </c>
      <c r="CJ32" s="453"/>
      <c r="CK32" s="228"/>
      <c r="CL32" s="228"/>
      <c r="CM32" s="228"/>
      <c r="CN32" s="228"/>
      <c r="CO32" s="228"/>
      <c r="CP32" s="228"/>
      <c r="CQ32" s="228"/>
      <c r="CR32" s="228"/>
      <c r="CS32" s="228"/>
      <c r="CT32" s="228"/>
      <c r="CU32" s="228"/>
      <c r="CV32" s="228"/>
      <c r="CW32" s="228"/>
      <c r="CX32" s="228"/>
      <c r="CY32" s="228"/>
      <c r="CZ32" s="228"/>
      <c r="DA32" s="228"/>
      <c r="DB32" s="228"/>
      <c r="DC32" s="228"/>
      <c r="DD32" s="228"/>
      <c r="DE32" s="228"/>
      <c r="DF32" s="228"/>
      <c r="DG32" s="228"/>
      <c r="DH32" s="228"/>
      <c r="DI32" s="228"/>
      <c r="DJ32" s="228"/>
      <c r="DK32" s="228"/>
      <c r="DL32" s="228"/>
      <c r="DM32" s="228"/>
      <c r="DN32" s="228"/>
      <c r="DO32" s="228"/>
      <c r="DP32" s="228"/>
      <c r="DQ32" s="228"/>
    </row>
    <row r="33" s="61" customFormat="1" ht="16" customHeight="1" spans="1:121">
      <c r="A33" s="269" t="s">
        <v>365</v>
      </c>
      <c r="B33" s="270"/>
      <c r="C33" s="106">
        <f>-B22*初始化表!B13</f>
        <v>0</v>
      </c>
      <c r="D33" s="79"/>
      <c r="E33" s="79">
        <f>E32-C33</f>
        <v>0</v>
      </c>
      <c r="F33" s="79" t="e">
        <f t="shared" si="31"/>
        <v>#DIV/0!</v>
      </c>
      <c r="G33" s="73"/>
      <c r="H33" s="82" t="e">
        <f>520*H31</f>
        <v>#DIV/0!</v>
      </c>
      <c r="I33" s="82" t="e">
        <f>520*I31</f>
        <v>#DIV/0!</v>
      </c>
      <c r="J33" s="391" t="e">
        <f>260*J31</f>
        <v>#DIV/0!</v>
      </c>
      <c r="K33" s="391">
        <f>I29*520</f>
        <v>0</v>
      </c>
      <c r="L33" s="91"/>
      <c r="M33" s="511"/>
      <c r="N33" s="83" t="e">
        <f>INT(IF(C28&lt;初始化表!B21,MIN((初始化表!B21-C28),P33),0)+1)</f>
        <v>#DIV/0!</v>
      </c>
      <c r="O33" s="83" t="e">
        <f>MAX(N33,IF(F48&lt;0,INT(-F48+1),0))</f>
        <v>#DIV/0!</v>
      </c>
      <c r="P33" s="102">
        <f>第1期!P33-第1期!B24</f>
        <v>0</v>
      </c>
      <c r="Q33" s="93">
        <v>0</v>
      </c>
      <c r="R33" s="83">
        <f>第1期!C37</f>
        <v>0</v>
      </c>
      <c r="S33" s="132"/>
      <c r="T33" s="120"/>
      <c r="U33" s="269" t="s">
        <v>524</v>
      </c>
      <c r="V33" s="115">
        <f>第1期!BN27</f>
        <v>0</v>
      </c>
      <c r="W33" s="115">
        <f>第1期!BO27</f>
        <v>0</v>
      </c>
      <c r="X33" s="115">
        <f>第1期!BP27</f>
        <v>0</v>
      </c>
      <c r="Y33" s="115">
        <f>第1期!BQ27</f>
        <v>0</v>
      </c>
      <c r="Z33" s="74"/>
      <c r="AA33" s="73"/>
      <c r="AB33" s="155"/>
      <c r="AC33" s="155"/>
      <c r="AD33" s="155"/>
      <c r="AE33" s="155"/>
      <c r="AF33" s="155"/>
      <c r="AG33" s="155"/>
      <c r="AH33" s="73"/>
      <c r="AZ33" s="63"/>
      <c r="BA33" s="539">
        <f t="shared" si="34"/>
        <v>0</v>
      </c>
      <c r="BB33" s="77">
        <f t="shared" si="35"/>
        <v>0</v>
      </c>
      <c r="BC33" s="77">
        <f t="shared" si="36"/>
        <v>0</v>
      </c>
      <c r="BD33" s="77">
        <f t="shared" si="37"/>
        <v>0</v>
      </c>
      <c r="BE33" s="77">
        <f t="shared" si="38"/>
        <v>0</v>
      </c>
      <c r="BF33" s="71">
        <f>(BB33*初始化表!E$17+BC33*初始化表!F$17+BD33*初始化表!G$17+BE33*初始化表!H$17)/1300</f>
        <v>0</v>
      </c>
      <c r="BG33" s="545">
        <f t="shared" si="39"/>
        <v>0</v>
      </c>
      <c r="BH33" s="545">
        <f t="shared" si="40"/>
        <v>0</v>
      </c>
      <c r="BI33" s="321">
        <f>$BI$51+MAX(第1期!BI33,0)-第2期!BF33</f>
        <v>0</v>
      </c>
      <c r="BJ33" s="546" t="str">
        <f t="shared" si="41"/>
        <v/>
      </c>
      <c r="BK33" s="546" t="str">
        <f t="shared" si="42"/>
        <v/>
      </c>
      <c r="BM33" s="269" t="s">
        <v>522</v>
      </c>
      <c r="BN33" s="77">
        <f>COUNTIF(BF7:BF26,"&gt;0")</f>
        <v>0</v>
      </c>
      <c r="BO33" s="77">
        <f>COUNTIF(BG7:BG26,"&gt;0")</f>
        <v>0</v>
      </c>
      <c r="BP33" s="77">
        <f>COUNTIF(BH7:BH26,"&gt;0")</f>
        <v>0</v>
      </c>
      <c r="BQ33" s="77">
        <f>COUNTIF(BI7:BI26,"&gt;0")</f>
        <v>0</v>
      </c>
      <c r="BR33" s="62"/>
      <c r="BS33" s="539">
        <f t="shared" si="32"/>
        <v>0</v>
      </c>
      <c r="BT33" s="552" t="e">
        <f t="shared" si="33"/>
        <v>#DIV/0!</v>
      </c>
      <c r="BU33" s="552" t="e">
        <f t="shared" si="33"/>
        <v>#DIV/0!</v>
      </c>
      <c r="BV33" s="552" t="e">
        <f t="shared" si="33"/>
        <v>#DIV/0!</v>
      </c>
      <c r="BW33" s="552" t="e">
        <f t="shared" si="33"/>
        <v>#DIV/0!</v>
      </c>
      <c r="BX33" s="552" t="e">
        <f t="shared" si="33"/>
        <v>#DIV/0!</v>
      </c>
      <c r="BY33" s="552" t="e">
        <f t="shared" si="33"/>
        <v>#DIV/0!</v>
      </c>
      <c r="BZ33" s="552" t="e">
        <f t="shared" si="33"/>
        <v>#DIV/0!</v>
      </c>
      <c r="CA33" s="552" t="e">
        <f t="shared" si="33"/>
        <v>#DIV/0!</v>
      </c>
      <c r="CB33" s="552" t="e">
        <f t="shared" si="33"/>
        <v>#DIV/0!</v>
      </c>
      <c r="CC33" s="552" t="e">
        <f t="shared" si="33"/>
        <v>#DIV/0!</v>
      </c>
      <c r="CD33" s="552" t="e">
        <f t="shared" si="33"/>
        <v>#DIV/0!</v>
      </c>
      <c r="CE33" s="552" t="e">
        <f t="shared" si="33"/>
        <v>#DIV/0!</v>
      </c>
      <c r="CF33" s="552" t="e">
        <f t="shared" si="33"/>
        <v>#DIV/0!</v>
      </c>
      <c r="CG33" s="552" t="e">
        <f t="shared" si="33"/>
        <v>#DIV/0!</v>
      </c>
      <c r="CH33" s="552" t="e">
        <f t="shared" si="33"/>
        <v>#DIV/0!</v>
      </c>
      <c r="CI33" s="552" t="e">
        <f t="shared" si="33"/>
        <v>#DIV/0!</v>
      </c>
      <c r="CJ33" s="453"/>
      <c r="CK33" s="228"/>
      <c r="CL33" s="228"/>
      <c r="CM33" s="228"/>
      <c r="CN33" s="228"/>
      <c r="CO33" s="228"/>
      <c r="CP33" s="228"/>
      <c r="CQ33" s="228"/>
      <c r="CR33" s="228"/>
      <c r="CS33" s="228"/>
      <c r="CT33" s="228"/>
      <c r="CU33" s="228"/>
      <c r="CV33" s="228"/>
      <c r="CW33" s="228"/>
      <c r="CX33" s="228"/>
      <c r="CY33" s="228"/>
      <c r="CZ33" s="228"/>
      <c r="DA33" s="228"/>
      <c r="DB33" s="228"/>
      <c r="DC33" s="228"/>
      <c r="DD33" s="228"/>
      <c r="DE33" s="228"/>
      <c r="DF33" s="228"/>
      <c r="DG33" s="228"/>
      <c r="DH33" s="228"/>
      <c r="DI33" s="228"/>
      <c r="DJ33" s="228"/>
      <c r="DK33" s="228"/>
      <c r="DL33" s="228"/>
      <c r="DM33" s="228"/>
      <c r="DN33" s="228"/>
      <c r="DO33" s="228"/>
      <c r="DP33" s="228"/>
      <c r="DQ33" s="228"/>
    </row>
    <row r="34" s="61" customFormat="1" ht="16" customHeight="1" spans="1:121">
      <c r="A34" s="269" t="s">
        <v>366</v>
      </c>
      <c r="B34" s="270"/>
      <c r="C34" s="106">
        <f>-C22*初始化表!B14</f>
        <v>0</v>
      </c>
      <c r="D34" s="79"/>
      <c r="E34" s="79">
        <f>E33-C34</f>
        <v>0</v>
      </c>
      <c r="F34" s="79" t="e">
        <f t="shared" si="31"/>
        <v>#DIV/0!</v>
      </c>
      <c r="G34" s="73"/>
      <c r="H34" s="354" t="s">
        <v>244</v>
      </c>
      <c r="I34" s="79">
        <f>-C43</f>
        <v>0</v>
      </c>
      <c r="J34" s="414" t="s">
        <v>613</v>
      </c>
      <c r="K34" s="357" t="s">
        <v>614</v>
      </c>
      <c r="L34" s="357"/>
      <c r="M34" s="511"/>
      <c r="N34" s="269" t="s">
        <v>615</v>
      </c>
      <c r="O34" s="269" t="s">
        <v>616</v>
      </c>
      <c r="P34" s="269" t="s">
        <v>617</v>
      </c>
      <c r="Q34" s="269" t="s">
        <v>618</v>
      </c>
      <c r="R34" s="269" t="s">
        <v>619</v>
      </c>
      <c r="S34" s="121"/>
      <c r="T34" s="120"/>
      <c r="U34" s="396"/>
      <c r="V34" s="90"/>
      <c r="W34" s="90"/>
      <c r="X34" s="90"/>
      <c r="Y34" s="90"/>
      <c r="Z34" s="74"/>
      <c r="AA34" s="73"/>
      <c r="AB34" s="154" t="s">
        <v>500</v>
      </c>
      <c r="AC34" s="154" t="s">
        <v>499</v>
      </c>
      <c r="AD34" s="154" t="s">
        <v>38</v>
      </c>
      <c r="AE34" s="154" t="s">
        <v>39</v>
      </c>
      <c r="AF34" s="154" t="s">
        <v>40</v>
      </c>
      <c r="AG34" s="154" t="s">
        <v>41</v>
      </c>
      <c r="AH34" s="73"/>
      <c r="AI34" s="68" t="s">
        <v>480</v>
      </c>
      <c r="AJ34" s="69"/>
      <c r="AK34" s="69"/>
      <c r="AL34" s="69"/>
      <c r="AM34" s="69"/>
      <c r="AN34" s="69"/>
      <c r="AO34" s="69"/>
      <c r="AP34" s="69"/>
      <c r="AQ34" s="69"/>
      <c r="AR34" s="69"/>
      <c r="AS34" s="69"/>
      <c r="AT34" s="69"/>
      <c r="AU34" s="69"/>
      <c r="AV34" s="69"/>
      <c r="AW34" s="69"/>
      <c r="AX34" s="69"/>
      <c r="AY34" s="69"/>
      <c r="AZ34" s="63"/>
      <c r="BA34" s="539">
        <f t="shared" si="34"/>
        <v>0</v>
      </c>
      <c r="BB34" s="77">
        <f t="shared" si="35"/>
        <v>0</v>
      </c>
      <c r="BC34" s="77">
        <f t="shared" si="36"/>
        <v>0</v>
      </c>
      <c r="BD34" s="77">
        <f t="shared" si="37"/>
        <v>0</v>
      </c>
      <c r="BE34" s="77">
        <f t="shared" si="38"/>
        <v>0</v>
      </c>
      <c r="BF34" s="71">
        <f>(BB34*初始化表!E$17+BC34*初始化表!F$17+BD34*初始化表!G$17+BE34*初始化表!H$17)/1300</f>
        <v>0</v>
      </c>
      <c r="BG34" s="545">
        <f t="shared" si="39"/>
        <v>0</v>
      </c>
      <c r="BH34" s="545">
        <f t="shared" si="40"/>
        <v>0</v>
      </c>
      <c r="BI34" s="321">
        <f>$BI$51+MAX(第1期!BI34,0)-第2期!BF34</f>
        <v>0</v>
      </c>
      <c r="BJ34" s="546" t="str">
        <f t="shared" si="41"/>
        <v/>
      </c>
      <c r="BK34" s="546" t="str">
        <f t="shared" si="42"/>
        <v/>
      </c>
      <c r="BM34" s="269" t="s">
        <v>523</v>
      </c>
      <c r="BN34" s="77">
        <f>COUNTIF(BJ7:BJ26,"&gt;0")</f>
        <v>0</v>
      </c>
      <c r="BO34" s="77">
        <f>COUNTIF(BK7:BK26,"&gt;0")</f>
        <v>0</v>
      </c>
      <c r="BP34" s="77">
        <f>COUNTIF(BL7:BL26,"&gt;0")</f>
        <v>0</v>
      </c>
      <c r="BQ34" s="77">
        <f>COUNTIF(BM7:BM26,"&gt;0")</f>
        <v>0</v>
      </c>
      <c r="BR34" s="62"/>
      <c r="BS34" s="539">
        <f t="shared" si="32"/>
        <v>0</v>
      </c>
      <c r="BT34" s="552" t="e">
        <f t="shared" si="33"/>
        <v>#DIV/0!</v>
      </c>
      <c r="BU34" s="552" t="e">
        <f t="shared" si="33"/>
        <v>#DIV/0!</v>
      </c>
      <c r="BV34" s="552" t="e">
        <f t="shared" si="33"/>
        <v>#DIV/0!</v>
      </c>
      <c r="BW34" s="552" t="e">
        <f t="shared" si="33"/>
        <v>#DIV/0!</v>
      </c>
      <c r="BX34" s="552" t="e">
        <f t="shared" si="33"/>
        <v>#DIV/0!</v>
      </c>
      <c r="BY34" s="552" t="e">
        <f t="shared" si="33"/>
        <v>#DIV/0!</v>
      </c>
      <c r="BZ34" s="552" t="e">
        <f t="shared" si="33"/>
        <v>#DIV/0!</v>
      </c>
      <c r="CA34" s="552" t="e">
        <f t="shared" si="33"/>
        <v>#DIV/0!</v>
      </c>
      <c r="CB34" s="552" t="e">
        <f t="shared" si="33"/>
        <v>#DIV/0!</v>
      </c>
      <c r="CC34" s="552" t="e">
        <f t="shared" si="33"/>
        <v>#DIV/0!</v>
      </c>
      <c r="CD34" s="552" t="e">
        <f t="shared" si="33"/>
        <v>#DIV/0!</v>
      </c>
      <c r="CE34" s="552" t="e">
        <f t="shared" si="33"/>
        <v>#DIV/0!</v>
      </c>
      <c r="CF34" s="552" t="e">
        <f t="shared" si="33"/>
        <v>#DIV/0!</v>
      </c>
      <c r="CG34" s="552" t="e">
        <f t="shared" si="33"/>
        <v>#DIV/0!</v>
      </c>
      <c r="CH34" s="552" t="e">
        <f t="shared" si="33"/>
        <v>#DIV/0!</v>
      </c>
      <c r="CI34" s="552" t="e">
        <f t="shared" si="33"/>
        <v>#DIV/0!</v>
      </c>
      <c r="CJ34" s="453"/>
      <c r="CK34" s="228"/>
      <c r="CL34" s="228"/>
      <c r="CM34" s="228"/>
      <c r="CN34" s="228"/>
      <c r="CO34" s="228"/>
      <c r="CP34" s="228"/>
      <c r="CQ34" s="228"/>
      <c r="CR34" s="228"/>
      <c r="CS34" s="228"/>
      <c r="CT34" s="228"/>
      <c r="CU34" s="228"/>
      <c r="CV34" s="228"/>
      <c r="CW34" s="228"/>
      <c r="CX34" s="228"/>
      <c r="CY34" s="228"/>
      <c r="CZ34" s="228"/>
      <c r="DA34" s="228"/>
      <c r="DB34" s="228"/>
      <c r="DC34" s="228"/>
      <c r="DD34" s="228"/>
      <c r="DE34" s="228"/>
      <c r="DF34" s="228"/>
      <c r="DG34" s="228"/>
      <c r="DH34" s="228"/>
      <c r="DI34" s="228"/>
      <c r="DJ34" s="228"/>
      <c r="DK34" s="228"/>
      <c r="DL34" s="228"/>
      <c r="DM34" s="228"/>
      <c r="DN34" s="228"/>
      <c r="DO34" s="228"/>
      <c r="DP34" s="228"/>
      <c r="DQ34" s="228"/>
    </row>
    <row r="35" s="61" customFormat="1" ht="16" customHeight="1" spans="1:121">
      <c r="A35" s="269" t="s">
        <v>367</v>
      </c>
      <c r="B35" s="270"/>
      <c r="C35" s="106">
        <f>-(H17-C22+B22*初始化表!H4)*初始化表!B15*520*F24</f>
        <v>0</v>
      </c>
      <c r="D35" s="79"/>
      <c r="E35" s="79">
        <f>E34-C35</f>
        <v>0</v>
      </c>
      <c r="F35" s="79" t="e">
        <f t="shared" si="31"/>
        <v>#DIV/0!</v>
      </c>
      <c r="G35" s="73"/>
      <c r="H35" s="354" t="s">
        <v>223</v>
      </c>
      <c r="I35" s="79">
        <f>-C33</f>
        <v>0</v>
      </c>
      <c r="J35" s="106" t="e">
        <f>INT(($N$49*1300-SUMPRODUCT($L$177:$L$180,$H$177:$H$180))/H177)</f>
        <v>#DIV/0!</v>
      </c>
      <c r="K35" s="269" t="s">
        <v>198</v>
      </c>
      <c r="L35" s="90"/>
      <c r="M35" s="511"/>
      <c r="N35" s="102">
        <f>第1期!C24+第1期!N35</f>
        <v>0</v>
      </c>
      <c r="O35" s="102">
        <f>第1期!O35+第1期!C31+第1期!C30</f>
        <v>0</v>
      </c>
      <c r="P35" s="83" t="e">
        <f>INT(Q35)</f>
        <v>#DIV/0!</v>
      </c>
      <c r="Q35" s="133" t="e">
        <f>0.5*第1期!B80-O35</f>
        <v>#DIV/0!</v>
      </c>
      <c r="R35" s="93"/>
      <c r="S35" s="525"/>
      <c r="T35" s="120"/>
      <c r="U35" s="68" t="s">
        <v>620</v>
      </c>
      <c r="V35" s="68" t="s">
        <v>459</v>
      </c>
      <c r="W35" s="68" t="s">
        <v>460</v>
      </c>
      <c r="X35" s="68" t="s">
        <v>461</v>
      </c>
      <c r="Y35" s="68" t="s">
        <v>462</v>
      </c>
      <c r="Z35" s="74"/>
      <c r="AA35" s="73"/>
      <c r="AB35" s="154" t="s">
        <v>198</v>
      </c>
      <c r="AC35" s="152" t="e">
        <f>初始化表!$E$22-AC5</f>
        <v>#DIV/0!</v>
      </c>
      <c r="AD35" s="152" t="e">
        <f>初始化表!$E$22-AD5</f>
        <v>#DIV/0!</v>
      </c>
      <c r="AE35" s="152" t="e">
        <f>初始化表!$E$22-AE5</f>
        <v>#DIV/0!</v>
      </c>
      <c r="AF35" s="152" t="e">
        <f>初始化表!$E$22-AF5</f>
        <v>#DIV/0!</v>
      </c>
      <c r="AG35" s="152" t="e">
        <f>初始化表!$E$22-AG5</f>
        <v>#DIV/0!</v>
      </c>
      <c r="AH35" s="73"/>
      <c r="AI35" s="68" t="s">
        <v>37</v>
      </c>
      <c r="AJ35" s="68" t="s">
        <v>35</v>
      </c>
      <c r="AK35" s="69"/>
      <c r="AL35" s="69"/>
      <c r="AM35" s="69"/>
      <c r="AN35" s="68" t="s">
        <v>465</v>
      </c>
      <c r="AO35" s="69"/>
      <c r="AP35" s="69"/>
      <c r="AQ35" s="69"/>
      <c r="AR35" s="68" t="s">
        <v>466</v>
      </c>
      <c r="AS35" s="69"/>
      <c r="AT35" s="69"/>
      <c r="AU35" s="69"/>
      <c r="AV35" s="68" t="s">
        <v>468</v>
      </c>
      <c r="AW35" s="69"/>
      <c r="AX35" s="69"/>
      <c r="AY35" s="69"/>
      <c r="AZ35" s="63"/>
      <c r="BA35" s="539">
        <f t="shared" si="34"/>
        <v>0</v>
      </c>
      <c r="BB35" s="77">
        <f t="shared" si="35"/>
        <v>0</v>
      </c>
      <c r="BC35" s="77">
        <f t="shared" si="36"/>
        <v>0</v>
      </c>
      <c r="BD35" s="77">
        <f t="shared" si="37"/>
        <v>0</v>
      </c>
      <c r="BE35" s="77">
        <f t="shared" si="38"/>
        <v>0</v>
      </c>
      <c r="BF35" s="71">
        <f>(BB35*初始化表!E$17+BC35*初始化表!F$17+BD35*初始化表!G$17+BE35*初始化表!H$17)/1300</f>
        <v>0</v>
      </c>
      <c r="BG35" s="545">
        <f t="shared" si="39"/>
        <v>0</v>
      </c>
      <c r="BH35" s="545">
        <f t="shared" si="40"/>
        <v>0</v>
      </c>
      <c r="BI35" s="321">
        <f>$BI$51+MAX(第1期!BI35,0)-第2期!BF35</f>
        <v>0</v>
      </c>
      <c r="BJ35" s="546" t="str">
        <f t="shared" si="41"/>
        <v/>
      </c>
      <c r="BK35" s="546" t="str">
        <f t="shared" si="42"/>
        <v/>
      </c>
      <c r="BM35" s="269" t="s">
        <v>524</v>
      </c>
      <c r="BN35" s="77">
        <f>COUNTIF(BN7:BN26,"&gt;0")</f>
        <v>0</v>
      </c>
      <c r="BO35" s="77">
        <f>COUNTIF(BO7:BO26,"&gt;0")</f>
        <v>0</v>
      </c>
      <c r="BP35" s="77">
        <f>COUNTIF(BP7:BP26,"&gt;0")</f>
        <v>0</v>
      </c>
      <c r="BQ35" s="77">
        <f>COUNTIF(BQ7:BQ26,"&gt;0")</f>
        <v>0</v>
      </c>
      <c r="BR35" s="62"/>
      <c r="BS35" s="539">
        <f t="shared" si="32"/>
        <v>0</v>
      </c>
      <c r="BT35" s="552" t="e">
        <f t="shared" si="33"/>
        <v>#DIV/0!</v>
      </c>
      <c r="BU35" s="552" t="e">
        <f t="shared" si="33"/>
        <v>#DIV/0!</v>
      </c>
      <c r="BV35" s="552" t="e">
        <f t="shared" si="33"/>
        <v>#DIV/0!</v>
      </c>
      <c r="BW35" s="552" t="e">
        <f t="shared" si="33"/>
        <v>#DIV/0!</v>
      </c>
      <c r="BX35" s="552" t="e">
        <f t="shared" si="33"/>
        <v>#DIV/0!</v>
      </c>
      <c r="BY35" s="552" t="e">
        <f t="shared" si="33"/>
        <v>#DIV/0!</v>
      </c>
      <c r="BZ35" s="552" t="e">
        <f t="shared" si="33"/>
        <v>#DIV/0!</v>
      </c>
      <c r="CA35" s="552" t="e">
        <f t="shared" si="33"/>
        <v>#DIV/0!</v>
      </c>
      <c r="CB35" s="552" t="e">
        <f t="shared" si="33"/>
        <v>#DIV/0!</v>
      </c>
      <c r="CC35" s="552" t="e">
        <f t="shared" si="33"/>
        <v>#DIV/0!</v>
      </c>
      <c r="CD35" s="552" t="e">
        <f t="shared" si="33"/>
        <v>#DIV/0!</v>
      </c>
      <c r="CE35" s="552" t="e">
        <f t="shared" si="33"/>
        <v>#DIV/0!</v>
      </c>
      <c r="CF35" s="552" t="e">
        <f t="shared" si="33"/>
        <v>#DIV/0!</v>
      </c>
      <c r="CG35" s="552" t="e">
        <f t="shared" si="33"/>
        <v>#DIV/0!</v>
      </c>
      <c r="CH35" s="552" t="e">
        <f t="shared" si="33"/>
        <v>#DIV/0!</v>
      </c>
      <c r="CI35" s="552" t="e">
        <f t="shared" si="33"/>
        <v>#DIV/0!</v>
      </c>
      <c r="CJ35" s="453"/>
      <c r="CK35" s="228"/>
      <c r="CL35" s="228"/>
      <c r="CM35" s="228"/>
      <c r="CN35" s="228"/>
      <c r="CO35" s="228"/>
      <c r="CP35" s="228"/>
      <c r="CQ35" s="228"/>
      <c r="CR35" s="228"/>
      <c r="CS35" s="228"/>
      <c r="CT35" s="228"/>
      <c r="CU35" s="228"/>
      <c r="CV35" s="228"/>
      <c r="CW35" s="228"/>
      <c r="CX35" s="228"/>
      <c r="CY35" s="228"/>
      <c r="CZ35" s="228"/>
      <c r="DA35" s="228"/>
      <c r="DB35" s="228"/>
      <c r="DC35" s="228"/>
      <c r="DD35" s="228"/>
      <c r="DE35" s="228"/>
      <c r="DF35" s="228"/>
      <c r="DG35" s="228"/>
      <c r="DH35" s="228"/>
      <c r="DI35" s="228"/>
      <c r="DJ35" s="228"/>
      <c r="DK35" s="228"/>
      <c r="DL35" s="228"/>
      <c r="DM35" s="228"/>
      <c r="DN35" s="228"/>
      <c r="DO35" s="228"/>
      <c r="DP35" s="228"/>
      <c r="DQ35" s="228"/>
    </row>
    <row r="36" s="61" customFormat="1" ht="16" customHeight="1" spans="1:121">
      <c r="A36" s="269" t="s">
        <v>368</v>
      </c>
      <c r="B36" s="270"/>
      <c r="C36" s="106" t="e">
        <f>-N49*初始化表!B12</f>
        <v>#DIV/0!</v>
      </c>
      <c r="D36" s="79"/>
      <c r="E36" s="79" t="e">
        <f>E35-C36</f>
        <v>#DIV/0!</v>
      </c>
      <c r="F36" s="79" t="e">
        <f t="shared" si="31"/>
        <v>#DIV/0!</v>
      </c>
      <c r="G36" s="73"/>
      <c r="H36" s="354" t="s">
        <v>621</v>
      </c>
      <c r="I36" s="79">
        <f>-C34</f>
        <v>0</v>
      </c>
      <c r="J36" s="106" t="e">
        <f>INT(($N$49*1300-SUMPRODUCT($L$177:$L$180,$H$177:$H$180))/H178)</f>
        <v>#DIV/0!</v>
      </c>
      <c r="K36" s="269" t="s">
        <v>202</v>
      </c>
      <c r="L36" s="90"/>
      <c r="M36" s="511"/>
      <c r="N36" s="269" t="s">
        <v>622</v>
      </c>
      <c r="O36" s="269" t="s">
        <v>623</v>
      </c>
      <c r="P36" s="269" t="s">
        <v>624</v>
      </c>
      <c r="Q36" s="269" t="s">
        <v>625</v>
      </c>
      <c r="R36" s="269" t="s">
        <v>626</v>
      </c>
      <c r="S36" s="121"/>
      <c r="T36" s="120"/>
      <c r="U36" s="68" t="s">
        <v>464</v>
      </c>
      <c r="V36" s="115" t="e">
        <f>第1期!BN42</f>
        <v>#DIV/0!</v>
      </c>
      <c r="W36" s="115" t="e">
        <f>第1期!BO42</f>
        <v>#DIV/0!</v>
      </c>
      <c r="X36" s="115" t="e">
        <f>第1期!BP42</f>
        <v>#DIV/0!</v>
      </c>
      <c r="Y36" s="115" t="e">
        <f>第1期!BQ42</f>
        <v>#DIV/0!</v>
      </c>
      <c r="Z36" s="74"/>
      <c r="AA36" s="73"/>
      <c r="AB36" s="154" t="s">
        <v>202</v>
      </c>
      <c r="AC36" s="152" t="e">
        <f>初始化表!$F$22-AC6</f>
        <v>#DIV/0!</v>
      </c>
      <c r="AD36" s="152" t="e">
        <f>初始化表!$F$22-AD6</f>
        <v>#DIV/0!</v>
      </c>
      <c r="AE36" s="152" t="e">
        <f>初始化表!$F$22-AE6</f>
        <v>#DIV/0!</v>
      </c>
      <c r="AF36" s="152" t="e">
        <f>初始化表!$F$22-AF6</f>
        <v>#DIV/0!</v>
      </c>
      <c r="AG36" s="152" t="e">
        <f>初始化表!$F$22-AG6</f>
        <v>#DIV/0!</v>
      </c>
      <c r="AH36" s="73"/>
      <c r="AI36" s="69"/>
      <c r="AJ36" s="68" t="s">
        <v>320</v>
      </c>
      <c r="AK36" s="68" t="s">
        <v>321</v>
      </c>
      <c r="AL36" s="68" t="s">
        <v>322</v>
      </c>
      <c r="AM36" s="68" t="s">
        <v>319</v>
      </c>
      <c r="AN36" s="68" t="s">
        <v>320</v>
      </c>
      <c r="AO36" s="68" t="s">
        <v>321</v>
      </c>
      <c r="AP36" s="68" t="s">
        <v>322</v>
      </c>
      <c r="AQ36" s="68" t="s">
        <v>319</v>
      </c>
      <c r="AR36" s="68" t="s">
        <v>320</v>
      </c>
      <c r="AS36" s="68" t="s">
        <v>321</v>
      </c>
      <c r="AT36" s="68" t="s">
        <v>322</v>
      </c>
      <c r="AU36" s="68" t="s">
        <v>319</v>
      </c>
      <c r="AV36" s="68" t="s">
        <v>320</v>
      </c>
      <c r="AW36" s="68" t="s">
        <v>321</v>
      </c>
      <c r="AX36" s="68" t="s">
        <v>322</v>
      </c>
      <c r="AY36" s="68" t="s">
        <v>41</v>
      </c>
      <c r="AZ36" s="63"/>
      <c r="BA36" s="539">
        <f t="shared" si="34"/>
        <v>0</v>
      </c>
      <c r="BB36" s="77">
        <f t="shared" si="35"/>
        <v>0</v>
      </c>
      <c r="BC36" s="77">
        <f t="shared" si="36"/>
        <v>0</v>
      </c>
      <c r="BD36" s="77">
        <f t="shared" si="37"/>
        <v>0</v>
      </c>
      <c r="BE36" s="77">
        <f t="shared" si="38"/>
        <v>0</v>
      </c>
      <c r="BF36" s="71">
        <f>(BB36*初始化表!E$17+BC36*初始化表!F$17+BD36*初始化表!G$17+BE36*初始化表!H$17)/1300</f>
        <v>0</v>
      </c>
      <c r="BG36" s="545">
        <f t="shared" si="39"/>
        <v>0</v>
      </c>
      <c r="BH36" s="545">
        <f t="shared" si="40"/>
        <v>0</v>
      </c>
      <c r="BI36" s="321">
        <f>$BI$51+MAX(第1期!BI36,0)-第2期!BF36</f>
        <v>0</v>
      </c>
      <c r="BJ36" s="546" t="str">
        <f t="shared" si="41"/>
        <v/>
      </c>
      <c r="BK36" s="546" t="str">
        <f t="shared" si="42"/>
        <v/>
      </c>
      <c r="BM36" s="270"/>
      <c r="BN36" s="269" t="s">
        <v>513</v>
      </c>
      <c r="BO36" s="269" t="s">
        <v>514</v>
      </c>
      <c r="BP36" s="269" t="s">
        <v>515</v>
      </c>
      <c r="BQ36" s="269" t="s">
        <v>516</v>
      </c>
      <c r="BR36" s="62"/>
      <c r="BS36" s="539">
        <f t="shared" si="32"/>
        <v>0</v>
      </c>
      <c r="BT36" s="552" t="e">
        <f t="shared" si="33"/>
        <v>#DIV/0!</v>
      </c>
      <c r="BU36" s="552" t="e">
        <f t="shared" si="33"/>
        <v>#DIV/0!</v>
      </c>
      <c r="BV36" s="552" t="e">
        <f t="shared" si="33"/>
        <v>#DIV/0!</v>
      </c>
      <c r="BW36" s="552" t="e">
        <f t="shared" si="33"/>
        <v>#DIV/0!</v>
      </c>
      <c r="BX36" s="552" t="e">
        <f t="shared" si="33"/>
        <v>#DIV/0!</v>
      </c>
      <c r="BY36" s="552" t="e">
        <f t="shared" si="33"/>
        <v>#DIV/0!</v>
      </c>
      <c r="BZ36" s="552" t="e">
        <f t="shared" si="33"/>
        <v>#DIV/0!</v>
      </c>
      <c r="CA36" s="552" t="e">
        <f t="shared" si="33"/>
        <v>#DIV/0!</v>
      </c>
      <c r="CB36" s="552" t="e">
        <f t="shared" si="33"/>
        <v>#DIV/0!</v>
      </c>
      <c r="CC36" s="552" t="e">
        <f t="shared" si="33"/>
        <v>#DIV/0!</v>
      </c>
      <c r="CD36" s="552" t="e">
        <f t="shared" si="33"/>
        <v>#DIV/0!</v>
      </c>
      <c r="CE36" s="552" t="e">
        <f t="shared" si="33"/>
        <v>#DIV/0!</v>
      </c>
      <c r="CF36" s="552" t="e">
        <f t="shared" si="33"/>
        <v>#DIV/0!</v>
      </c>
      <c r="CG36" s="552" t="e">
        <f t="shared" si="33"/>
        <v>#DIV/0!</v>
      </c>
      <c r="CH36" s="552" t="e">
        <f t="shared" si="33"/>
        <v>#DIV/0!</v>
      </c>
      <c r="CI36" s="552" t="e">
        <f t="shared" si="33"/>
        <v>#DIV/0!</v>
      </c>
      <c r="CJ36" s="453"/>
      <c r="CK36" s="228"/>
      <c r="CL36" s="228"/>
      <c r="CM36" s="228"/>
      <c r="CN36" s="228"/>
      <c r="CO36" s="228"/>
      <c r="CP36" s="228"/>
      <c r="CQ36" s="228"/>
      <c r="CR36" s="228"/>
      <c r="CS36" s="228"/>
      <c r="CT36" s="228"/>
      <c r="CU36" s="228"/>
      <c r="CV36" s="228"/>
      <c r="CW36" s="228"/>
      <c r="CX36" s="228"/>
      <c r="CY36" s="228"/>
      <c r="CZ36" s="228"/>
      <c r="DA36" s="228"/>
      <c r="DB36" s="228"/>
      <c r="DC36" s="228"/>
      <c r="DD36" s="228"/>
      <c r="DE36" s="228"/>
      <c r="DF36" s="228"/>
      <c r="DG36" s="228"/>
      <c r="DH36" s="228"/>
      <c r="DI36" s="228"/>
      <c r="DJ36" s="228"/>
      <c r="DK36" s="228"/>
      <c r="DL36" s="228"/>
      <c r="DM36" s="228"/>
      <c r="DN36" s="228"/>
      <c r="DO36" s="228"/>
      <c r="DP36" s="228"/>
      <c r="DQ36" s="228"/>
    </row>
    <row r="37" s="61" customFormat="1" ht="16" customHeight="1" spans="1:121">
      <c r="A37" s="269" t="s">
        <v>369</v>
      </c>
      <c r="B37" s="270"/>
      <c r="C37" s="106" t="e">
        <f>IF(F36&lt;0,INT(1-F36),0)</f>
        <v>#DIV/0!</v>
      </c>
      <c r="D37" s="79"/>
      <c r="E37" s="79"/>
      <c r="F37" s="79" t="e">
        <f t="shared" si="31"/>
        <v>#DIV/0!</v>
      </c>
      <c r="G37" s="73"/>
      <c r="H37" s="354" t="s">
        <v>225</v>
      </c>
      <c r="I37" s="79">
        <f>-C35</f>
        <v>0</v>
      </c>
      <c r="J37" s="106" t="e">
        <f>INT(($N$49*1300-SUMPRODUCT($L$177:$L$180,$H$177:$H$180))/H179)</f>
        <v>#DIV/0!</v>
      </c>
      <c r="K37" s="269" t="s">
        <v>206</v>
      </c>
      <c r="L37" s="90"/>
      <c r="M37" s="511"/>
      <c r="N37" s="102">
        <f>第1期!D24</f>
        <v>0</v>
      </c>
      <c r="O37" s="93">
        <v>0</v>
      </c>
      <c r="P37" s="102" t="e">
        <f>MAX(0,INT(MIN(D56-E60+C61,F62-初始化表!B21)))</f>
        <v>#DIV/0!</v>
      </c>
      <c r="Q37" s="102" t="e">
        <f>MAX(0,INT(MIN(F62-MAX(E60,C28),F62+第3期!Q35+第3期!P33-F30+F48,P37)))</f>
        <v>#DIV/0!</v>
      </c>
      <c r="R37" s="93">
        <v>0</v>
      </c>
      <c r="S37" s="131"/>
      <c r="T37" s="120"/>
      <c r="U37" s="68" t="s">
        <v>465</v>
      </c>
      <c r="V37" s="115" t="e">
        <f>第1期!BN43</f>
        <v>#DIV/0!</v>
      </c>
      <c r="W37" s="115" t="e">
        <f>第1期!BO43</f>
        <v>#DIV/0!</v>
      </c>
      <c r="X37" s="115" t="e">
        <f>第1期!BP43</f>
        <v>#DIV/0!</v>
      </c>
      <c r="Y37" s="115" t="e">
        <f>第1期!BQ43</f>
        <v>#DIV/0!</v>
      </c>
      <c r="Z37" s="74"/>
      <c r="AA37" s="73"/>
      <c r="AB37" s="154" t="s">
        <v>206</v>
      </c>
      <c r="AC37" s="152" t="e">
        <f>初始化表!$G$22-AC7</f>
        <v>#DIV/0!</v>
      </c>
      <c r="AD37" s="152" t="e">
        <f>初始化表!$G$22-AD7</f>
        <v>#DIV/0!</v>
      </c>
      <c r="AE37" s="152" t="e">
        <f>初始化表!$G$22-AE7</f>
        <v>#DIV/0!</v>
      </c>
      <c r="AF37" s="152" t="e">
        <f>初始化表!$G$22-AF7</f>
        <v>#DIV/0!</v>
      </c>
      <c r="AG37" s="152" t="e">
        <f>初始化表!$G$22-AG7</f>
        <v>#DIV/0!</v>
      </c>
      <c r="AH37" s="73"/>
      <c r="AI37" s="535"/>
      <c r="AJ37" s="536"/>
      <c r="AK37" s="536"/>
      <c r="AL37" s="536"/>
      <c r="AM37" s="536"/>
      <c r="AN37" s="536"/>
      <c r="AO37" s="536"/>
      <c r="AP37" s="536"/>
      <c r="AQ37" s="536"/>
      <c r="AR37" s="536"/>
      <c r="AS37" s="536"/>
      <c r="AT37" s="536"/>
      <c r="AU37" s="536"/>
      <c r="AV37" s="536"/>
      <c r="AW37" s="536"/>
      <c r="AX37" s="536"/>
      <c r="AY37" s="536"/>
      <c r="AZ37" s="63"/>
      <c r="BA37" s="539">
        <f t="shared" si="34"/>
        <v>0</v>
      </c>
      <c r="BB37" s="77">
        <f t="shared" si="35"/>
        <v>0</v>
      </c>
      <c r="BC37" s="77">
        <f t="shared" si="36"/>
        <v>0</v>
      </c>
      <c r="BD37" s="77">
        <f t="shared" si="37"/>
        <v>0</v>
      </c>
      <c r="BE37" s="77">
        <f t="shared" si="38"/>
        <v>0</v>
      </c>
      <c r="BF37" s="71">
        <f>(BB37*初始化表!E$17+BC37*初始化表!F$17+BD37*初始化表!G$17+BE37*初始化表!H$17)/1300</f>
        <v>0</v>
      </c>
      <c r="BG37" s="545">
        <f t="shared" si="39"/>
        <v>0</v>
      </c>
      <c r="BH37" s="545">
        <f t="shared" si="40"/>
        <v>0</v>
      </c>
      <c r="BI37" s="321">
        <f>$BI$51+MAX(第1期!BI37,0)-第2期!BF37</f>
        <v>0</v>
      </c>
      <c r="BJ37" s="546" t="str">
        <f t="shared" si="41"/>
        <v/>
      </c>
      <c r="BK37" s="546" t="str">
        <f t="shared" si="42"/>
        <v/>
      </c>
      <c r="BM37" s="269" t="s">
        <v>521</v>
      </c>
      <c r="BN37" s="77">
        <f>BB28</f>
        <v>0</v>
      </c>
      <c r="BO37" s="77">
        <f>BC28</f>
        <v>0</v>
      </c>
      <c r="BP37" s="77">
        <f>BD28</f>
        <v>0</v>
      </c>
      <c r="BQ37" s="77">
        <f>BE28</f>
        <v>0</v>
      </c>
      <c r="BR37" s="62"/>
      <c r="BS37" s="539">
        <f t="shared" si="32"/>
        <v>0</v>
      </c>
      <c r="BT37" s="552" t="e">
        <f t="shared" si="33"/>
        <v>#DIV/0!</v>
      </c>
      <c r="BU37" s="552" t="e">
        <f t="shared" si="33"/>
        <v>#DIV/0!</v>
      </c>
      <c r="BV37" s="552" t="e">
        <f t="shared" si="33"/>
        <v>#DIV/0!</v>
      </c>
      <c r="BW37" s="552" t="e">
        <f t="shared" si="33"/>
        <v>#DIV/0!</v>
      </c>
      <c r="BX37" s="552" t="e">
        <f t="shared" si="33"/>
        <v>#DIV/0!</v>
      </c>
      <c r="BY37" s="552" t="e">
        <f t="shared" si="33"/>
        <v>#DIV/0!</v>
      </c>
      <c r="BZ37" s="552" t="e">
        <f t="shared" si="33"/>
        <v>#DIV/0!</v>
      </c>
      <c r="CA37" s="552" t="e">
        <f t="shared" si="33"/>
        <v>#DIV/0!</v>
      </c>
      <c r="CB37" s="552" t="e">
        <f t="shared" si="33"/>
        <v>#DIV/0!</v>
      </c>
      <c r="CC37" s="552" t="e">
        <f t="shared" si="33"/>
        <v>#DIV/0!</v>
      </c>
      <c r="CD37" s="552" t="e">
        <f t="shared" si="33"/>
        <v>#DIV/0!</v>
      </c>
      <c r="CE37" s="552" t="e">
        <f t="shared" si="33"/>
        <v>#DIV/0!</v>
      </c>
      <c r="CF37" s="552" t="e">
        <f t="shared" si="33"/>
        <v>#DIV/0!</v>
      </c>
      <c r="CG37" s="552" t="e">
        <f t="shared" si="33"/>
        <v>#DIV/0!</v>
      </c>
      <c r="CH37" s="552" t="e">
        <f t="shared" si="33"/>
        <v>#DIV/0!</v>
      </c>
      <c r="CI37" s="552" t="e">
        <f t="shared" si="33"/>
        <v>#DIV/0!</v>
      </c>
      <c r="CJ37" s="453"/>
      <c r="CK37" s="228"/>
      <c r="CL37" s="228"/>
      <c r="CM37" s="228"/>
      <c r="CN37" s="228"/>
      <c r="CO37" s="228"/>
      <c r="CP37" s="228"/>
      <c r="CQ37" s="228"/>
      <c r="CR37" s="228"/>
      <c r="CS37" s="228"/>
      <c r="CT37" s="228"/>
      <c r="CU37" s="228"/>
      <c r="CV37" s="228"/>
      <c r="CW37" s="228"/>
      <c r="CX37" s="228"/>
      <c r="CY37" s="228"/>
      <c r="CZ37" s="228"/>
      <c r="DA37" s="228"/>
      <c r="DB37" s="228"/>
      <c r="DC37" s="228"/>
      <c r="DD37" s="228"/>
      <c r="DE37" s="228"/>
      <c r="DF37" s="228"/>
      <c r="DG37" s="228"/>
      <c r="DH37" s="228"/>
      <c r="DI37" s="228"/>
      <c r="DJ37" s="228"/>
      <c r="DK37" s="228"/>
      <c r="DL37" s="228"/>
      <c r="DM37" s="228"/>
      <c r="DN37" s="228"/>
      <c r="DO37" s="228"/>
      <c r="DP37" s="228"/>
      <c r="DQ37" s="228"/>
    </row>
    <row r="38" s="61" customFormat="1" ht="16" customHeight="1" spans="1:121">
      <c r="A38" s="269" t="s">
        <v>370</v>
      </c>
      <c r="B38" s="270"/>
      <c r="C38" s="106">
        <f>-SUM(F17:F20)</f>
        <v>0</v>
      </c>
      <c r="D38" s="79"/>
      <c r="E38" s="79"/>
      <c r="F38" s="79" t="e">
        <f t="shared" si="31"/>
        <v>#DIV/0!</v>
      </c>
      <c r="G38" s="73"/>
      <c r="H38" s="354" t="s">
        <v>627</v>
      </c>
      <c r="I38" s="79">
        <f>-C44</f>
        <v>0</v>
      </c>
      <c r="J38" s="106" t="e">
        <f>INT(($N$49*1300-SUMPRODUCT($L$177:$L$180,$H$177:$H$180))/H180)</f>
        <v>#DIV/0!</v>
      </c>
      <c r="K38" s="269" t="s">
        <v>208</v>
      </c>
      <c r="L38" s="90"/>
      <c r="M38" s="511"/>
      <c r="N38" s="108" t="s">
        <v>628</v>
      </c>
      <c r="O38" s="108"/>
      <c r="P38" s="393" t="e">
        <f>F48</f>
        <v>#DIV/0!</v>
      </c>
      <c r="Q38" s="269" t="s">
        <v>629</v>
      </c>
      <c r="R38" s="136" t="e">
        <f>F64-MAX(E60,第1期!F64)</f>
        <v>#DIV/0!</v>
      </c>
      <c r="S38" s="137"/>
      <c r="T38" s="120"/>
      <c r="U38" s="68" t="s">
        <v>466</v>
      </c>
      <c r="V38" s="115" t="e">
        <f>第1期!BN44</f>
        <v>#DIV/0!</v>
      </c>
      <c r="W38" s="115" t="e">
        <f>第1期!BO44</f>
        <v>#DIV/0!</v>
      </c>
      <c r="X38" s="115" t="e">
        <f>第1期!BP44</f>
        <v>#DIV/0!</v>
      </c>
      <c r="Y38" s="115" t="e">
        <f>第1期!BQ44</f>
        <v>#DIV/0!</v>
      </c>
      <c r="Z38" s="74"/>
      <c r="AA38" s="73"/>
      <c r="AB38" s="154" t="s">
        <v>208</v>
      </c>
      <c r="AC38" s="152" t="e">
        <f>初始化表!$H$22-AC8</f>
        <v>#DIV/0!</v>
      </c>
      <c r="AD38" s="152" t="e">
        <f>初始化表!$H$22-AD8</f>
        <v>#DIV/0!</v>
      </c>
      <c r="AE38" s="152" t="e">
        <f>初始化表!$H$22-AE8</f>
        <v>#DIV/0!</v>
      </c>
      <c r="AF38" s="152" t="e">
        <f>初始化表!$H$22-AF8</f>
        <v>#DIV/0!</v>
      </c>
      <c r="AG38" s="152" t="e">
        <f>初始化表!$H$22-AG8</f>
        <v>#DIV/0!</v>
      </c>
      <c r="AH38" s="73"/>
      <c r="AI38" s="535"/>
      <c r="AJ38" s="536"/>
      <c r="AK38" s="536"/>
      <c r="AL38" s="536"/>
      <c r="AM38" s="536"/>
      <c r="AN38" s="536"/>
      <c r="AO38" s="536"/>
      <c r="AP38" s="536"/>
      <c r="AQ38" s="536"/>
      <c r="AR38" s="536"/>
      <c r="AS38" s="536"/>
      <c r="AT38" s="536"/>
      <c r="AU38" s="536"/>
      <c r="AV38" s="536"/>
      <c r="AW38" s="536"/>
      <c r="AX38" s="536"/>
      <c r="AY38" s="536"/>
      <c r="AZ38" s="63"/>
      <c r="BA38" s="539">
        <f t="shared" si="34"/>
        <v>0</v>
      </c>
      <c r="BB38" s="77">
        <f t="shared" si="35"/>
        <v>0</v>
      </c>
      <c r="BC38" s="77">
        <f t="shared" si="36"/>
        <v>0</v>
      </c>
      <c r="BD38" s="77">
        <f t="shared" si="37"/>
        <v>0</v>
      </c>
      <c r="BE38" s="77">
        <f t="shared" si="38"/>
        <v>0</v>
      </c>
      <c r="BF38" s="71">
        <f>(BB38*初始化表!E$17+BC38*初始化表!F$17+BD38*初始化表!G$17+BE38*初始化表!H$17)/1300</f>
        <v>0</v>
      </c>
      <c r="BG38" s="545">
        <f t="shared" si="39"/>
        <v>0</v>
      </c>
      <c r="BH38" s="545">
        <f t="shared" si="40"/>
        <v>0</v>
      </c>
      <c r="BI38" s="321">
        <f>$BI$51+MAX(第1期!BI38,0)-第2期!BF38</f>
        <v>0</v>
      </c>
      <c r="BJ38" s="546" t="str">
        <f t="shared" si="41"/>
        <v/>
      </c>
      <c r="BK38" s="546" t="str">
        <f t="shared" si="42"/>
        <v/>
      </c>
      <c r="BM38" s="269" t="s">
        <v>522</v>
      </c>
      <c r="BN38" s="77">
        <f>BF28</f>
        <v>0</v>
      </c>
      <c r="BO38" s="77">
        <f>BG28</f>
        <v>0</v>
      </c>
      <c r="BP38" s="77">
        <f>BH28</f>
        <v>0</v>
      </c>
      <c r="BQ38" s="77">
        <f>BI28</f>
        <v>0</v>
      </c>
      <c r="BR38" s="62"/>
      <c r="BS38" s="539">
        <f t="shared" si="32"/>
        <v>0</v>
      </c>
      <c r="BT38" s="552" t="e">
        <f t="shared" si="33"/>
        <v>#DIV/0!</v>
      </c>
      <c r="BU38" s="552" t="e">
        <f t="shared" si="33"/>
        <v>#DIV/0!</v>
      </c>
      <c r="BV38" s="552" t="e">
        <f t="shared" si="33"/>
        <v>#DIV/0!</v>
      </c>
      <c r="BW38" s="552" t="e">
        <f t="shared" si="33"/>
        <v>#DIV/0!</v>
      </c>
      <c r="BX38" s="552" t="e">
        <f t="shared" si="33"/>
        <v>#DIV/0!</v>
      </c>
      <c r="BY38" s="552" t="e">
        <f t="shared" si="33"/>
        <v>#DIV/0!</v>
      </c>
      <c r="BZ38" s="552" t="e">
        <f t="shared" si="33"/>
        <v>#DIV/0!</v>
      </c>
      <c r="CA38" s="552" t="e">
        <f t="shared" si="33"/>
        <v>#DIV/0!</v>
      </c>
      <c r="CB38" s="552" t="e">
        <f t="shared" si="33"/>
        <v>#DIV/0!</v>
      </c>
      <c r="CC38" s="552" t="e">
        <f t="shared" si="33"/>
        <v>#DIV/0!</v>
      </c>
      <c r="CD38" s="552" t="e">
        <f t="shared" si="33"/>
        <v>#DIV/0!</v>
      </c>
      <c r="CE38" s="552" t="e">
        <f t="shared" si="33"/>
        <v>#DIV/0!</v>
      </c>
      <c r="CF38" s="552" t="e">
        <f t="shared" si="33"/>
        <v>#DIV/0!</v>
      </c>
      <c r="CG38" s="552" t="e">
        <f t="shared" si="33"/>
        <v>#DIV/0!</v>
      </c>
      <c r="CH38" s="552" t="e">
        <f t="shared" si="33"/>
        <v>#DIV/0!</v>
      </c>
      <c r="CI38" s="552" t="e">
        <f t="shared" si="33"/>
        <v>#DIV/0!</v>
      </c>
      <c r="CJ38" s="453"/>
      <c r="CK38" s="228"/>
      <c r="CL38" s="228"/>
      <c r="CM38" s="228"/>
      <c r="CN38" s="228"/>
      <c r="CO38" s="228"/>
      <c r="CP38" s="228"/>
      <c r="CQ38" s="228"/>
      <c r="CR38" s="228"/>
      <c r="CS38" s="228"/>
      <c r="CT38" s="228"/>
      <c r="CU38" s="228"/>
      <c r="CV38" s="228"/>
      <c r="CW38" s="228"/>
      <c r="CX38" s="228"/>
      <c r="CY38" s="228"/>
      <c r="CZ38" s="228"/>
      <c r="DA38" s="228"/>
      <c r="DB38" s="228"/>
      <c r="DC38" s="228"/>
      <c r="DD38" s="228"/>
      <c r="DE38" s="228"/>
      <c r="DF38" s="228"/>
      <c r="DG38" s="228"/>
      <c r="DH38" s="228"/>
      <c r="DI38" s="228"/>
      <c r="DJ38" s="228"/>
      <c r="DK38" s="228"/>
      <c r="DL38" s="228"/>
      <c r="DM38" s="228"/>
      <c r="DN38" s="228"/>
      <c r="DO38" s="228"/>
      <c r="DP38" s="228"/>
      <c r="DQ38" s="228"/>
    </row>
    <row r="39" s="61" customFormat="1" ht="16" customHeight="1" spans="1:121">
      <c r="A39" s="269" t="s">
        <v>371</v>
      </c>
      <c r="B39" s="270"/>
      <c r="C39" s="106">
        <f>(C38+第1期!C38)/2</f>
        <v>0</v>
      </c>
      <c r="D39" s="79"/>
      <c r="E39" s="79" t="e">
        <f>E36-C39</f>
        <v>#DIV/0!</v>
      </c>
      <c r="F39" s="79"/>
      <c r="G39" s="73"/>
      <c r="H39" s="354" t="s">
        <v>241</v>
      </c>
      <c r="I39" s="79">
        <f>SUM(I34:I38)</f>
        <v>0</v>
      </c>
      <c r="J39" s="110"/>
      <c r="K39" s="110"/>
      <c r="L39" s="110"/>
      <c r="M39" s="511"/>
      <c r="N39" s="269" t="s">
        <v>631</v>
      </c>
      <c r="O39" s="270"/>
      <c r="P39" s="270"/>
      <c r="Q39" s="270"/>
      <c r="R39" s="270"/>
      <c r="S39" s="74"/>
      <c r="T39" s="120"/>
      <c r="U39" s="68" t="s">
        <v>468</v>
      </c>
      <c r="V39" s="115" t="e">
        <f>第1期!BN45</f>
        <v>#DIV/0!</v>
      </c>
      <c r="W39" s="115" t="e">
        <f>第1期!BO45</f>
        <v>#DIV/0!</v>
      </c>
      <c r="X39" s="115" t="e">
        <f>第1期!BP45</f>
        <v>#DIV/0!</v>
      </c>
      <c r="Y39" s="115" t="e">
        <f>第1期!BQ45</f>
        <v>#DIV/0!</v>
      </c>
      <c r="Z39" s="74"/>
      <c r="AA39" s="73"/>
      <c r="AB39" s="74"/>
      <c r="AC39" s="74"/>
      <c r="AD39" s="74"/>
      <c r="AE39" s="74"/>
      <c r="AF39" s="74"/>
      <c r="AG39" s="74"/>
      <c r="AH39" s="73"/>
      <c r="AI39" s="535"/>
      <c r="AJ39" s="536"/>
      <c r="AK39" s="536"/>
      <c r="AL39" s="536"/>
      <c r="AM39" s="536"/>
      <c r="AN39" s="536"/>
      <c r="AO39" s="536"/>
      <c r="AP39" s="536"/>
      <c r="AQ39" s="536"/>
      <c r="AR39" s="536"/>
      <c r="AS39" s="536"/>
      <c r="AT39" s="536"/>
      <c r="AU39" s="536"/>
      <c r="AV39" s="536"/>
      <c r="AW39" s="536"/>
      <c r="AX39" s="536"/>
      <c r="AY39" s="536"/>
      <c r="AZ39" s="63"/>
      <c r="BA39" s="539">
        <f t="shared" si="34"/>
        <v>0</v>
      </c>
      <c r="BB39" s="77">
        <f t="shared" si="35"/>
        <v>0</v>
      </c>
      <c r="BC39" s="77">
        <f t="shared" si="36"/>
        <v>0</v>
      </c>
      <c r="BD39" s="77">
        <f t="shared" si="37"/>
        <v>0</v>
      </c>
      <c r="BE39" s="77">
        <f t="shared" si="38"/>
        <v>0</v>
      </c>
      <c r="BF39" s="71">
        <f>(BB39*初始化表!E$17+BC39*初始化表!F$17+BD39*初始化表!G$17+BE39*初始化表!H$17)/1300</f>
        <v>0</v>
      </c>
      <c r="BG39" s="545">
        <f t="shared" si="39"/>
        <v>0</v>
      </c>
      <c r="BH39" s="545">
        <f t="shared" si="40"/>
        <v>0</v>
      </c>
      <c r="BI39" s="321">
        <f>$BI$51+MAX(第1期!BI39,0)-第2期!BF39</f>
        <v>0</v>
      </c>
      <c r="BJ39" s="546" t="str">
        <f t="shared" si="41"/>
        <v/>
      </c>
      <c r="BK39" s="546" t="str">
        <f t="shared" si="42"/>
        <v/>
      </c>
      <c r="BM39" s="269" t="s">
        <v>523</v>
      </c>
      <c r="BN39" s="77">
        <f>BJ28</f>
        <v>0</v>
      </c>
      <c r="BO39" s="77">
        <f>BK28</f>
        <v>0</v>
      </c>
      <c r="BP39" s="77">
        <f>BL28</f>
        <v>0</v>
      </c>
      <c r="BQ39" s="77">
        <f>BM28</f>
        <v>0</v>
      </c>
      <c r="BR39" s="62"/>
      <c r="BS39" s="539">
        <f t="shared" si="32"/>
        <v>0</v>
      </c>
      <c r="BT39" s="552" t="e">
        <f t="shared" si="33"/>
        <v>#DIV/0!</v>
      </c>
      <c r="BU39" s="552" t="e">
        <f t="shared" si="33"/>
        <v>#DIV/0!</v>
      </c>
      <c r="BV39" s="552" t="e">
        <f t="shared" si="33"/>
        <v>#DIV/0!</v>
      </c>
      <c r="BW39" s="552" t="e">
        <f t="shared" si="33"/>
        <v>#DIV/0!</v>
      </c>
      <c r="BX39" s="552" t="e">
        <f t="shared" si="33"/>
        <v>#DIV/0!</v>
      </c>
      <c r="BY39" s="552" t="e">
        <f t="shared" si="33"/>
        <v>#DIV/0!</v>
      </c>
      <c r="BZ39" s="552" t="e">
        <f t="shared" si="33"/>
        <v>#DIV/0!</v>
      </c>
      <c r="CA39" s="552" t="e">
        <f t="shared" si="33"/>
        <v>#DIV/0!</v>
      </c>
      <c r="CB39" s="552" t="e">
        <f t="shared" si="33"/>
        <v>#DIV/0!</v>
      </c>
      <c r="CC39" s="552" t="e">
        <f t="shared" si="33"/>
        <v>#DIV/0!</v>
      </c>
      <c r="CD39" s="552" t="e">
        <f t="shared" si="33"/>
        <v>#DIV/0!</v>
      </c>
      <c r="CE39" s="552" t="e">
        <f t="shared" si="33"/>
        <v>#DIV/0!</v>
      </c>
      <c r="CF39" s="552" t="e">
        <f t="shared" si="33"/>
        <v>#DIV/0!</v>
      </c>
      <c r="CG39" s="552" t="e">
        <f t="shared" si="33"/>
        <v>#DIV/0!</v>
      </c>
      <c r="CH39" s="552" t="e">
        <f t="shared" si="33"/>
        <v>#DIV/0!</v>
      </c>
      <c r="CI39" s="552" t="e">
        <f t="shared" si="33"/>
        <v>#DIV/0!</v>
      </c>
      <c r="CJ39" s="453"/>
      <c r="CK39" s="228"/>
      <c r="CL39" s="228"/>
      <c r="CM39" s="228"/>
      <c r="CN39" s="228"/>
      <c r="CO39" s="228"/>
      <c r="CP39" s="228"/>
      <c r="CQ39" s="228"/>
      <c r="CR39" s="228"/>
      <c r="CS39" s="228"/>
      <c r="CT39" s="228"/>
      <c r="CU39" s="228"/>
      <c r="CV39" s="228"/>
      <c r="CW39" s="228"/>
      <c r="CX39" s="228"/>
      <c r="CY39" s="228"/>
      <c r="CZ39" s="228"/>
      <c r="DA39" s="228"/>
      <c r="DB39" s="228"/>
      <c r="DC39" s="228"/>
      <c r="DD39" s="228"/>
      <c r="DE39" s="228"/>
      <c r="DF39" s="228"/>
      <c r="DG39" s="228"/>
      <c r="DH39" s="228"/>
      <c r="DI39" s="228"/>
      <c r="DJ39" s="228"/>
      <c r="DK39" s="228"/>
      <c r="DL39" s="228"/>
      <c r="DM39" s="228"/>
      <c r="DN39" s="228"/>
      <c r="DO39" s="228"/>
      <c r="DP39" s="228"/>
      <c r="DQ39" s="228"/>
    </row>
    <row r="40" s="61" customFormat="1" ht="16" customHeight="1" spans="1:121">
      <c r="A40" s="269" t="s">
        <v>372</v>
      </c>
      <c r="B40" s="270"/>
      <c r="C40" s="106">
        <f>-E22</f>
        <v>0</v>
      </c>
      <c r="D40" s="79"/>
      <c r="E40" s="79"/>
      <c r="F40" s="79" t="e">
        <f>F38+C40</f>
        <v>#DIV/0!</v>
      </c>
      <c r="G40" s="73"/>
      <c r="H40" s="74"/>
      <c r="I40" s="74"/>
      <c r="J40" s="74"/>
      <c r="K40" s="74"/>
      <c r="L40" s="74"/>
      <c r="M40" s="511"/>
      <c r="N40" s="269" t="s">
        <v>632</v>
      </c>
      <c r="O40" s="269" t="s">
        <v>521</v>
      </c>
      <c r="P40" s="269" t="s">
        <v>522</v>
      </c>
      <c r="Q40" s="269" t="s">
        <v>523</v>
      </c>
      <c r="R40" s="269" t="s">
        <v>524</v>
      </c>
      <c r="S40" s="121"/>
      <c r="T40" s="120"/>
      <c r="U40" s="123"/>
      <c r="V40" s="74"/>
      <c r="W40" s="74"/>
      <c r="X40" s="74"/>
      <c r="Y40" s="74"/>
      <c r="Z40" s="74"/>
      <c r="AA40" s="73"/>
      <c r="AB40" s="400" t="s">
        <v>633</v>
      </c>
      <c r="AC40" s="401"/>
      <c r="AD40" s="161" t="e">
        <f>F77/AD41</f>
        <v>#DIV/0!</v>
      </c>
      <c r="AE40" s="161"/>
      <c r="AF40" s="74"/>
      <c r="AG40" s="74"/>
      <c r="AH40" s="73"/>
      <c r="AI40" s="535"/>
      <c r="AJ40" s="536"/>
      <c r="AK40" s="536"/>
      <c r="AL40" s="536"/>
      <c r="AM40" s="536"/>
      <c r="AN40" s="536"/>
      <c r="AO40" s="536"/>
      <c r="AP40" s="536"/>
      <c r="AQ40" s="536"/>
      <c r="AR40" s="536"/>
      <c r="AS40" s="536"/>
      <c r="AT40" s="536"/>
      <c r="AU40" s="536"/>
      <c r="AV40" s="536"/>
      <c r="AW40" s="536"/>
      <c r="AX40" s="536"/>
      <c r="AY40" s="536"/>
      <c r="AZ40" s="63"/>
      <c r="BA40" s="539">
        <f t="shared" si="34"/>
        <v>0</v>
      </c>
      <c r="BB40" s="77">
        <f t="shared" si="35"/>
        <v>0</v>
      </c>
      <c r="BC40" s="77">
        <f t="shared" si="36"/>
        <v>0</v>
      </c>
      <c r="BD40" s="77">
        <f t="shared" si="37"/>
        <v>0</v>
      </c>
      <c r="BE40" s="77">
        <f t="shared" si="38"/>
        <v>0</v>
      </c>
      <c r="BF40" s="71">
        <f>(BB40*初始化表!E$17+BC40*初始化表!F$17+BD40*初始化表!G$17+BE40*初始化表!H$17)/1300</f>
        <v>0</v>
      </c>
      <c r="BG40" s="545">
        <f t="shared" si="39"/>
        <v>0</v>
      </c>
      <c r="BH40" s="545">
        <f t="shared" si="40"/>
        <v>0</v>
      </c>
      <c r="BI40" s="321">
        <f>$BI$51+MAX(第1期!BI40,0)-第2期!BF40</f>
        <v>0</v>
      </c>
      <c r="BJ40" s="546" t="str">
        <f t="shared" si="41"/>
        <v/>
      </c>
      <c r="BK40" s="546" t="str">
        <f t="shared" si="42"/>
        <v/>
      </c>
      <c r="BM40" s="269" t="s">
        <v>524</v>
      </c>
      <c r="BN40" s="77">
        <f>BN28</f>
        <v>0</v>
      </c>
      <c r="BO40" s="77">
        <f>BO28</f>
        <v>0</v>
      </c>
      <c r="BP40" s="77">
        <f>BP28</f>
        <v>0</v>
      </c>
      <c r="BQ40" s="77">
        <f>BQ28</f>
        <v>0</v>
      </c>
      <c r="BR40" s="62"/>
      <c r="BS40" s="539">
        <f t="shared" si="32"/>
        <v>0</v>
      </c>
      <c r="BT40" s="552" t="e">
        <f t="shared" si="33"/>
        <v>#DIV/0!</v>
      </c>
      <c r="BU40" s="552" t="e">
        <f t="shared" si="33"/>
        <v>#DIV/0!</v>
      </c>
      <c r="BV40" s="552" t="e">
        <f t="shared" si="33"/>
        <v>#DIV/0!</v>
      </c>
      <c r="BW40" s="552" t="e">
        <f t="shared" si="33"/>
        <v>#DIV/0!</v>
      </c>
      <c r="BX40" s="552" t="e">
        <f t="shared" si="33"/>
        <v>#DIV/0!</v>
      </c>
      <c r="BY40" s="552" t="e">
        <f t="shared" si="33"/>
        <v>#DIV/0!</v>
      </c>
      <c r="BZ40" s="552" t="e">
        <f t="shared" si="33"/>
        <v>#DIV/0!</v>
      </c>
      <c r="CA40" s="552" t="e">
        <f t="shared" si="33"/>
        <v>#DIV/0!</v>
      </c>
      <c r="CB40" s="552" t="e">
        <f t="shared" si="33"/>
        <v>#DIV/0!</v>
      </c>
      <c r="CC40" s="552" t="e">
        <f t="shared" si="33"/>
        <v>#DIV/0!</v>
      </c>
      <c r="CD40" s="552" t="e">
        <f t="shared" si="33"/>
        <v>#DIV/0!</v>
      </c>
      <c r="CE40" s="552" t="e">
        <f t="shared" si="33"/>
        <v>#DIV/0!</v>
      </c>
      <c r="CF40" s="552" t="e">
        <f t="shared" si="33"/>
        <v>#DIV/0!</v>
      </c>
      <c r="CG40" s="552" t="e">
        <f t="shared" si="33"/>
        <v>#DIV/0!</v>
      </c>
      <c r="CH40" s="552" t="e">
        <f t="shared" si="33"/>
        <v>#DIV/0!</v>
      </c>
      <c r="CI40" s="552" t="e">
        <f t="shared" si="33"/>
        <v>#DIV/0!</v>
      </c>
      <c r="CJ40" s="453"/>
      <c r="CK40" s="228"/>
      <c r="CL40" s="228"/>
      <c r="CM40" s="228"/>
      <c r="CN40" s="228"/>
      <c r="CO40" s="228"/>
      <c r="CP40" s="228"/>
      <c r="CQ40" s="228"/>
      <c r="CR40" s="228"/>
      <c r="CS40" s="228"/>
      <c r="CT40" s="228"/>
      <c r="CU40" s="228"/>
      <c r="CV40" s="228"/>
      <c r="CW40" s="228"/>
      <c r="CX40" s="228"/>
      <c r="CY40" s="228"/>
      <c r="CZ40" s="228"/>
      <c r="DA40" s="228"/>
      <c r="DB40" s="228"/>
      <c r="DC40" s="228"/>
      <c r="DD40" s="228"/>
      <c r="DE40" s="228"/>
      <c r="DF40" s="228"/>
      <c r="DG40" s="228"/>
      <c r="DH40" s="228"/>
      <c r="DI40" s="228"/>
      <c r="DJ40" s="228"/>
      <c r="DK40" s="228"/>
      <c r="DL40" s="228"/>
      <c r="DM40" s="228"/>
      <c r="DN40" s="228"/>
      <c r="DO40" s="228"/>
      <c r="DP40" s="228"/>
      <c r="DQ40" s="228"/>
    </row>
    <row r="41" s="61" customFormat="1" ht="16" customHeight="1" spans="1:121">
      <c r="A41" s="269" t="s">
        <v>373</v>
      </c>
      <c r="B41" s="270"/>
      <c r="C41" s="106">
        <f>IF(E22&gt;=初始化表!K30,E22*(1-初始化表!L30),IF(E22&gt;=初始化表!K31,E22*(1-初始化表!L31),IF(E22&gt;=初始化表!K32,E22*(1-初始化表!L32),0)))</f>
        <v>0</v>
      </c>
      <c r="D41" s="79">
        <f>C41</f>
        <v>0</v>
      </c>
      <c r="E41" s="79"/>
      <c r="F41" s="79" t="e">
        <f>F40+C41</f>
        <v>#DIV/0!</v>
      </c>
      <c r="G41" s="73"/>
      <c r="H41" s="269" t="s">
        <v>634</v>
      </c>
      <c r="I41" s="270"/>
      <c r="J41" s="270"/>
      <c r="K41" s="270"/>
      <c r="L41" s="270"/>
      <c r="M41" s="511"/>
      <c r="N41" s="269" t="s">
        <v>635</v>
      </c>
      <c r="O41" s="111">
        <f>第1期!AN26</f>
        <v>0.95</v>
      </c>
      <c r="P41" s="111">
        <f>第1期!AN27</f>
        <v>0.95</v>
      </c>
      <c r="Q41" s="111">
        <f>第1期!AN28</f>
        <v>0.95</v>
      </c>
      <c r="R41" s="111">
        <f>第1期!AN29</f>
        <v>0.95</v>
      </c>
      <c r="S41" s="138"/>
      <c r="T41" s="120"/>
      <c r="U41" s="269" t="s">
        <v>636</v>
      </c>
      <c r="V41" s="269" t="s">
        <v>513</v>
      </c>
      <c r="W41" s="269" t="s">
        <v>514</v>
      </c>
      <c r="X41" s="269" t="s">
        <v>515</v>
      </c>
      <c r="Y41" s="269" t="s">
        <v>516</v>
      </c>
      <c r="Z41" s="269" t="s">
        <v>563</v>
      </c>
      <c r="AA41" s="73"/>
      <c r="AB41" s="400" t="s">
        <v>637</v>
      </c>
      <c r="AC41" s="401"/>
      <c r="AD41" s="162">
        <f>((SUM(V42:Y42,V11:Y11))*初始化表!E17+(SUM(V43:Y43,V12:Y12))*初始化表!F17+(SUM(V44:Y44,V13:Y13))*初始化表!G17+(SUM(V45:Y45,V14:Y14))*初始化表!H17)/1300</f>
        <v>0</v>
      </c>
      <c r="AE41" s="162"/>
      <c r="AF41" s="74"/>
      <c r="AG41" s="74"/>
      <c r="AH41" s="73"/>
      <c r="AI41" s="535"/>
      <c r="AJ41" s="536"/>
      <c r="AK41" s="536"/>
      <c r="AL41" s="536"/>
      <c r="AM41" s="536"/>
      <c r="AN41" s="536"/>
      <c r="AO41" s="536"/>
      <c r="AP41" s="536"/>
      <c r="AQ41" s="536"/>
      <c r="AR41" s="536"/>
      <c r="AS41" s="536"/>
      <c r="AT41" s="536"/>
      <c r="AU41" s="536"/>
      <c r="AV41" s="536"/>
      <c r="AW41" s="536"/>
      <c r="AX41" s="536"/>
      <c r="AY41" s="536"/>
      <c r="AZ41" s="63"/>
      <c r="BA41" s="539">
        <f t="shared" si="34"/>
        <v>0</v>
      </c>
      <c r="BB41" s="77">
        <f t="shared" si="35"/>
        <v>0</v>
      </c>
      <c r="BC41" s="77">
        <f t="shared" si="36"/>
        <v>0</v>
      </c>
      <c r="BD41" s="77">
        <f t="shared" si="37"/>
        <v>0</v>
      </c>
      <c r="BE41" s="77">
        <f t="shared" si="38"/>
        <v>0</v>
      </c>
      <c r="BF41" s="71">
        <f>(BB41*初始化表!E$17+BC41*初始化表!F$17+BD41*初始化表!G$17+BE41*初始化表!H$17)/1300</f>
        <v>0</v>
      </c>
      <c r="BG41" s="545">
        <f t="shared" si="39"/>
        <v>0</v>
      </c>
      <c r="BH41" s="545">
        <f t="shared" si="40"/>
        <v>0</v>
      </c>
      <c r="BI41" s="321">
        <f>$BI$51+MAX(第1期!BI41,0)-第2期!BF41</f>
        <v>0</v>
      </c>
      <c r="BJ41" s="546" t="str">
        <f t="shared" si="41"/>
        <v/>
      </c>
      <c r="BK41" s="546" t="str">
        <f t="shared" si="42"/>
        <v/>
      </c>
      <c r="BM41" s="217" t="s">
        <v>718</v>
      </c>
      <c r="BN41" s="269" t="s">
        <v>513</v>
      </c>
      <c r="BO41" s="269" t="s">
        <v>514</v>
      </c>
      <c r="BP41" s="269" t="s">
        <v>515</v>
      </c>
      <c r="BQ41" s="269" t="s">
        <v>516</v>
      </c>
      <c r="BR41" s="62"/>
      <c r="BS41" s="539">
        <f t="shared" si="32"/>
        <v>0</v>
      </c>
      <c r="BT41" s="552" t="e">
        <f t="shared" si="33"/>
        <v>#DIV/0!</v>
      </c>
      <c r="BU41" s="552" t="e">
        <f t="shared" si="33"/>
        <v>#DIV/0!</v>
      </c>
      <c r="BV41" s="552" t="e">
        <f t="shared" si="33"/>
        <v>#DIV/0!</v>
      </c>
      <c r="BW41" s="552" t="e">
        <f t="shared" si="33"/>
        <v>#DIV/0!</v>
      </c>
      <c r="BX41" s="552" t="e">
        <f t="shared" si="33"/>
        <v>#DIV/0!</v>
      </c>
      <c r="BY41" s="552" t="e">
        <f t="shared" si="33"/>
        <v>#DIV/0!</v>
      </c>
      <c r="BZ41" s="552" t="e">
        <f t="shared" si="33"/>
        <v>#DIV/0!</v>
      </c>
      <c r="CA41" s="552" t="e">
        <f t="shared" si="33"/>
        <v>#DIV/0!</v>
      </c>
      <c r="CB41" s="552" t="e">
        <f t="shared" si="33"/>
        <v>#DIV/0!</v>
      </c>
      <c r="CC41" s="552" t="e">
        <f t="shared" si="33"/>
        <v>#DIV/0!</v>
      </c>
      <c r="CD41" s="552" t="e">
        <f t="shared" si="33"/>
        <v>#DIV/0!</v>
      </c>
      <c r="CE41" s="552" t="e">
        <f t="shared" si="33"/>
        <v>#DIV/0!</v>
      </c>
      <c r="CF41" s="552" t="e">
        <f t="shared" si="33"/>
        <v>#DIV/0!</v>
      </c>
      <c r="CG41" s="552" t="e">
        <f t="shared" si="33"/>
        <v>#DIV/0!</v>
      </c>
      <c r="CH41" s="552" t="e">
        <f t="shared" si="33"/>
        <v>#DIV/0!</v>
      </c>
      <c r="CI41" s="552" t="e">
        <f t="shared" si="33"/>
        <v>#DIV/0!</v>
      </c>
      <c r="CJ41" s="453"/>
      <c r="CK41" s="228"/>
      <c r="CL41" s="228"/>
      <c r="CM41" s="228"/>
      <c r="CN41" s="228"/>
      <c r="CO41" s="228"/>
      <c r="CP41" s="228"/>
      <c r="CQ41" s="228"/>
      <c r="CR41" s="228"/>
      <c r="CS41" s="228"/>
      <c r="CT41" s="228"/>
      <c r="CU41" s="228"/>
      <c r="CV41" s="228"/>
      <c r="CW41" s="228"/>
      <c r="CX41" s="228"/>
      <c r="CY41" s="228"/>
      <c r="CZ41" s="228"/>
      <c r="DA41" s="228"/>
      <c r="DB41" s="228"/>
      <c r="DC41" s="228"/>
      <c r="DD41" s="228"/>
      <c r="DE41" s="228"/>
      <c r="DF41" s="228"/>
      <c r="DG41" s="228"/>
      <c r="DH41" s="228"/>
      <c r="DI41" s="228"/>
      <c r="DJ41" s="228"/>
      <c r="DK41" s="228"/>
      <c r="DL41" s="228"/>
      <c r="DM41" s="228"/>
      <c r="DN41" s="228"/>
      <c r="DO41" s="228"/>
      <c r="DP41" s="228"/>
      <c r="DQ41" s="228"/>
    </row>
    <row r="42" s="61" customFormat="1" ht="16" customHeight="1" spans="1:121">
      <c r="A42" s="269" t="s">
        <v>374</v>
      </c>
      <c r="B42" s="270"/>
      <c r="C42" s="106">
        <f>IF(E22&gt;0,-初始化表!B9-初始化表!B10*E22,0)</f>
        <v>0</v>
      </c>
      <c r="D42" s="79"/>
      <c r="E42" s="79" t="e">
        <f>E39-C42</f>
        <v>#DIV/0!</v>
      </c>
      <c r="F42" s="79" t="e">
        <f>F41+C42</f>
        <v>#DIV/0!</v>
      </c>
      <c r="G42" s="73"/>
      <c r="H42" s="269" t="s">
        <v>639</v>
      </c>
      <c r="I42" s="269" t="s">
        <v>640</v>
      </c>
      <c r="J42" s="269" t="s">
        <v>641</v>
      </c>
      <c r="K42" s="269" t="s">
        <v>642</v>
      </c>
      <c r="L42" s="269" t="s">
        <v>643</v>
      </c>
      <c r="M42" s="511"/>
      <c r="N42" s="269" t="s">
        <v>644</v>
      </c>
      <c r="O42" s="112" t="e">
        <f>1-0.5/MAX(B12:E12)</f>
        <v>#DIV/0!</v>
      </c>
      <c r="P42" s="112" t="e">
        <f>1-0.5/MAX(B13:E13)</f>
        <v>#DIV/0!</v>
      </c>
      <c r="Q42" s="112" t="e">
        <f>1-0.5/MAX(B14:E14)</f>
        <v>#DIV/0!</v>
      </c>
      <c r="R42" s="112" t="e">
        <f>1-0.5/MAX(B15:E15)</f>
        <v>#DIV/0!</v>
      </c>
      <c r="S42" s="139"/>
      <c r="T42" s="120"/>
      <c r="U42" s="269" t="s">
        <v>521</v>
      </c>
      <c r="V42" s="77">
        <f t="shared" ref="V42:Y45" si="43">MAX(B12+V5-V11-V66,0)</f>
        <v>0</v>
      </c>
      <c r="W42" s="77">
        <f t="shared" si="43"/>
        <v>0</v>
      </c>
      <c r="X42" s="77">
        <f t="shared" si="43"/>
        <v>0</v>
      </c>
      <c r="Y42" s="77">
        <f t="shared" si="43"/>
        <v>0</v>
      </c>
      <c r="Z42" s="402">
        <f>SUM(V42:Y42)</f>
        <v>0</v>
      </c>
      <c r="AA42" s="73"/>
      <c r="AB42" s="269" t="s">
        <v>645</v>
      </c>
      <c r="AC42" s="270"/>
      <c r="AD42" s="71" t="e">
        <f>C49/AD41</f>
        <v>#DIV/0!</v>
      </c>
      <c r="AE42" s="71"/>
      <c r="AF42" s="74"/>
      <c r="AG42" s="74"/>
      <c r="AH42" s="73"/>
      <c r="AI42" s="535"/>
      <c r="AJ42" s="536"/>
      <c r="AK42" s="536"/>
      <c r="AL42" s="536"/>
      <c r="AM42" s="536"/>
      <c r="AN42" s="536"/>
      <c r="AO42" s="536"/>
      <c r="AP42" s="536"/>
      <c r="AQ42" s="536"/>
      <c r="AR42" s="536"/>
      <c r="AS42" s="536"/>
      <c r="AT42" s="536"/>
      <c r="AU42" s="536"/>
      <c r="AV42" s="536"/>
      <c r="AW42" s="536"/>
      <c r="AX42" s="536"/>
      <c r="AY42" s="536"/>
      <c r="AZ42" s="63"/>
      <c r="BA42" s="539">
        <f t="shared" si="34"/>
        <v>0</v>
      </c>
      <c r="BB42" s="77">
        <f t="shared" si="35"/>
        <v>0</v>
      </c>
      <c r="BC42" s="77">
        <f t="shared" si="36"/>
        <v>0</v>
      </c>
      <c r="BD42" s="77">
        <f t="shared" si="37"/>
        <v>0</v>
      </c>
      <c r="BE42" s="77">
        <f t="shared" si="38"/>
        <v>0</v>
      </c>
      <c r="BF42" s="71">
        <f>(BB42*初始化表!E$17+BC42*初始化表!F$17+BD42*初始化表!G$17+BE42*初始化表!H$17)/1300</f>
        <v>0</v>
      </c>
      <c r="BG42" s="545">
        <f t="shared" si="39"/>
        <v>0</v>
      </c>
      <c r="BH42" s="545">
        <f t="shared" si="40"/>
        <v>0</v>
      </c>
      <c r="BI42" s="321">
        <f>$BI$51+MAX(第1期!BI42,0)-第2期!BF42</f>
        <v>0</v>
      </c>
      <c r="BJ42" s="546" t="str">
        <f t="shared" si="41"/>
        <v/>
      </c>
      <c r="BK42" s="546" t="str">
        <f t="shared" si="42"/>
        <v/>
      </c>
      <c r="BM42" s="269" t="s">
        <v>521</v>
      </c>
      <c r="BN42" s="77" t="e">
        <f t="shared" ref="BN42:BQ45" si="44">INT(1/BN32*BN37)</f>
        <v>#DIV/0!</v>
      </c>
      <c r="BO42" s="77" t="e">
        <f t="shared" si="44"/>
        <v>#DIV/0!</v>
      </c>
      <c r="BP42" s="77" t="e">
        <f t="shared" si="44"/>
        <v>#DIV/0!</v>
      </c>
      <c r="BQ42" s="77" t="e">
        <f t="shared" si="44"/>
        <v>#DIV/0!</v>
      </c>
      <c r="BR42" s="62"/>
      <c r="BS42" s="539">
        <f t="shared" si="32"/>
        <v>0</v>
      </c>
      <c r="BT42" s="552" t="e">
        <f t="shared" si="33"/>
        <v>#DIV/0!</v>
      </c>
      <c r="BU42" s="552" t="e">
        <f t="shared" si="33"/>
        <v>#DIV/0!</v>
      </c>
      <c r="BV42" s="552" t="e">
        <f t="shared" si="33"/>
        <v>#DIV/0!</v>
      </c>
      <c r="BW42" s="552" t="e">
        <f t="shared" si="33"/>
        <v>#DIV/0!</v>
      </c>
      <c r="BX42" s="552" t="e">
        <f t="shared" si="33"/>
        <v>#DIV/0!</v>
      </c>
      <c r="BY42" s="552" t="e">
        <f t="shared" si="33"/>
        <v>#DIV/0!</v>
      </c>
      <c r="BZ42" s="552" t="e">
        <f t="shared" si="33"/>
        <v>#DIV/0!</v>
      </c>
      <c r="CA42" s="552" t="e">
        <f t="shared" si="33"/>
        <v>#DIV/0!</v>
      </c>
      <c r="CB42" s="552" t="e">
        <f t="shared" si="33"/>
        <v>#DIV/0!</v>
      </c>
      <c r="CC42" s="552" t="e">
        <f t="shared" si="33"/>
        <v>#DIV/0!</v>
      </c>
      <c r="CD42" s="552" t="e">
        <f t="shared" si="33"/>
        <v>#DIV/0!</v>
      </c>
      <c r="CE42" s="552" t="e">
        <f t="shared" si="33"/>
        <v>#DIV/0!</v>
      </c>
      <c r="CF42" s="552" t="e">
        <f t="shared" si="33"/>
        <v>#DIV/0!</v>
      </c>
      <c r="CG42" s="552" t="e">
        <f t="shared" si="33"/>
        <v>#DIV/0!</v>
      </c>
      <c r="CH42" s="552" t="e">
        <f t="shared" si="33"/>
        <v>#DIV/0!</v>
      </c>
      <c r="CI42" s="552" t="e">
        <f t="shared" si="33"/>
        <v>#DIV/0!</v>
      </c>
      <c r="CJ42" s="453"/>
      <c r="CK42" s="228"/>
      <c r="CL42" s="228"/>
      <c r="CM42" s="228"/>
      <c r="CN42" s="228"/>
      <c r="CO42" s="228"/>
      <c r="CP42" s="228"/>
      <c r="CQ42" s="228"/>
      <c r="CR42" s="228"/>
      <c r="CS42" s="228"/>
      <c r="CT42" s="228"/>
      <c r="CU42" s="228"/>
      <c r="CV42" s="228"/>
      <c r="CW42" s="228"/>
      <c r="CX42" s="228"/>
      <c r="CY42" s="228"/>
      <c r="CZ42" s="228"/>
      <c r="DA42" s="228"/>
      <c r="DB42" s="228"/>
      <c r="DC42" s="228"/>
      <c r="DD42" s="228"/>
      <c r="DE42" s="228"/>
      <c r="DF42" s="228"/>
      <c r="DG42" s="228"/>
      <c r="DH42" s="228"/>
      <c r="DI42" s="228"/>
      <c r="DJ42" s="228"/>
      <c r="DK42" s="228"/>
      <c r="DL42" s="228"/>
      <c r="DM42" s="228"/>
      <c r="DN42" s="228"/>
      <c r="DO42" s="228"/>
      <c r="DP42" s="228"/>
      <c r="DQ42" s="228"/>
    </row>
    <row r="43" s="61" customFormat="1" ht="16" customHeight="1" spans="1:121">
      <c r="A43" s="269" t="s">
        <v>244</v>
      </c>
      <c r="B43" s="270"/>
      <c r="C43" s="106">
        <f>-(IF(SUM(B17:C17)=0,0,初始化表!H25)+IF(SUM(B18:C18)=0,0,初始化表!H26)+IF(SUM(B19:C19)=0,0,初始化表!H27)+IF(SUM(B20:C20)=0,0,初始化表!H28)+IF(SUM(D17:E17)=0,0,初始化表!I25)+IF(SUM(D18:E18)=0,0,初始化表!I26)+IF(SUM(D19:E19)=0,0,初始化表!I27)+IF(SUM(D20:E20)=0,0,初始化表!I28))</f>
        <v>0</v>
      </c>
      <c r="D43" s="79"/>
      <c r="E43" s="79" t="e">
        <f t="shared" ref="E43:E48" si="45">E42-C43</f>
        <v>#DIV/0!</v>
      </c>
      <c r="F43" s="79" t="e">
        <f>F42+C43</f>
        <v>#DIV/0!</v>
      </c>
      <c r="G43" s="73"/>
      <c r="H43" s="83">
        <f>第1期!F70</f>
        <v>0</v>
      </c>
      <c r="I43" s="83" t="e">
        <f>ROUNDUP(MAX(-K29/初始化表!B11,0),0)</f>
        <v>#DIV/0!</v>
      </c>
      <c r="J43" s="83" t="e">
        <f>IF(I43&lt;=0,0,IF(I43&lt;初始化表!K32,初始化表!K32,IF(I43&lt;初始化表!K31,初始化表!K31,IF(I43&lt;初始化表!K30,初始化表!K30,I43))))</f>
        <v>#DIV/0!</v>
      </c>
      <c r="K43" s="107"/>
      <c r="L43" s="83">
        <f>E22+H43-(SUM(B17:E17)*初始化表!E19+SUM(B18:E18)*初始化表!F19+SUM(B19:E19)*初始化表!G19+SUM(B20:E20)*初始化表!H19)</f>
        <v>0</v>
      </c>
      <c r="M43" s="511"/>
      <c r="N43" s="269" t="s">
        <v>646</v>
      </c>
      <c r="O43" s="111">
        <f>工资系数初始化!D20</f>
        <v>0.95</v>
      </c>
      <c r="P43" s="111">
        <f>工资系数初始化!E20</f>
        <v>0.95</v>
      </c>
      <c r="Q43" s="111">
        <f>工资系数初始化!F20</f>
        <v>0.95</v>
      </c>
      <c r="R43" s="111">
        <f>工资系数初始化!G20</f>
        <v>0.95</v>
      </c>
      <c r="S43" s="138"/>
      <c r="T43" s="120"/>
      <c r="U43" s="269" t="s">
        <v>522</v>
      </c>
      <c r="V43" s="77">
        <f t="shared" si="43"/>
        <v>0</v>
      </c>
      <c r="W43" s="77">
        <f t="shared" si="43"/>
        <v>0</v>
      </c>
      <c r="X43" s="77">
        <f t="shared" si="43"/>
        <v>0</v>
      </c>
      <c r="Y43" s="77">
        <f t="shared" si="43"/>
        <v>0</v>
      </c>
      <c r="Z43" s="402">
        <f>SUM(V43:Y43)</f>
        <v>0</v>
      </c>
      <c r="AA43" s="73"/>
      <c r="AB43" s="74"/>
      <c r="AC43" s="74"/>
      <c r="AD43" s="74"/>
      <c r="AE43" s="74"/>
      <c r="AF43" s="74"/>
      <c r="AG43" s="74"/>
      <c r="AH43" s="73"/>
      <c r="AI43" s="535"/>
      <c r="AJ43" s="536"/>
      <c r="AK43" s="536"/>
      <c r="AL43" s="536"/>
      <c r="AM43" s="536"/>
      <c r="AN43" s="536"/>
      <c r="AO43" s="536"/>
      <c r="AP43" s="536"/>
      <c r="AQ43" s="536"/>
      <c r="AR43" s="536"/>
      <c r="AS43" s="536"/>
      <c r="AT43" s="536"/>
      <c r="AU43" s="536"/>
      <c r="AV43" s="536"/>
      <c r="AW43" s="536"/>
      <c r="AX43" s="536"/>
      <c r="AY43" s="536"/>
      <c r="AZ43" s="63"/>
      <c r="BA43" s="539">
        <f t="shared" si="34"/>
        <v>0</v>
      </c>
      <c r="BB43" s="77">
        <f t="shared" si="35"/>
        <v>0</v>
      </c>
      <c r="BC43" s="77">
        <f t="shared" si="36"/>
        <v>0</v>
      </c>
      <c r="BD43" s="77">
        <f t="shared" si="37"/>
        <v>0</v>
      </c>
      <c r="BE43" s="77">
        <f t="shared" si="38"/>
        <v>0</v>
      </c>
      <c r="BF43" s="71">
        <f>(BB43*初始化表!E$17+BC43*初始化表!F$17+BD43*初始化表!G$17+BE43*初始化表!H$17)/1300</f>
        <v>0</v>
      </c>
      <c r="BG43" s="545">
        <f t="shared" si="39"/>
        <v>0</v>
      </c>
      <c r="BH43" s="545">
        <f t="shared" si="40"/>
        <v>0</v>
      </c>
      <c r="BI43" s="321">
        <f>$BI$51+MAX(第1期!BI43,0)-第2期!BF43</f>
        <v>0</v>
      </c>
      <c r="BJ43" s="546" t="str">
        <f t="shared" si="41"/>
        <v/>
      </c>
      <c r="BK43" s="546" t="str">
        <f t="shared" si="42"/>
        <v/>
      </c>
      <c r="BM43" s="269" t="s">
        <v>522</v>
      </c>
      <c r="BN43" s="77" t="e">
        <f t="shared" si="44"/>
        <v>#DIV/0!</v>
      </c>
      <c r="BO43" s="77" t="e">
        <f t="shared" si="44"/>
        <v>#DIV/0!</v>
      </c>
      <c r="BP43" s="77" t="e">
        <f t="shared" si="44"/>
        <v>#DIV/0!</v>
      </c>
      <c r="BQ43" s="77" t="e">
        <f t="shared" si="44"/>
        <v>#DIV/0!</v>
      </c>
      <c r="BR43" s="62"/>
      <c r="BS43" s="539">
        <f t="shared" si="32"/>
        <v>0</v>
      </c>
      <c r="BT43" s="552" t="e">
        <f t="shared" si="33"/>
        <v>#DIV/0!</v>
      </c>
      <c r="BU43" s="552" t="e">
        <f t="shared" si="33"/>
        <v>#DIV/0!</v>
      </c>
      <c r="BV43" s="552" t="e">
        <f t="shared" si="33"/>
        <v>#DIV/0!</v>
      </c>
      <c r="BW43" s="552" t="e">
        <f t="shared" si="33"/>
        <v>#DIV/0!</v>
      </c>
      <c r="BX43" s="552" t="e">
        <f t="shared" si="33"/>
        <v>#DIV/0!</v>
      </c>
      <c r="BY43" s="552" t="e">
        <f t="shared" si="33"/>
        <v>#DIV/0!</v>
      </c>
      <c r="BZ43" s="552" t="e">
        <f t="shared" si="33"/>
        <v>#DIV/0!</v>
      </c>
      <c r="CA43" s="552" t="e">
        <f t="shared" si="33"/>
        <v>#DIV/0!</v>
      </c>
      <c r="CB43" s="552" t="e">
        <f t="shared" si="33"/>
        <v>#DIV/0!</v>
      </c>
      <c r="CC43" s="552" t="e">
        <f t="shared" si="33"/>
        <v>#DIV/0!</v>
      </c>
      <c r="CD43" s="552" t="e">
        <f t="shared" si="33"/>
        <v>#DIV/0!</v>
      </c>
      <c r="CE43" s="552" t="e">
        <f t="shared" si="33"/>
        <v>#DIV/0!</v>
      </c>
      <c r="CF43" s="552" t="e">
        <f t="shared" si="33"/>
        <v>#DIV/0!</v>
      </c>
      <c r="CG43" s="552" t="e">
        <f t="shared" si="33"/>
        <v>#DIV/0!</v>
      </c>
      <c r="CH43" s="552" t="e">
        <f t="shared" si="33"/>
        <v>#DIV/0!</v>
      </c>
      <c r="CI43" s="552" t="e">
        <f t="shared" si="33"/>
        <v>#DIV/0!</v>
      </c>
      <c r="CJ43" s="453"/>
      <c r="CK43" s="228"/>
      <c r="CL43" s="228"/>
      <c r="CM43" s="228"/>
      <c r="CN43" s="228"/>
      <c r="CO43" s="228"/>
      <c r="CP43" s="228"/>
      <c r="CQ43" s="228"/>
      <c r="CR43" s="228"/>
      <c r="CS43" s="228"/>
      <c r="CT43" s="228"/>
      <c r="CU43" s="228"/>
      <c r="CV43" s="228"/>
      <c r="CW43" s="228"/>
      <c r="CX43" s="228"/>
      <c r="CY43" s="228"/>
      <c r="CZ43" s="228"/>
      <c r="DA43" s="228"/>
      <c r="DB43" s="228"/>
      <c r="DC43" s="228"/>
      <c r="DD43" s="228"/>
      <c r="DE43" s="228"/>
      <c r="DF43" s="228"/>
      <c r="DG43" s="228"/>
      <c r="DH43" s="228"/>
      <c r="DI43" s="228"/>
      <c r="DJ43" s="228"/>
      <c r="DK43" s="228"/>
      <c r="DL43" s="228"/>
      <c r="DM43" s="228"/>
      <c r="DN43" s="228"/>
      <c r="DO43" s="228"/>
      <c r="DP43" s="228"/>
      <c r="DQ43" s="228"/>
    </row>
    <row r="44" s="61" customFormat="1" ht="16" customHeight="1" spans="1:121">
      <c r="A44" s="269" t="s">
        <v>375</v>
      </c>
      <c r="B44" s="270"/>
      <c r="C44" s="106">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0</v>
      </c>
      <c r="D44" s="79"/>
      <c r="E44" s="79" t="e">
        <f t="shared" si="45"/>
        <v>#DIV/0!</v>
      </c>
      <c r="F44" s="79" t="e">
        <f>F43+C44</f>
        <v>#DIV/0!</v>
      </c>
      <c r="G44" s="73"/>
      <c r="H44" s="74"/>
      <c r="I44" s="74"/>
      <c r="J44" s="74"/>
      <c r="K44" s="113" t="s">
        <v>255</v>
      </c>
      <c r="L44" s="114" t="e">
        <f>F77</f>
        <v>#DIV/0!</v>
      </c>
      <c r="M44" s="511"/>
      <c r="N44" s="269" t="s">
        <v>647</v>
      </c>
      <c r="O44" s="269" t="s">
        <v>648</v>
      </c>
      <c r="P44" s="269" t="s">
        <v>649</v>
      </c>
      <c r="Q44" s="269" t="s">
        <v>650</v>
      </c>
      <c r="R44" s="269" t="s">
        <v>313</v>
      </c>
      <c r="S44" s="121"/>
      <c r="T44" s="120"/>
      <c r="U44" s="269" t="s">
        <v>523</v>
      </c>
      <c r="V44" s="77">
        <f t="shared" si="43"/>
        <v>0</v>
      </c>
      <c r="W44" s="77">
        <f t="shared" si="43"/>
        <v>0</v>
      </c>
      <c r="X44" s="77">
        <f t="shared" si="43"/>
        <v>0</v>
      </c>
      <c r="Y44" s="77">
        <f t="shared" si="43"/>
        <v>0</v>
      </c>
      <c r="Z44" s="402">
        <f>SUM(V44:Y44)</f>
        <v>0</v>
      </c>
      <c r="AA44" s="73"/>
      <c r="AB44" s="74"/>
      <c r="AC44" s="74"/>
      <c r="AD44" s="74"/>
      <c r="AE44" s="74"/>
      <c r="AF44" s="74"/>
      <c r="AG44" s="74"/>
      <c r="AH44" s="73"/>
      <c r="AI44" s="535"/>
      <c r="AJ44" s="536"/>
      <c r="AK44" s="536"/>
      <c r="AL44" s="536"/>
      <c r="AM44" s="536"/>
      <c r="AN44" s="536"/>
      <c r="AO44" s="536"/>
      <c r="AP44" s="536"/>
      <c r="AQ44" s="536"/>
      <c r="AR44" s="536"/>
      <c r="AS44" s="536"/>
      <c r="AT44" s="536"/>
      <c r="AU44" s="536"/>
      <c r="AV44" s="536"/>
      <c r="AW44" s="536"/>
      <c r="AX44" s="536"/>
      <c r="AY44" s="536"/>
      <c r="AZ44" s="63"/>
      <c r="BA44" s="539">
        <f t="shared" si="34"/>
        <v>0</v>
      </c>
      <c r="BB44" s="77">
        <f t="shared" si="35"/>
        <v>0</v>
      </c>
      <c r="BC44" s="77">
        <f t="shared" si="36"/>
        <v>0</v>
      </c>
      <c r="BD44" s="77">
        <f t="shared" si="37"/>
        <v>0</v>
      </c>
      <c r="BE44" s="77">
        <f t="shared" si="38"/>
        <v>0</v>
      </c>
      <c r="BF44" s="71">
        <f>(BB44*初始化表!E$17+BC44*初始化表!F$17+BD44*初始化表!G$17+BE44*初始化表!H$17)/1300</f>
        <v>0</v>
      </c>
      <c r="BG44" s="545">
        <f t="shared" si="39"/>
        <v>0</v>
      </c>
      <c r="BH44" s="545">
        <f t="shared" si="40"/>
        <v>0</v>
      </c>
      <c r="BI44" s="321">
        <f>$BI$51+MAX(第1期!BI44,0)-第2期!BF44</f>
        <v>0</v>
      </c>
      <c r="BJ44" s="546" t="str">
        <f t="shared" si="41"/>
        <v/>
      </c>
      <c r="BK44" s="546" t="str">
        <f t="shared" si="42"/>
        <v/>
      </c>
      <c r="BM44" s="269" t="s">
        <v>523</v>
      </c>
      <c r="BN44" s="77" t="e">
        <f t="shared" si="44"/>
        <v>#DIV/0!</v>
      </c>
      <c r="BO44" s="77" t="e">
        <f t="shared" si="44"/>
        <v>#DIV/0!</v>
      </c>
      <c r="BP44" s="77" t="e">
        <f t="shared" si="44"/>
        <v>#DIV/0!</v>
      </c>
      <c r="BQ44" s="77" t="e">
        <f t="shared" si="44"/>
        <v>#DIV/0!</v>
      </c>
      <c r="BR44" s="62"/>
      <c r="BS44" s="539">
        <f t="shared" si="32"/>
        <v>0</v>
      </c>
      <c r="BT44" s="552" t="e">
        <f t="shared" si="33"/>
        <v>#DIV/0!</v>
      </c>
      <c r="BU44" s="552" t="e">
        <f t="shared" si="33"/>
        <v>#DIV/0!</v>
      </c>
      <c r="BV44" s="552" t="e">
        <f t="shared" si="33"/>
        <v>#DIV/0!</v>
      </c>
      <c r="BW44" s="552" t="e">
        <f t="shared" si="33"/>
        <v>#DIV/0!</v>
      </c>
      <c r="BX44" s="552" t="e">
        <f t="shared" si="33"/>
        <v>#DIV/0!</v>
      </c>
      <c r="BY44" s="552" t="e">
        <f t="shared" si="33"/>
        <v>#DIV/0!</v>
      </c>
      <c r="BZ44" s="552" t="e">
        <f t="shared" si="33"/>
        <v>#DIV/0!</v>
      </c>
      <c r="CA44" s="552" t="e">
        <f t="shared" si="33"/>
        <v>#DIV/0!</v>
      </c>
      <c r="CB44" s="552" t="e">
        <f t="shared" si="33"/>
        <v>#DIV/0!</v>
      </c>
      <c r="CC44" s="552" t="e">
        <f t="shared" si="33"/>
        <v>#DIV/0!</v>
      </c>
      <c r="CD44" s="552" t="e">
        <f t="shared" si="33"/>
        <v>#DIV/0!</v>
      </c>
      <c r="CE44" s="552" t="e">
        <f t="shared" si="33"/>
        <v>#DIV/0!</v>
      </c>
      <c r="CF44" s="552" t="e">
        <f t="shared" si="33"/>
        <v>#DIV/0!</v>
      </c>
      <c r="CG44" s="552" t="e">
        <f t="shared" si="33"/>
        <v>#DIV/0!</v>
      </c>
      <c r="CH44" s="552" t="e">
        <f t="shared" si="33"/>
        <v>#DIV/0!</v>
      </c>
      <c r="CI44" s="552" t="e">
        <f t="shared" si="33"/>
        <v>#DIV/0!</v>
      </c>
      <c r="CJ44" s="453"/>
      <c r="CK44" s="228"/>
      <c r="CL44" s="228"/>
      <c r="CM44" s="228"/>
      <c r="CN44" s="228"/>
      <c r="CO44" s="228"/>
      <c r="CP44" s="228"/>
      <c r="CQ44" s="228"/>
      <c r="CR44" s="228"/>
      <c r="CS44" s="228"/>
      <c r="CT44" s="228"/>
      <c r="CU44" s="228"/>
      <c r="CV44" s="228"/>
      <c r="CW44" s="228"/>
      <c r="CX44" s="228"/>
      <c r="CY44" s="228"/>
      <c r="CZ44" s="228"/>
      <c r="DA44" s="228"/>
      <c r="DB44" s="228"/>
      <c r="DC44" s="228"/>
      <c r="DD44" s="228"/>
      <c r="DE44" s="228"/>
      <c r="DF44" s="228"/>
      <c r="DG44" s="228"/>
      <c r="DH44" s="228"/>
      <c r="DI44" s="228"/>
      <c r="DJ44" s="228"/>
      <c r="DK44" s="228"/>
      <c r="DL44" s="228"/>
      <c r="DM44" s="228"/>
      <c r="DN44" s="228"/>
      <c r="DO44" s="228"/>
      <c r="DP44" s="228"/>
      <c r="DQ44" s="228"/>
    </row>
    <row r="45" s="61" customFormat="1" ht="16" customHeight="1" spans="1:121">
      <c r="A45" s="269" t="s">
        <v>376</v>
      </c>
      <c r="B45" s="270"/>
      <c r="C45" s="106">
        <f>-SUM(B17:E17)*初始化表!E19-SUM(B18:E18)*初始化表!F19-SUM(B19:E19)*初始化表!G19-SUM(B20:E20)*初始化表!H19</f>
        <v>0</v>
      </c>
      <c r="D45" s="79"/>
      <c r="E45" s="79" t="e">
        <f t="shared" si="45"/>
        <v>#DIV/0!</v>
      </c>
      <c r="F45" s="79"/>
      <c r="G45" s="73"/>
      <c r="H45" s="269" t="s">
        <v>282</v>
      </c>
      <c r="I45" s="270"/>
      <c r="J45" s="270"/>
      <c r="K45" s="270"/>
      <c r="L45" s="270"/>
      <c r="M45" s="511"/>
      <c r="N45" s="115">
        <f>第1期!F24</f>
        <v>1</v>
      </c>
      <c r="O45" s="77">
        <f>IF(0.99*LOG(F24,初始化表!B20)&lt;0.99,0.99*LOG(F24,初始化表!B20),0.99)</f>
        <v>0</v>
      </c>
      <c r="P45" s="77" t="e">
        <f>INT(((R42-0.95-(R41-0.95)*0.2)/0.8*10/初始化表!B19+1)*1000+0.5)/1000</f>
        <v>#DIV/0!</v>
      </c>
      <c r="Q45" s="77">
        <f>INT(((0.05-(R41-0.95)*0.2)/0.8*10/初始化表!B19+1)*1000+0.5)/1000</f>
        <v>1.625</v>
      </c>
      <c r="R45" s="142">
        <f>第1期!R45</f>
        <v>1</v>
      </c>
      <c r="S45" s="141" t="s">
        <v>651</v>
      </c>
      <c r="T45" s="142"/>
      <c r="U45" s="419" t="s">
        <v>524</v>
      </c>
      <c r="V45" s="77">
        <f t="shared" si="43"/>
        <v>0</v>
      </c>
      <c r="W45" s="77">
        <f t="shared" si="43"/>
        <v>0</v>
      </c>
      <c r="X45" s="77">
        <f t="shared" si="43"/>
        <v>0</v>
      </c>
      <c r="Y45" s="77">
        <f t="shared" si="43"/>
        <v>0</v>
      </c>
      <c r="Z45" s="402">
        <f>SUM(V45:Y45)</f>
        <v>0</v>
      </c>
      <c r="AA45" s="73"/>
      <c r="AB45" s="74"/>
      <c r="AC45" s="74"/>
      <c r="AD45" s="74"/>
      <c r="AE45" s="74"/>
      <c r="AF45" s="74"/>
      <c r="AG45" s="74"/>
      <c r="AH45" s="73"/>
      <c r="AI45" s="535"/>
      <c r="AJ45" s="536"/>
      <c r="AK45" s="536"/>
      <c r="AL45" s="536"/>
      <c r="AM45" s="536"/>
      <c r="AN45" s="536"/>
      <c r="AO45" s="536"/>
      <c r="AP45" s="536"/>
      <c r="AQ45" s="536"/>
      <c r="AR45" s="536"/>
      <c r="AS45" s="536"/>
      <c r="AT45" s="536"/>
      <c r="AU45" s="536"/>
      <c r="AV45" s="536"/>
      <c r="AW45" s="536"/>
      <c r="AX45" s="536"/>
      <c r="AY45" s="536"/>
      <c r="AZ45" s="63"/>
      <c r="BA45" s="539">
        <f t="shared" si="34"/>
        <v>0</v>
      </c>
      <c r="BB45" s="77">
        <f t="shared" si="35"/>
        <v>0</v>
      </c>
      <c r="BC45" s="77">
        <f t="shared" si="36"/>
        <v>0</v>
      </c>
      <c r="BD45" s="77">
        <f t="shared" si="37"/>
        <v>0</v>
      </c>
      <c r="BE45" s="77">
        <f t="shared" si="38"/>
        <v>0</v>
      </c>
      <c r="BF45" s="71">
        <f>(BB45*初始化表!E$17+BC45*初始化表!F$17+BD45*初始化表!G$17+BE45*初始化表!H$17)/1300</f>
        <v>0</v>
      </c>
      <c r="BG45" s="545">
        <f t="shared" si="39"/>
        <v>0</v>
      </c>
      <c r="BH45" s="545">
        <f t="shared" si="40"/>
        <v>0</v>
      </c>
      <c r="BI45" s="321">
        <f>$BI$51+MAX(第1期!BI45,0)-第2期!BF45</f>
        <v>0</v>
      </c>
      <c r="BJ45" s="546" t="str">
        <f t="shared" si="41"/>
        <v/>
      </c>
      <c r="BK45" s="546" t="str">
        <f t="shared" si="42"/>
        <v/>
      </c>
      <c r="BM45" s="269" t="s">
        <v>524</v>
      </c>
      <c r="BN45" s="77" t="e">
        <f t="shared" si="44"/>
        <v>#DIV/0!</v>
      </c>
      <c r="BO45" s="77" t="e">
        <f t="shared" si="44"/>
        <v>#DIV/0!</v>
      </c>
      <c r="BP45" s="77" t="e">
        <f t="shared" si="44"/>
        <v>#DIV/0!</v>
      </c>
      <c r="BQ45" s="77" t="e">
        <f t="shared" si="44"/>
        <v>#DIV/0!</v>
      </c>
      <c r="BR45" s="62"/>
      <c r="BS45" s="539">
        <f t="shared" si="32"/>
        <v>0</v>
      </c>
      <c r="BT45" s="552" t="e">
        <f t="shared" si="33"/>
        <v>#DIV/0!</v>
      </c>
      <c r="BU45" s="552" t="e">
        <f t="shared" si="33"/>
        <v>#DIV/0!</v>
      </c>
      <c r="BV45" s="552" t="e">
        <f t="shared" si="33"/>
        <v>#DIV/0!</v>
      </c>
      <c r="BW45" s="552" t="e">
        <f t="shared" si="33"/>
        <v>#DIV/0!</v>
      </c>
      <c r="BX45" s="552" t="e">
        <f t="shared" si="33"/>
        <v>#DIV/0!</v>
      </c>
      <c r="BY45" s="552" t="e">
        <f t="shared" si="33"/>
        <v>#DIV/0!</v>
      </c>
      <c r="BZ45" s="552" t="e">
        <f t="shared" si="33"/>
        <v>#DIV/0!</v>
      </c>
      <c r="CA45" s="552" t="e">
        <f t="shared" si="33"/>
        <v>#DIV/0!</v>
      </c>
      <c r="CB45" s="552" t="e">
        <f t="shared" si="33"/>
        <v>#DIV/0!</v>
      </c>
      <c r="CC45" s="552" t="e">
        <f t="shared" si="33"/>
        <v>#DIV/0!</v>
      </c>
      <c r="CD45" s="552" t="e">
        <f t="shared" si="33"/>
        <v>#DIV/0!</v>
      </c>
      <c r="CE45" s="552" t="e">
        <f t="shared" si="33"/>
        <v>#DIV/0!</v>
      </c>
      <c r="CF45" s="552" t="e">
        <f t="shared" si="33"/>
        <v>#DIV/0!</v>
      </c>
      <c r="CG45" s="552" t="e">
        <f t="shared" si="33"/>
        <v>#DIV/0!</v>
      </c>
      <c r="CH45" s="552" t="e">
        <f t="shared" si="33"/>
        <v>#DIV/0!</v>
      </c>
      <c r="CI45" s="552" t="e">
        <f>$BT20*(AY76-CI$50)/CI$51</f>
        <v>#DIV/0!</v>
      </c>
      <c r="CJ45" s="453"/>
      <c r="CK45" s="228"/>
      <c r="CL45" s="228"/>
      <c r="CM45" s="228"/>
      <c r="CN45" s="228"/>
      <c r="CO45" s="228"/>
      <c r="CP45" s="228"/>
      <c r="CQ45" s="228"/>
      <c r="CR45" s="228"/>
      <c r="CS45" s="228"/>
      <c r="CT45" s="228"/>
      <c r="CU45" s="228"/>
      <c r="CV45" s="228"/>
      <c r="CW45" s="228"/>
      <c r="CX45" s="228"/>
      <c r="CY45" s="228"/>
      <c r="CZ45" s="228"/>
      <c r="DA45" s="228"/>
      <c r="DB45" s="228"/>
      <c r="DC45" s="228"/>
      <c r="DD45" s="228"/>
      <c r="DE45" s="228"/>
      <c r="DF45" s="228"/>
      <c r="DG45" s="228"/>
      <c r="DH45" s="228"/>
      <c r="DI45" s="228"/>
      <c r="DJ45" s="228"/>
      <c r="DK45" s="228"/>
      <c r="DL45" s="228"/>
      <c r="DM45" s="228"/>
      <c r="DN45" s="228"/>
      <c r="DO45" s="228"/>
      <c r="DP45" s="228"/>
      <c r="DQ45" s="228"/>
    </row>
    <row r="46" s="61" customFormat="1" ht="16" customHeight="1" spans="1:121">
      <c r="A46" s="269" t="s">
        <v>377</v>
      </c>
      <c r="B46" s="270"/>
      <c r="C46" s="106">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0</v>
      </c>
      <c r="D46" s="79"/>
      <c r="E46" s="79" t="e">
        <f t="shared" si="45"/>
        <v>#DIV/0!</v>
      </c>
      <c r="F46" s="79" t="e">
        <f>F44+C46</f>
        <v>#DIV/0!</v>
      </c>
      <c r="G46" s="73"/>
      <c r="H46" s="269" t="s">
        <v>652</v>
      </c>
      <c r="I46" s="269" t="s">
        <v>513</v>
      </c>
      <c r="J46" s="269" t="s">
        <v>514</v>
      </c>
      <c r="K46" s="269" t="s">
        <v>515</v>
      </c>
      <c r="L46" s="269" t="s">
        <v>516</v>
      </c>
      <c r="M46" s="511"/>
      <c r="N46" s="326"/>
      <c r="O46" s="326"/>
      <c r="P46" s="326"/>
      <c r="Q46" s="269" t="s">
        <v>255</v>
      </c>
      <c r="R46" s="416" t="e">
        <f>F77</f>
        <v>#DIV/0!</v>
      </c>
      <c r="S46" s="141" t="s">
        <v>653</v>
      </c>
      <c r="T46" s="144"/>
      <c r="U46" s="123"/>
      <c r="V46" s="74"/>
      <c r="W46" s="74"/>
      <c r="X46" s="74"/>
      <c r="Y46" s="74"/>
      <c r="Z46" s="74"/>
      <c r="AA46" s="73"/>
      <c r="AB46" s="74"/>
      <c r="AC46" s="74"/>
      <c r="AD46" s="74"/>
      <c r="AE46" s="74"/>
      <c r="AF46" s="74"/>
      <c r="AG46" s="74"/>
      <c r="AH46" s="73"/>
      <c r="AI46" s="535"/>
      <c r="AJ46" s="536"/>
      <c r="AK46" s="536"/>
      <c r="AL46" s="536"/>
      <c r="AM46" s="536"/>
      <c r="AN46" s="536"/>
      <c r="AO46" s="536"/>
      <c r="AP46" s="536"/>
      <c r="AQ46" s="536"/>
      <c r="AR46" s="536"/>
      <c r="AS46" s="536"/>
      <c r="AT46" s="536"/>
      <c r="AU46" s="536"/>
      <c r="AV46" s="536"/>
      <c r="AW46" s="536"/>
      <c r="AX46" s="536"/>
      <c r="AY46" s="536"/>
      <c r="AZ46" s="63"/>
      <c r="BA46" s="539">
        <f t="shared" si="34"/>
        <v>0</v>
      </c>
      <c r="BB46" s="77">
        <f t="shared" si="35"/>
        <v>0</v>
      </c>
      <c r="BC46" s="77">
        <f t="shared" si="36"/>
        <v>0</v>
      </c>
      <c r="BD46" s="77">
        <f t="shared" si="37"/>
        <v>0</v>
      </c>
      <c r="BE46" s="77">
        <f t="shared" si="38"/>
        <v>0</v>
      </c>
      <c r="BF46" s="71">
        <f>(BB46*初始化表!E$17+BC46*初始化表!F$17+BD46*初始化表!G$17+BE46*初始化表!H$17)/1300</f>
        <v>0</v>
      </c>
      <c r="BG46" s="545">
        <f t="shared" si="39"/>
        <v>0</v>
      </c>
      <c r="BH46" s="545">
        <f t="shared" si="40"/>
        <v>0</v>
      </c>
      <c r="BI46" s="321">
        <f>$BI$51+MAX(第1期!BI46,0)-第2期!BF46</f>
        <v>0</v>
      </c>
      <c r="BJ46" s="546" t="str">
        <f t="shared" si="41"/>
        <v/>
      </c>
      <c r="BK46" s="546" t="str">
        <f t="shared" si="42"/>
        <v/>
      </c>
      <c r="BM46" s="553"/>
      <c r="BN46" s="553"/>
      <c r="BO46" s="553"/>
      <c r="BP46" s="553"/>
      <c r="BQ46" s="553"/>
      <c r="BR46" s="62"/>
      <c r="BS46" s="539">
        <f t="shared" si="32"/>
        <v>0</v>
      </c>
      <c r="BT46" s="552" t="e">
        <f t="shared" ref="BT46:CH49" si="46">$BT21*(AJ77-BT$50)/BT$51</f>
        <v>#DIV/0!</v>
      </c>
      <c r="BU46" s="552" t="e">
        <f t="shared" si="46"/>
        <v>#DIV/0!</v>
      </c>
      <c r="BV46" s="552" t="e">
        <f t="shared" si="46"/>
        <v>#DIV/0!</v>
      </c>
      <c r="BW46" s="552" t="e">
        <f t="shared" si="46"/>
        <v>#DIV/0!</v>
      </c>
      <c r="BX46" s="552" t="e">
        <f t="shared" si="46"/>
        <v>#DIV/0!</v>
      </c>
      <c r="BY46" s="552" t="e">
        <f t="shared" si="46"/>
        <v>#DIV/0!</v>
      </c>
      <c r="BZ46" s="552" t="e">
        <f t="shared" si="46"/>
        <v>#DIV/0!</v>
      </c>
      <c r="CA46" s="552" t="e">
        <f t="shared" si="46"/>
        <v>#DIV/0!</v>
      </c>
      <c r="CB46" s="552" t="e">
        <f t="shared" si="46"/>
        <v>#DIV/0!</v>
      </c>
      <c r="CC46" s="552" t="e">
        <f t="shared" si="46"/>
        <v>#DIV/0!</v>
      </c>
      <c r="CD46" s="552" t="e">
        <f t="shared" si="46"/>
        <v>#DIV/0!</v>
      </c>
      <c r="CE46" s="552" t="e">
        <f t="shared" si="46"/>
        <v>#DIV/0!</v>
      </c>
      <c r="CF46" s="552" t="e">
        <f t="shared" si="46"/>
        <v>#DIV/0!</v>
      </c>
      <c r="CG46" s="552" t="e">
        <f t="shared" si="46"/>
        <v>#DIV/0!</v>
      </c>
      <c r="CH46" s="552" t="e">
        <f t="shared" si="46"/>
        <v>#DIV/0!</v>
      </c>
      <c r="CI46" s="552" t="e">
        <f>$BT21*(AY77-CI$50)/CI$51</f>
        <v>#DIV/0!</v>
      </c>
      <c r="CJ46" s="453"/>
      <c r="CK46" s="228"/>
      <c r="CL46" s="228"/>
      <c r="CM46" s="228"/>
      <c r="CN46" s="228"/>
      <c r="CO46" s="228"/>
      <c r="CP46" s="228"/>
      <c r="CQ46" s="228"/>
      <c r="CR46" s="228"/>
      <c r="CS46" s="228"/>
      <c r="CT46" s="228"/>
      <c r="CU46" s="228"/>
      <c r="CV46" s="228"/>
      <c r="CW46" s="228"/>
      <c r="CX46" s="228"/>
      <c r="CY46" s="228"/>
      <c r="CZ46" s="228"/>
      <c r="DA46" s="228"/>
      <c r="DB46" s="228"/>
      <c r="DC46" s="228"/>
      <c r="DD46" s="228"/>
      <c r="DE46" s="228"/>
      <c r="DF46" s="228"/>
      <c r="DG46" s="228"/>
      <c r="DH46" s="228"/>
      <c r="DI46" s="228"/>
      <c r="DJ46" s="228"/>
      <c r="DK46" s="228"/>
      <c r="DL46" s="228"/>
      <c r="DM46" s="228"/>
      <c r="DN46" s="228"/>
      <c r="DO46" s="228"/>
      <c r="DP46" s="228"/>
      <c r="DQ46" s="228"/>
    </row>
    <row r="47" s="61" customFormat="1" ht="16" customHeight="1" spans="1:121">
      <c r="A47" s="269" t="s">
        <v>276</v>
      </c>
      <c r="B47" s="270"/>
      <c r="C47" s="106" t="e">
        <f>-SUM(F6:F9)</f>
        <v>#DIV/0!</v>
      </c>
      <c r="D47" s="79"/>
      <c r="E47" s="79" t="e">
        <f t="shared" si="45"/>
        <v>#DIV/0!</v>
      </c>
      <c r="F47" s="79" t="e">
        <f>F46+C47</f>
        <v>#DIV/0!</v>
      </c>
      <c r="G47" s="73"/>
      <c r="H47" s="269" t="s">
        <v>521</v>
      </c>
      <c r="I47" s="483">
        <v>2</v>
      </c>
      <c r="J47" s="356">
        <v>2</v>
      </c>
      <c r="K47" s="356">
        <v>3</v>
      </c>
      <c r="L47" s="356">
        <v>3</v>
      </c>
      <c r="M47" s="511"/>
      <c r="N47" s="269" t="s">
        <v>654</v>
      </c>
      <c r="O47" s="270"/>
      <c r="P47" s="270"/>
      <c r="Q47" s="270"/>
      <c r="R47" s="270"/>
      <c r="S47" s="141" t="s">
        <v>655</v>
      </c>
      <c r="T47" s="135" t="e">
        <f>R46-T46</f>
        <v>#DIV/0!</v>
      </c>
      <c r="U47" s="269" t="s">
        <v>656</v>
      </c>
      <c r="V47" s="269" t="s">
        <v>513</v>
      </c>
      <c r="W47" s="269" t="s">
        <v>514</v>
      </c>
      <c r="X47" s="269" t="s">
        <v>515</v>
      </c>
      <c r="Y47" s="269" t="s">
        <v>516</v>
      </c>
      <c r="Z47" s="74"/>
      <c r="AA47" s="73"/>
      <c r="AB47" s="74"/>
      <c r="AC47" s="74"/>
      <c r="AD47" s="74"/>
      <c r="AE47" s="74"/>
      <c r="AF47" s="74"/>
      <c r="AG47" s="74"/>
      <c r="AH47" s="73"/>
      <c r="AI47" s="535"/>
      <c r="AJ47" s="536"/>
      <c r="AK47" s="536"/>
      <c r="AL47" s="536"/>
      <c r="AM47" s="536"/>
      <c r="AN47" s="536"/>
      <c r="AO47" s="536"/>
      <c r="AP47" s="536"/>
      <c r="AQ47" s="536"/>
      <c r="AR47" s="536"/>
      <c r="AS47" s="536"/>
      <c r="AT47" s="536"/>
      <c r="AU47" s="536"/>
      <c r="AV47" s="536"/>
      <c r="AW47" s="536"/>
      <c r="AX47" s="536"/>
      <c r="AY47" s="536"/>
      <c r="AZ47" s="63"/>
      <c r="BA47" s="539">
        <f t="shared" si="34"/>
        <v>0</v>
      </c>
      <c r="BB47" s="77">
        <f t="shared" si="35"/>
        <v>0</v>
      </c>
      <c r="BC47" s="77">
        <f t="shared" si="36"/>
        <v>0</v>
      </c>
      <c r="BD47" s="77">
        <f t="shared" si="37"/>
        <v>0</v>
      </c>
      <c r="BE47" s="77">
        <f t="shared" si="38"/>
        <v>0</v>
      </c>
      <c r="BF47" s="71">
        <f>(BB47*初始化表!E$17+BC47*初始化表!F$17+BD47*初始化表!G$17+BE47*初始化表!H$17)/1300</f>
        <v>0</v>
      </c>
      <c r="BG47" s="545">
        <f t="shared" si="39"/>
        <v>0</v>
      </c>
      <c r="BH47" s="545">
        <f t="shared" si="40"/>
        <v>0</v>
      </c>
      <c r="BI47" s="321">
        <f>$BI$51+MAX(第1期!BI47,0)-第2期!BF47</f>
        <v>0</v>
      </c>
      <c r="BJ47" s="546" t="str">
        <f t="shared" si="41"/>
        <v/>
      </c>
      <c r="BK47" s="546" t="str">
        <f t="shared" si="42"/>
        <v/>
      </c>
      <c r="BR47" s="62"/>
      <c r="BS47" s="539">
        <f t="shared" si="32"/>
        <v>0</v>
      </c>
      <c r="BT47" s="552" t="e">
        <f t="shared" si="46"/>
        <v>#DIV/0!</v>
      </c>
      <c r="BU47" s="552" t="e">
        <f t="shared" si="46"/>
        <v>#DIV/0!</v>
      </c>
      <c r="BV47" s="552" t="e">
        <f t="shared" si="46"/>
        <v>#DIV/0!</v>
      </c>
      <c r="BW47" s="552" t="e">
        <f t="shared" si="46"/>
        <v>#DIV/0!</v>
      </c>
      <c r="BX47" s="552" t="e">
        <f t="shared" si="46"/>
        <v>#DIV/0!</v>
      </c>
      <c r="BY47" s="552" t="e">
        <f t="shared" si="46"/>
        <v>#DIV/0!</v>
      </c>
      <c r="BZ47" s="552" t="e">
        <f t="shared" si="46"/>
        <v>#DIV/0!</v>
      </c>
      <c r="CA47" s="552" t="e">
        <f t="shared" si="46"/>
        <v>#DIV/0!</v>
      </c>
      <c r="CB47" s="552" t="e">
        <f t="shared" si="46"/>
        <v>#DIV/0!</v>
      </c>
      <c r="CC47" s="552" t="e">
        <f t="shared" si="46"/>
        <v>#DIV/0!</v>
      </c>
      <c r="CD47" s="552" t="e">
        <f t="shared" si="46"/>
        <v>#DIV/0!</v>
      </c>
      <c r="CE47" s="552" t="e">
        <f t="shared" si="46"/>
        <v>#DIV/0!</v>
      </c>
      <c r="CF47" s="552" t="e">
        <f t="shared" si="46"/>
        <v>#DIV/0!</v>
      </c>
      <c r="CG47" s="552" t="e">
        <f t="shared" si="46"/>
        <v>#DIV/0!</v>
      </c>
      <c r="CH47" s="552" t="e">
        <f t="shared" si="46"/>
        <v>#DIV/0!</v>
      </c>
      <c r="CI47" s="552" t="e">
        <f>$BT22*(AY78-CI$50)/CI$51</f>
        <v>#DIV/0!</v>
      </c>
      <c r="CJ47" s="453"/>
      <c r="CK47" s="228"/>
      <c r="CL47" s="228"/>
      <c r="CM47" s="228"/>
      <c r="CN47" s="228"/>
      <c r="CO47" s="228"/>
      <c r="CP47" s="228"/>
      <c r="CQ47" s="228"/>
      <c r="CR47" s="228"/>
      <c r="CS47" s="228"/>
      <c r="CT47" s="228"/>
      <c r="CU47" s="228"/>
      <c r="CV47" s="228"/>
      <c r="CW47" s="228"/>
      <c r="CX47" s="228"/>
      <c r="CY47" s="228"/>
      <c r="CZ47" s="228"/>
      <c r="DA47" s="228"/>
      <c r="DB47" s="228"/>
      <c r="DC47" s="228"/>
      <c r="DD47" s="228"/>
      <c r="DE47" s="228"/>
      <c r="DF47" s="228"/>
      <c r="DG47" s="228"/>
      <c r="DH47" s="228"/>
      <c r="DI47" s="228"/>
      <c r="DJ47" s="228"/>
      <c r="DK47" s="228"/>
      <c r="DL47" s="228"/>
      <c r="DM47" s="228"/>
      <c r="DN47" s="228"/>
      <c r="DO47" s="228"/>
      <c r="DP47" s="228"/>
      <c r="DQ47" s="228"/>
    </row>
    <row r="48" s="61" customFormat="1" ht="16" customHeight="1" spans="1:121">
      <c r="A48" s="269" t="s">
        <v>280</v>
      </c>
      <c r="B48" s="270"/>
      <c r="C48" s="106" t="e">
        <f>-SUM(B10:E10)</f>
        <v>#DIV/0!</v>
      </c>
      <c r="D48" s="79"/>
      <c r="E48" s="79" t="e">
        <f t="shared" si="45"/>
        <v>#DIV/0!</v>
      </c>
      <c r="F48" s="79" t="e">
        <f>F47+C48</f>
        <v>#DIV/0!</v>
      </c>
      <c r="G48" s="73"/>
      <c r="H48" s="269" t="s">
        <v>522</v>
      </c>
      <c r="I48" s="512">
        <v>2</v>
      </c>
      <c r="J48" s="90">
        <v>2</v>
      </c>
      <c r="K48" s="90">
        <v>3</v>
      </c>
      <c r="L48" s="90">
        <v>3</v>
      </c>
      <c r="M48" s="511"/>
      <c r="N48" s="269" t="s">
        <v>657</v>
      </c>
      <c r="O48" s="269" t="s">
        <v>658</v>
      </c>
      <c r="P48" s="269" t="s">
        <v>659</v>
      </c>
      <c r="Q48" s="269" t="s">
        <v>660</v>
      </c>
      <c r="R48" s="269" t="s">
        <v>642</v>
      </c>
      <c r="S48" s="121"/>
      <c r="T48" s="120"/>
      <c r="U48" s="269" t="s">
        <v>521</v>
      </c>
      <c r="V48" s="115" t="e">
        <f t="shared" ref="V48:Y51" si="47">INT(IF(IF(B6&lt;V23,(1+((V23-B6)/V23+O10)*15)*IF($F17&gt;$L6,1.1,1)*V17,(1+((V23-B6)/V23+O10)*5)*IF($F17&gt;$L6,1.1,1)*V17)&gt;0,IF(B6&lt;V23,(1+((V23-B6)/V23+O10)*15)*IF($F17&gt;$L6,1.1,1)*V17,(1+((V23-B6)/V23+O10)*5)*IF($F17&gt;$L6,1.1,1)*V17),0))</f>
        <v>#DIV/0!</v>
      </c>
      <c r="W48" s="115" t="e">
        <f t="shared" si="47"/>
        <v>#DIV/0!</v>
      </c>
      <c r="X48" s="115" t="e">
        <f t="shared" si="47"/>
        <v>#DIV/0!</v>
      </c>
      <c r="Y48" s="115" t="e">
        <f t="shared" si="47"/>
        <v>#DIV/0!</v>
      </c>
      <c r="Z48" s="74"/>
      <c r="AA48" s="73"/>
      <c r="AB48" s="74"/>
      <c r="AC48" s="74"/>
      <c r="AD48" s="74"/>
      <c r="AE48" s="74"/>
      <c r="AF48" s="74"/>
      <c r="AG48" s="74"/>
      <c r="AH48" s="73"/>
      <c r="AI48" s="535"/>
      <c r="AJ48" s="536"/>
      <c r="AK48" s="536"/>
      <c r="AL48" s="536"/>
      <c r="AM48" s="536"/>
      <c r="AN48" s="536"/>
      <c r="AO48" s="536"/>
      <c r="AP48" s="536"/>
      <c r="AQ48" s="536"/>
      <c r="AR48" s="536"/>
      <c r="AS48" s="536"/>
      <c r="AT48" s="536"/>
      <c r="AU48" s="536"/>
      <c r="AV48" s="536"/>
      <c r="AW48" s="536"/>
      <c r="AX48" s="536"/>
      <c r="AY48" s="536"/>
      <c r="AZ48" s="63"/>
      <c r="BA48" s="539">
        <f t="shared" si="34"/>
        <v>0</v>
      </c>
      <c r="BB48" s="77">
        <f t="shared" si="35"/>
        <v>0</v>
      </c>
      <c r="BC48" s="77">
        <f t="shared" si="36"/>
        <v>0</v>
      </c>
      <c r="BD48" s="77">
        <f t="shared" si="37"/>
        <v>0</v>
      </c>
      <c r="BE48" s="77">
        <f t="shared" si="38"/>
        <v>0</v>
      </c>
      <c r="BF48" s="71">
        <f>(BB48*初始化表!E$17+BC48*初始化表!F$17+BD48*初始化表!G$17+BE48*初始化表!H$17)/1300</f>
        <v>0</v>
      </c>
      <c r="BG48" s="545">
        <f t="shared" si="39"/>
        <v>0</v>
      </c>
      <c r="BH48" s="545">
        <f t="shared" si="40"/>
        <v>0</v>
      </c>
      <c r="BI48" s="321">
        <f>$BI$51+MAX(第1期!BI48,0)-第2期!BF48</f>
        <v>0</v>
      </c>
      <c r="BJ48" s="546" t="str">
        <f t="shared" si="41"/>
        <v/>
      </c>
      <c r="BK48" s="546" t="str">
        <f t="shared" si="42"/>
        <v/>
      </c>
      <c r="BR48" s="62"/>
      <c r="BS48" s="539">
        <f t="shared" si="32"/>
        <v>0</v>
      </c>
      <c r="BT48" s="552" t="e">
        <f t="shared" si="46"/>
        <v>#DIV/0!</v>
      </c>
      <c r="BU48" s="552" t="e">
        <f t="shared" si="46"/>
        <v>#DIV/0!</v>
      </c>
      <c r="BV48" s="552" t="e">
        <f t="shared" si="46"/>
        <v>#DIV/0!</v>
      </c>
      <c r="BW48" s="552" t="e">
        <f t="shared" si="46"/>
        <v>#DIV/0!</v>
      </c>
      <c r="BX48" s="552" t="e">
        <f t="shared" si="46"/>
        <v>#DIV/0!</v>
      </c>
      <c r="BY48" s="552" t="e">
        <f t="shared" si="46"/>
        <v>#DIV/0!</v>
      </c>
      <c r="BZ48" s="552" t="e">
        <f t="shared" si="46"/>
        <v>#DIV/0!</v>
      </c>
      <c r="CA48" s="552" t="e">
        <f t="shared" si="46"/>
        <v>#DIV/0!</v>
      </c>
      <c r="CB48" s="552" t="e">
        <f t="shared" si="46"/>
        <v>#DIV/0!</v>
      </c>
      <c r="CC48" s="552" t="e">
        <f t="shared" si="46"/>
        <v>#DIV/0!</v>
      </c>
      <c r="CD48" s="552" t="e">
        <f t="shared" si="46"/>
        <v>#DIV/0!</v>
      </c>
      <c r="CE48" s="552" t="e">
        <f t="shared" si="46"/>
        <v>#DIV/0!</v>
      </c>
      <c r="CF48" s="552" t="e">
        <f t="shared" si="46"/>
        <v>#DIV/0!</v>
      </c>
      <c r="CG48" s="552" t="e">
        <f t="shared" si="46"/>
        <v>#DIV/0!</v>
      </c>
      <c r="CH48" s="552" t="e">
        <f t="shared" si="46"/>
        <v>#DIV/0!</v>
      </c>
      <c r="CI48" s="552" t="e">
        <f>$BT23*(AY79-CI$50)/CI$51</f>
        <v>#DIV/0!</v>
      </c>
      <c r="CJ48" s="453"/>
      <c r="CK48" s="228"/>
      <c r="CL48" s="228"/>
      <c r="CM48" s="228"/>
      <c r="CN48" s="228"/>
      <c r="CO48" s="228"/>
      <c r="CP48" s="228"/>
      <c r="CQ48" s="228"/>
      <c r="CR48" s="228"/>
      <c r="CS48" s="228"/>
      <c r="CT48" s="228"/>
      <c r="CU48" s="228"/>
      <c r="CV48" s="228"/>
      <c r="CW48" s="228"/>
      <c r="CX48" s="228"/>
      <c r="CY48" s="228"/>
      <c r="CZ48" s="228"/>
      <c r="DA48" s="228"/>
      <c r="DB48" s="228"/>
      <c r="DC48" s="228"/>
      <c r="DD48" s="228"/>
      <c r="DE48" s="228"/>
      <c r="DF48" s="228"/>
      <c r="DG48" s="228"/>
      <c r="DH48" s="228"/>
      <c r="DI48" s="228"/>
      <c r="DJ48" s="228"/>
      <c r="DK48" s="228"/>
      <c r="DL48" s="228"/>
      <c r="DM48" s="228"/>
      <c r="DN48" s="228"/>
      <c r="DO48" s="228"/>
      <c r="DP48" s="228"/>
      <c r="DQ48" s="228"/>
    </row>
    <row r="49" s="61" customFormat="1" ht="16" customHeight="1" spans="1:121">
      <c r="A49" s="269" t="s">
        <v>378</v>
      </c>
      <c r="B49" s="270"/>
      <c r="C49" s="106" t="e">
        <f>IF(AJ24="",SUMPRODUCT(B6:E9,V42:Y45),B6*MAX(0,AM9-AK9)+MAX(0,AM10-AK10)*C6+MAX(0,AM11-AK11)*D6+MAX(0,AM12-AK12)*E6+MAX(0,AM13-AK13)*B7+MAX(0,AM14-AK14)*C7+MAX(0,AM15-AK15)*D7+MAX(0,AM16-AK16)*E7+MAX(0,AM17-AK17)*B8+MAX(0,AM18-AK18)*C8+MAX(0,AM19-AK19)*D8+MAX(0,AM20-AK20)*E8+MAX(0,AM21-AK21)*B9+MAX(0,AM22-AK22)*C9+MAX(0,AM23-AK23)*D9+MAX(0,AM24-AK24)*E9)+MIN(B6,V23)*MIN(V11,B12-V66)+MIN(W11,C12-W66)*MIN(C6,W23)+MIN(X11,D12-X66)*MIN(D6,X23)+MIN(Y11,E12-Y66)*MIN(E6,Y23)+MIN(B7,V24)*MIN(V12,B13-V67)+MIN(W12,C13-W67)*MIN(C7,W24)+MIN(X12,D13-X67)*MIN(D7,X24)+MIN(Y12,E13-Y67)*MIN(E7,Y24)+MIN(B8,V25)*MIN(V13,B14-V68)+MIN(W13,C14-W68)*MIN(C8,W25)+MIN(X13,D14-X68)*MIN(D8,X25)+MIN(Y13,E14-Y68)*MIN(E8,Y25)+MIN(B9,V26)*MIN(V14,B15-V69)+MIN(W14,C15-W69)*MIN(C9,W26)+MIN(X14,D15-X69)*MIN(D9,X26)+MIN(Y14,E15-Y69)*MIN(E9,Y26)</f>
        <v>#DIV/0!</v>
      </c>
      <c r="D49" s="79" t="e">
        <f>D41+C49</f>
        <v>#DIV/0!</v>
      </c>
      <c r="E49" s="79"/>
      <c r="F49" s="79" t="e">
        <f>F48+C49</f>
        <v>#DIV/0!</v>
      </c>
      <c r="G49" s="73"/>
      <c r="H49" s="269" t="s">
        <v>523</v>
      </c>
      <c r="I49" s="512">
        <v>2</v>
      </c>
      <c r="J49" s="90">
        <v>2</v>
      </c>
      <c r="K49" s="90">
        <v>3</v>
      </c>
      <c r="L49" s="90">
        <v>3</v>
      </c>
      <c r="M49" s="511"/>
      <c r="N49" s="77" t="e">
        <f>第1期!F69</f>
        <v>#DIV/0!</v>
      </c>
      <c r="O49" s="77" t="e">
        <f>N49+第1期!R49</f>
        <v>#DIV/0!</v>
      </c>
      <c r="P49" s="77" t="e">
        <f>INT((F61-0.05*C49+0-(F30-F48)*O49/N49)/初始化表!B8)</f>
        <v>#DIV/0!</v>
      </c>
      <c r="Q49" s="77" t="e">
        <f>INT((F61+第3期!P33+第3期!Q35-F30+F48)/初始化表!B8)</f>
        <v>#DIV/0!</v>
      </c>
      <c r="R49" s="93">
        <v>0</v>
      </c>
      <c r="S49" s="74"/>
      <c r="T49" s="120"/>
      <c r="U49" s="269" t="s">
        <v>522</v>
      </c>
      <c r="V49" s="115" t="e">
        <f t="shared" si="47"/>
        <v>#DIV/0!</v>
      </c>
      <c r="W49" s="115" t="e">
        <f t="shared" si="47"/>
        <v>#DIV/0!</v>
      </c>
      <c r="X49" s="115" t="e">
        <f t="shared" si="47"/>
        <v>#DIV/0!</v>
      </c>
      <c r="Y49" s="115" t="e">
        <f t="shared" si="47"/>
        <v>#DIV/0!</v>
      </c>
      <c r="Z49" s="74"/>
      <c r="AA49" s="73"/>
      <c r="AB49" s="74"/>
      <c r="AC49" s="74"/>
      <c r="AD49" s="74"/>
      <c r="AE49" s="74"/>
      <c r="AF49" s="74"/>
      <c r="AG49" s="74"/>
      <c r="AH49" s="73"/>
      <c r="AI49" s="535"/>
      <c r="AJ49" s="536"/>
      <c r="AK49" s="536"/>
      <c r="AL49" s="536"/>
      <c r="AM49" s="536"/>
      <c r="AN49" s="536"/>
      <c r="AO49" s="536"/>
      <c r="AP49" s="536"/>
      <c r="AQ49" s="536"/>
      <c r="AR49" s="536"/>
      <c r="AS49" s="536"/>
      <c r="AT49" s="536"/>
      <c r="AU49" s="536"/>
      <c r="AV49" s="536"/>
      <c r="AW49" s="536"/>
      <c r="AX49" s="536"/>
      <c r="AY49" s="536"/>
      <c r="AZ49" s="63"/>
      <c r="BA49" s="539">
        <f t="shared" si="34"/>
        <v>0</v>
      </c>
      <c r="BB49" s="77">
        <f t="shared" si="35"/>
        <v>0</v>
      </c>
      <c r="BC49" s="77">
        <f t="shared" si="36"/>
        <v>0</v>
      </c>
      <c r="BD49" s="77">
        <f t="shared" si="37"/>
        <v>0</v>
      </c>
      <c r="BE49" s="77">
        <f t="shared" si="38"/>
        <v>0</v>
      </c>
      <c r="BF49" s="71">
        <f>(BB49*初始化表!E$17+BC49*初始化表!F$17+BD49*初始化表!G$17+BE49*初始化表!H$17)/1300</f>
        <v>0</v>
      </c>
      <c r="BG49" s="545">
        <f t="shared" si="39"/>
        <v>0</v>
      </c>
      <c r="BH49" s="545">
        <f t="shared" si="40"/>
        <v>0</v>
      </c>
      <c r="BI49" s="321">
        <f>$BI$51+MAX(第1期!BI49,0)-第2期!BF49</f>
        <v>0</v>
      </c>
      <c r="BJ49" s="546" t="str">
        <f t="shared" si="41"/>
        <v/>
      </c>
      <c r="BK49" s="546" t="str">
        <f t="shared" si="42"/>
        <v/>
      </c>
      <c r="BR49" s="62"/>
      <c r="BS49" s="539">
        <f t="shared" si="32"/>
        <v>0</v>
      </c>
      <c r="BT49" s="552" t="e">
        <f t="shared" si="46"/>
        <v>#DIV/0!</v>
      </c>
      <c r="BU49" s="552" t="e">
        <f t="shared" si="46"/>
        <v>#DIV/0!</v>
      </c>
      <c r="BV49" s="552" t="e">
        <f t="shared" si="46"/>
        <v>#DIV/0!</v>
      </c>
      <c r="BW49" s="552" t="e">
        <f t="shared" si="46"/>
        <v>#DIV/0!</v>
      </c>
      <c r="BX49" s="552" t="e">
        <f t="shared" si="46"/>
        <v>#DIV/0!</v>
      </c>
      <c r="BY49" s="552" t="e">
        <f t="shared" si="46"/>
        <v>#DIV/0!</v>
      </c>
      <c r="BZ49" s="552" t="e">
        <f t="shared" si="46"/>
        <v>#DIV/0!</v>
      </c>
      <c r="CA49" s="552" t="e">
        <f t="shared" si="46"/>
        <v>#DIV/0!</v>
      </c>
      <c r="CB49" s="552" t="e">
        <f t="shared" si="46"/>
        <v>#DIV/0!</v>
      </c>
      <c r="CC49" s="552" t="e">
        <f t="shared" si="46"/>
        <v>#DIV/0!</v>
      </c>
      <c r="CD49" s="552" t="e">
        <f t="shared" si="46"/>
        <v>#DIV/0!</v>
      </c>
      <c r="CE49" s="552" t="e">
        <f t="shared" si="46"/>
        <v>#DIV/0!</v>
      </c>
      <c r="CF49" s="552" t="e">
        <f t="shared" si="46"/>
        <v>#DIV/0!</v>
      </c>
      <c r="CG49" s="552" t="e">
        <f t="shared" si="46"/>
        <v>#DIV/0!</v>
      </c>
      <c r="CH49" s="552" t="e">
        <f t="shared" si="46"/>
        <v>#DIV/0!</v>
      </c>
      <c r="CI49" s="552" t="e">
        <f>$BT24*(AY80-CI$50)/CI$51</f>
        <v>#DIV/0!</v>
      </c>
      <c r="CJ49" s="453"/>
      <c r="CK49" s="228"/>
      <c r="CL49" s="228"/>
      <c r="CM49" s="228"/>
      <c r="CN49" s="228"/>
      <c r="CO49" s="228"/>
      <c r="CP49" s="228"/>
      <c r="CQ49" s="228"/>
      <c r="CR49" s="228"/>
      <c r="CS49" s="228"/>
      <c r="CT49" s="228"/>
      <c r="CU49" s="228"/>
      <c r="CV49" s="228"/>
      <c r="CW49" s="228"/>
      <c r="CX49" s="228"/>
      <c r="CY49" s="228"/>
      <c r="CZ49" s="228"/>
      <c r="DA49" s="228"/>
      <c r="DB49" s="228"/>
      <c r="DC49" s="228"/>
      <c r="DD49" s="228"/>
      <c r="DE49" s="228"/>
      <c r="DF49" s="228"/>
      <c r="DG49" s="228"/>
      <c r="DH49" s="228"/>
      <c r="DI49" s="228"/>
      <c r="DJ49" s="228"/>
      <c r="DK49" s="228"/>
      <c r="DL49" s="228"/>
      <c r="DM49" s="228"/>
      <c r="DN49" s="228"/>
      <c r="DO49" s="228"/>
      <c r="DP49" s="228"/>
      <c r="DQ49" s="228"/>
    </row>
    <row r="50" s="61" customFormat="1" ht="16" customHeight="1" spans="1:121">
      <c r="A50" s="269" t="s">
        <v>379</v>
      </c>
      <c r="B50" s="270"/>
      <c r="C50" s="106" t="e">
        <f>-IF(AJ24="",0.4*SUMPRODUCT(B6:E9,V66:Y69),0.4*(AQ9*B6+AQ10*C6+AQ11*D6+AQ12*E6+AQ13*B7+AQ14*C7+AQ15*D7+AQ16*E7+AQ17*B8+AQ18*C8+AQ19*D8+AQ20*E8+AQ21*B9+AQ22*C9+AQ23*D9+AQ24*E9))</f>
        <v>#DIV/0!</v>
      </c>
      <c r="D50" s="79"/>
      <c r="E50" s="79" t="e">
        <f>E48-C50</f>
        <v>#DIV/0!</v>
      </c>
      <c r="F50" s="79" t="e">
        <f>F49+C50</f>
        <v>#DIV/0!</v>
      </c>
      <c r="G50" s="73"/>
      <c r="H50" s="269" t="s">
        <v>524</v>
      </c>
      <c r="I50" s="513">
        <v>2</v>
      </c>
      <c r="J50" s="514">
        <v>2</v>
      </c>
      <c r="K50" s="514">
        <v>3</v>
      </c>
      <c r="L50" s="514">
        <v>3</v>
      </c>
      <c r="M50" s="511"/>
      <c r="N50" s="74"/>
      <c r="O50" s="269" t="s">
        <v>574</v>
      </c>
      <c r="P50" s="79" t="e">
        <f>E60</f>
        <v>#DIV/0!</v>
      </c>
      <c r="Q50" s="147"/>
      <c r="R50" s="74"/>
      <c r="S50" s="74"/>
      <c r="T50" s="120"/>
      <c r="U50" s="269" t="s">
        <v>523</v>
      </c>
      <c r="V50" s="115" t="e">
        <f t="shared" si="47"/>
        <v>#DIV/0!</v>
      </c>
      <c r="W50" s="115" t="e">
        <f t="shared" si="47"/>
        <v>#DIV/0!</v>
      </c>
      <c r="X50" s="115" t="e">
        <f t="shared" si="47"/>
        <v>#DIV/0!</v>
      </c>
      <c r="Y50" s="115" t="e">
        <f t="shared" si="47"/>
        <v>#DIV/0!</v>
      </c>
      <c r="Z50" s="74"/>
      <c r="AA50" s="73"/>
      <c r="AB50" s="74"/>
      <c r="AC50" s="74"/>
      <c r="AD50" s="74"/>
      <c r="AE50" s="74"/>
      <c r="AF50" s="74"/>
      <c r="AG50" s="74"/>
      <c r="AH50" s="73"/>
      <c r="AI50" s="535"/>
      <c r="AJ50" s="536"/>
      <c r="AK50" s="536"/>
      <c r="AL50" s="536"/>
      <c r="AM50" s="536"/>
      <c r="AN50" s="536"/>
      <c r="AO50" s="536"/>
      <c r="AP50" s="536"/>
      <c r="AQ50" s="536"/>
      <c r="AR50" s="536"/>
      <c r="AS50" s="536"/>
      <c r="AT50" s="536"/>
      <c r="AU50" s="536"/>
      <c r="AV50" s="536"/>
      <c r="AW50" s="536"/>
      <c r="AX50" s="536"/>
      <c r="AY50" s="536"/>
      <c r="AZ50" s="63"/>
      <c r="BA50" s="539">
        <f t="shared" si="34"/>
        <v>0</v>
      </c>
      <c r="BB50" s="77">
        <f t="shared" si="35"/>
        <v>0</v>
      </c>
      <c r="BC50" s="77">
        <f t="shared" si="36"/>
        <v>0</v>
      </c>
      <c r="BD50" s="77">
        <f t="shared" si="37"/>
        <v>0</v>
      </c>
      <c r="BE50" s="77">
        <f t="shared" si="38"/>
        <v>0</v>
      </c>
      <c r="BF50" s="71">
        <f>(BB50*初始化表!E$17+BC50*初始化表!F$17+BD50*初始化表!G$17+BE50*初始化表!H$17)/1300</f>
        <v>0</v>
      </c>
      <c r="BG50" s="545">
        <f t="shared" si="39"/>
        <v>0</v>
      </c>
      <c r="BH50" s="545">
        <f t="shared" si="40"/>
        <v>0</v>
      </c>
      <c r="BI50" s="321">
        <f>$BI$51+MAX(第1期!BI50,0)-第2期!BF50</f>
        <v>0</v>
      </c>
      <c r="BJ50" s="546" t="str">
        <f t="shared" si="41"/>
        <v/>
      </c>
      <c r="BK50" s="546" t="str">
        <f t="shared" si="42"/>
        <v/>
      </c>
      <c r="BR50" s="62"/>
      <c r="BS50" s="269" t="s">
        <v>569</v>
      </c>
      <c r="BT50" s="554" t="e">
        <f>SUM(AJ61:AJ80)/初始化表!$B5</f>
        <v>#DIV/0!</v>
      </c>
      <c r="BU50" s="554" t="e">
        <f>SUM(AK61:AK80)/初始化表!$B5</f>
        <v>#DIV/0!</v>
      </c>
      <c r="BV50" s="554" t="e">
        <f>SUM(AL61:AL80)/初始化表!$B5</f>
        <v>#DIV/0!</v>
      </c>
      <c r="BW50" s="554" t="e">
        <f>SUM(AM61:AM80)/初始化表!$B5</f>
        <v>#DIV/0!</v>
      </c>
      <c r="BX50" s="554" t="e">
        <f>SUM(AN61:AN80)/初始化表!$B5</f>
        <v>#DIV/0!</v>
      </c>
      <c r="BY50" s="554" t="e">
        <f>SUM(AO61:AO80)/初始化表!$B5</f>
        <v>#DIV/0!</v>
      </c>
      <c r="BZ50" s="554" t="e">
        <f>SUM(AP61:AP80)/初始化表!$B5</f>
        <v>#DIV/0!</v>
      </c>
      <c r="CA50" s="554" t="e">
        <f>SUM(AQ61:AQ80)/初始化表!$B5</f>
        <v>#DIV/0!</v>
      </c>
      <c r="CB50" s="554" t="e">
        <f>SUM(AR61:AR80)/初始化表!$B5</f>
        <v>#DIV/0!</v>
      </c>
      <c r="CC50" s="554" t="e">
        <f>SUM(AS61:AS80)/初始化表!$B5</f>
        <v>#DIV/0!</v>
      </c>
      <c r="CD50" s="554" t="e">
        <f>SUM(AT61:AT80)/初始化表!$B5</f>
        <v>#DIV/0!</v>
      </c>
      <c r="CE50" s="554" t="e">
        <f>SUM(AU61:AU80)/初始化表!$B5</f>
        <v>#DIV/0!</v>
      </c>
      <c r="CF50" s="554" t="e">
        <f>SUM(AV61:AV80)/初始化表!$B5</f>
        <v>#DIV/0!</v>
      </c>
      <c r="CG50" s="554" t="e">
        <f>SUM(AW61:AW80)/初始化表!$B5</f>
        <v>#DIV/0!</v>
      </c>
      <c r="CH50" s="554" t="e">
        <f>SUM(AX61:AX80)/初始化表!$B5</f>
        <v>#DIV/0!</v>
      </c>
      <c r="CI50" s="554" t="e">
        <f>SUM(AY61:AY80)/初始化表!$B5</f>
        <v>#DIV/0!</v>
      </c>
      <c r="CJ50" s="453"/>
      <c r="CK50" s="228"/>
      <c r="CL50" s="228"/>
      <c r="CM50" s="228"/>
      <c r="CN50" s="228"/>
      <c r="CO50" s="228"/>
      <c r="CP50" s="228"/>
      <c r="CQ50" s="228"/>
      <c r="CR50" s="228"/>
      <c r="CS50" s="228"/>
      <c r="CT50" s="228"/>
      <c r="CU50" s="228"/>
      <c r="CV50" s="228"/>
      <c r="CW50" s="228"/>
      <c r="CX50" s="228"/>
      <c r="CY50" s="228"/>
      <c r="CZ50" s="228"/>
      <c r="DA50" s="228"/>
      <c r="DB50" s="228"/>
      <c r="DC50" s="228"/>
      <c r="DD50" s="228"/>
      <c r="DE50" s="228"/>
      <c r="DF50" s="228"/>
      <c r="DG50" s="228"/>
      <c r="DH50" s="228"/>
      <c r="DI50" s="228"/>
      <c r="DJ50" s="228"/>
      <c r="DK50" s="228"/>
      <c r="DL50" s="228"/>
      <c r="DM50" s="228"/>
      <c r="DN50" s="228"/>
      <c r="DO50" s="228"/>
      <c r="DP50" s="228"/>
      <c r="DQ50" s="228"/>
    </row>
    <row r="51" s="61" customFormat="1" ht="16" customHeight="1" spans="1:121">
      <c r="A51" s="269" t="s">
        <v>380</v>
      </c>
      <c r="B51" s="270"/>
      <c r="C51" s="106" t="e">
        <f>-初始化表!H5*N49*初始化表!B8</f>
        <v>#DIV/0!</v>
      </c>
      <c r="D51" s="79"/>
      <c r="E51" s="79" t="e">
        <f>E50-C51</f>
        <v>#DIV/0!</v>
      </c>
      <c r="F51" s="79"/>
      <c r="G51" s="73"/>
      <c r="H51" s="269" t="s">
        <v>662</v>
      </c>
      <c r="I51" s="269" t="s">
        <v>521</v>
      </c>
      <c r="J51" s="269" t="s">
        <v>522</v>
      </c>
      <c r="K51" s="269" t="s">
        <v>523</v>
      </c>
      <c r="L51" s="269" t="s">
        <v>524</v>
      </c>
      <c r="M51" s="511"/>
      <c r="N51" s="74"/>
      <c r="O51" s="116" t="s">
        <v>296</v>
      </c>
      <c r="P51" s="79" t="e">
        <f>F64</f>
        <v>#DIV/0!</v>
      </c>
      <c r="Q51" s="147"/>
      <c r="R51" s="74"/>
      <c r="S51" s="74"/>
      <c r="T51" s="120"/>
      <c r="U51" s="269" t="s">
        <v>524</v>
      </c>
      <c r="V51" s="115" t="e">
        <f t="shared" si="47"/>
        <v>#DIV/0!</v>
      </c>
      <c r="W51" s="115" t="e">
        <f t="shared" si="47"/>
        <v>#DIV/0!</v>
      </c>
      <c r="X51" s="115" t="e">
        <f t="shared" si="47"/>
        <v>#DIV/0!</v>
      </c>
      <c r="Y51" s="115" t="e">
        <f t="shared" si="47"/>
        <v>#DIV/0!</v>
      </c>
      <c r="Z51" s="74"/>
      <c r="AA51" s="73"/>
      <c r="AB51" s="74"/>
      <c r="AC51" s="74"/>
      <c r="AD51" s="74"/>
      <c r="AE51" s="74"/>
      <c r="AF51" s="74"/>
      <c r="AG51" s="74"/>
      <c r="AH51" s="73"/>
      <c r="AI51" s="535"/>
      <c r="AJ51" s="536"/>
      <c r="AK51" s="536"/>
      <c r="AL51" s="536"/>
      <c r="AM51" s="536"/>
      <c r="AN51" s="536"/>
      <c r="AO51" s="536"/>
      <c r="AP51" s="536"/>
      <c r="AQ51" s="536"/>
      <c r="AR51" s="536"/>
      <c r="AS51" s="536"/>
      <c r="AT51" s="536"/>
      <c r="AU51" s="536"/>
      <c r="AV51" s="536"/>
      <c r="AW51" s="536"/>
      <c r="AX51" s="536"/>
      <c r="AY51" s="536"/>
      <c r="AZ51" s="63"/>
      <c r="BA51" s="269" t="s">
        <v>664</v>
      </c>
      <c r="BB51" s="71" t="e">
        <f>SUM(BB31:BB50)/初始化表!$B$5</f>
        <v>#DIV/0!</v>
      </c>
      <c r="BC51" s="71" t="e">
        <f>SUM(BC31:BC50)/初始化表!$B$5</f>
        <v>#DIV/0!</v>
      </c>
      <c r="BD51" s="71" t="e">
        <f>SUM(BD31:BD50)/初始化表!$B$5</f>
        <v>#DIV/0!</v>
      </c>
      <c r="BE51" s="71" t="e">
        <f>SUM(BE31:BE50)/初始化表!$B$5</f>
        <v>#DIV/0!</v>
      </c>
      <c r="BF51" s="71" t="e">
        <f>SUM(BF31:BF50)/初始化表!$B$5</f>
        <v>#DIV/0!</v>
      </c>
      <c r="BG51" s="71" t="e">
        <f>SUM(BG31:BG50)/初始化表!$B$5</f>
        <v>#DIV/0!</v>
      </c>
      <c r="BH51" s="71" t="e">
        <f>SUM(AJ107:AJ126)/SUM(BF31:BF50)</f>
        <v>#DIV/0!</v>
      </c>
      <c r="BI51" s="327">
        <f>((INT(I52)-SUM(AQ9:AQ12))*初始化表!E17+(INT(J52)-SUM(AQ13:AQ16))*初始化表!F17+(INT(K52)-SUM(AQ17:AQ20))*初始化表!G17+(INT(L52)-SUM(AQ21:AQ24))*初始化表!H17)/1300</f>
        <v>0</v>
      </c>
      <c r="BJ51" s="546"/>
      <c r="BK51" s="546"/>
      <c r="BR51" s="62"/>
      <c r="BS51" s="269" t="s">
        <v>570</v>
      </c>
      <c r="BT51" s="555" t="e">
        <f t="shared" ref="BT51:CI51" si="48">STDEV.P(AJ61:AJ80)</f>
        <v>#DIV/0!</v>
      </c>
      <c r="BU51" s="555" t="e">
        <f t="shared" si="48"/>
        <v>#DIV/0!</v>
      </c>
      <c r="BV51" s="555" t="e">
        <f t="shared" si="48"/>
        <v>#DIV/0!</v>
      </c>
      <c r="BW51" s="555" t="e">
        <f t="shared" si="48"/>
        <v>#DIV/0!</v>
      </c>
      <c r="BX51" s="555" t="e">
        <f t="shared" si="48"/>
        <v>#DIV/0!</v>
      </c>
      <c r="BY51" s="555" t="e">
        <f t="shared" si="48"/>
        <v>#DIV/0!</v>
      </c>
      <c r="BZ51" s="555" t="e">
        <f t="shared" si="48"/>
        <v>#DIV/0!</v>
      </c>
      <c r="CA51" s="555" t="e">
        <f t="shared" si="48"/>
        <v>#DIV/0!</v>
      </c>
      <c r="CB51" s="555" t="e">
        <f t="shared" si="48"/>
        <v>#DIV/0!</v>
      </c>
      <c r="CC51" s="555" t="e">
        <f t="shared" si="48"/>
        <v>#DIV/0!</v>
      </c>
      <c r="CD51" s="555" t="e">
        <f t="shared" si="48"/>
        <v>#DIV/0!</v>
      </c>
      <c r="CE51" s="555" t="e">
        <f t="shared" si="48"/>
        <v>#DIV/0!</v>
      </c>
      <c r="CF51" s="555" t="e">
        <f t="shared" si="48"/>
        <v>#DIV/0!</v>
      </c>
      <c r="CG51" s="555" t="e">
        <f t="shared" si="48"/>
        <v>#DIV/0!</v>
      </c>
      <c r="CH51" s="555" t="e">
        <f t="shared" si="48"/>
        <v>#DIV/0!</v>
      </c>
      <c r="CI51" s="555" t="e">
        <f t="shared" si="48"/>
        <v>#DIV/0!</v>
      </c>
      <c r="CJ51" s="453"/>
      <c r="CK51" s="228"/>
      <c r="CL51" s="228"/>
      <c r="CM51" s="228"/>
      <c r="CN51" s="228"/>
      <c r="CO51" s="228"/>
      <c r="CP51" s="228"/>
      <c r="CQ51" s="228"/>
      <c r="CR51" s="228"/>
      <c r="CS51" s="228"/>
      <c r="CT51" s="228"/>
      <c r="CU51" s="228"/>
      <c r="CV51" s="228"/>
      <c r="CW51" s="228"/>
      <c r="CX51" s="228"/>
      <c r="CY51" s="228"/>
      <c r="CZ51" s="228"/>
      <c r="DA51" s="228"/>
      <c r="DB51" s="228"/>
      <c r="DC51" s="228"/>
      <c r="DD51" s="228"/>
      <c r="DE51" s="228"/>
      <c r="DF51" s="228"/>
      <c r="DG51" s="228"/>
      <c r="DH51" s="228"/>
      <c r="DI51" s="228"/>
      <c r="DJ51" s="228"/>
      <c r="DK51" s="228"/>
      <c r="DL51" s="228"/>
      <c r="DM51" s="228"/>
      <c r="DN51" s="228"/>
      <c r="DO51" s="228"/>
      <c r="DP51" s="228"/>
      <c r="DQ51" s="228"/>
    </row>
    <row r="52" s="61" customFormat="1" ht="16" customHeight="1" spans="1:88">
      <c r="A52" s="269" t="s">
        <v>381</v>
      </c>
      <c r="B52" s="270"/>
      <c r="C52" s="106">
        <f>IF(AJ24="",0,SUM(AP9:AP12)*初始化表!E22+SUM(AP13:AP16)*初始化表!F22+SUM(AP17:AP20)*初始化表!G22+SUM(AP21:AP24)*初始化表!H22)-(SUM(V5:Z5,-I56)*初始化表!E22+SUM(V6:Z6,-J56)*初始化表!F22+SUM(V7:Z7,-K56)*初始化表!G22+SUM(V8:Z8,-L56)*初始化表!H22)</f>
        <v>0</v>
      </c>
      <c r="D52" s="79"/>
      <c r="E52" s="79" t="e">
        <f>E51-C52</f>
        <v>#DIV/0!</v>
      </c>
      <c r="F52" s="79"/>
      <c r="G52" s="73"/>
      <c r="H52" s="269" t="s">
        <v>665</v>
      </c>
      <c r="I52" s="470">
        <f>Z5+初始化表!B4*SUM(B17:E17)</f>
        <v>0</v>
      </c>
      <c r="J52" s="469">
        <f>Z6+初始化表!B4*SUM(B18:E18)</f>
        <v>0</v>
      </c>
      <c r="K52" s="469">
        <f>Z7+初始化表!B4*SUM(B19:E19)</f>
        <v>0</v>
      </c>
      <c r="L52" s="469">
        <f>Z8+初始化表!B4*SUM(B20:E20)</f>
        <v>0</v>
      </c>
      <c r="M52" s="511"/>
      <c r="N52" s="74"/>
      <c r="O52" s="74"/>
      <c r="P52" s="74"/>
      <c r="Q52" s="74"/>
      <c r="R52" s="74"/>
      <c r="S52" s="74"/>
      <c r="T52" s="120"/>
      <c r="U52" s="396"/>
      <c r="V52" s="90"/>
      <c r="W52" s="90"/>
      <c r="X52" s="90"/>
      <c r="Y52" s="90"/>
      <c r="Z52" s="74"/>
      <c r="AA52" s="73"/>
      <c r="AB52" s="74"/>
      <c r="AC52" s="74"/>
      <c r="AD52" s="74"/>
      <c r="AE52" s="74"/>
      <c r="AF52" s="74"/>
      <c r="AG52" s="74"/>
      <c r="AH52" s="73"/>
      <c r="AI52" s="535"/>
      <c r="AJ52" s="536"/>
      <c r="AK52" s="536"/>
      <c r="AL52" s="536"/>
      <c r="AM52" s="536"/>
      <c r="AN52" s="536"/>
      <c r="AO52" s="536"/>
      <c r="AP52" s="536"/>
      <c r="AQ52" s="536"/>
      <c r="AR52" s="536"/>
      <c r="AS52" s="536"/>
      <c r="AT52" s="536"/>
      <c r="AU52" s="536"/>
      <c r="AV52" s="536"/>
      <c r="AW52" s="536"/>
      <c r="AX52" s="536"/>
      <c r="AY52" s="536"/>
      <c r="AZ52" s="63"/>
      <c r="BA52" s="542"/>
      <c r="BR52" s="62"/>
      <c r="BS52" s="62"/>
      <c r="BT52" s="62"/>
      <c r="BU52" s="62"/>
      <c r="BV52" s="62"/>
      <c r="BW52" s="62"/>
      <c r="BX52" s="62"/>
      <c r="BY52" s="62"/>
      <c r="BZ52" s="62"/>
      <c r="CA52" s="62"/>
      <c r="CB52" s="62"/>
      <c r="CC52" s="62"/>
      <c r="CD52" s="62"/>
      <c r="CE52" s="62"/>
      <c r="CF52" s="62"/>
      <c r="CG52" s="62"/>
      <c r="CH52" s="62"/>
      <c r="CI52" s="62"/>
      <c r="CJ52" s="62"/>
    </row>
    <row r="53" s="61" customFormat="1" ht="16" customHeight="1" spans="1:88">
      <c r="A53" s="269" t="s">
        <v>382</v>
      </c>
      <c r="B53" s="270"/>
      <c r="C53" s="106">
        <f>-(H43+L43)/2*初始化表!B7</f>
        <v>0</v>
      </c>
      <c r="D53" s="79"/>
      <c r="E53" s="79" t="e">
        <f>E52-C53</f>
        <v>#DIV/0!</v>
      </c>
      <c r="F53" s="79" t="e">
        <f>F50+C53</f>
        <v>#DIV/0!</v>
      </c>
      <c r="G53" s="73"/>
      <c r="H53" s="269" t="s">
        <v>671</v>
      </c>
      <c r="I53" s="269" t="s">
        <v>521</v>
      </c>
      <c r="J53" s="269" t="s">
        <v>522</v>
      </c>
      <c r="K53" s="269" t="s">
        <v>523</v>
      </c>
      <c r="L53" s="269" t="s">
        <v>524</v>
      </c>
      <c r="M53" s="511"/>
      <c r="N53" s="74"/>
      <c r="O53" s="74"/>
      <c r="P53" s="74"/>
      <c r="Q53" s="74"/>
      <c r="R53" s="74"/>
      <c r="S53" s="74"/>
      <c r="T53" s="120"/>
      <c r="U53" s="269" t="s">
        <v>673</v>
      </c>
      <c r="V53" s="269" t="s">
        <v>513</v>
      </c>
      <c r="W53" s="269" t="s">
        <v>514</v>
      </c>
      <c r="X53" s="269" t="s">
        <v>515</v>
      </c>
      <c r="Y53" s="269" t="s">
        <v>516</v>
      </c>
      <c r="Z53" s="74"/>
      <c r="AA53" s="73"/>
      <c r="AB53" s="74"/>
      <c r="AC53" s="74"/>
      <c r="AD53" s="74"/>
      <c r="AE53" s="74"/>
      <c r="AF53" s="74"/>
      <c r="AG53" s="74"/>
      <c r="AH53" s="73"/>
      <c r="AI53" s="535"/>
      <c r="AJ53" s="536"/>
      <c r="AK53" s="536"/>
      <c r="AL53" s="536"/>
      <c r="AM53" s="536"/>
      <c r="AN53" s="536"/>
      <c r="AO53" s="536"/>
      <c r="AP53" s="536"/>
      <c r="AQ53" s="536"/>
      <c r="AR53" s="536"/>
      <c r="AS53" s="536"/>
      <c r="AT53" s="536"/>
      <c r="AU53" s="536"/>
      <c r="AV53" s="536"/>
      <c r="AW53" s="536"/>
      <c r="AX53" s="536"/>
      <c r="AY53" s="536"/>
      <c r="AZ53" s="63"/>
      <c r="BA53" s="269" t="s">
        <v>37</v>
      </c>
      <c r="BB53" s="269" t="s">
        <v>674</v>
      </c>
      <c r="BC53" s="543"/>
      <c r="BD53" s="269" t="s">
        <v>675</v>
      </c>
      <c r="BE53" s="269" t="s">
        <v>198</v>
      </c>
      <c r="BF53" s="269" t="s">
        <v>202</v>
      </c>
      <c r="BG53" s="269" t="s">
        <v>206</v>
      </c>
      <c r="BH53" s="269" t="s">
        <v>208</v>
      </c>
      <c r="BR53" s="62"/>
      <c r="BS53" s="62"/>
      <c r="BT53" s="62"/>
      <c r="BU53" s="62"/>
      <c r="BV53" s="62"/>
      <c r="BW53" s="62"/>
      <c r="BX53" s="62"/>
      <c r="BY53" s="62"/>
      <c r="BZ53" s="62"/>
      <c r="CA53" s="62"/>
      <c r="CB53" s="62"/>
      <c r="CC53" s="62"/>
      <c r="CD53" s="62"/>
      <c r="CE53" s="62"/>
      <c r="CF53" s="62"/>
      <c r="CG53" s="62"/>
      <c r="CH53" s="62"/>
      <c r="CI53" s="62"/>
      <c r="CJ53" s="62"/>
    </row>
    <row r="54" s="61" customFormat="1" ht="16" customHeight="1" spans="1:88">
      <c r="A54" s="269" t="s">
        <v>383</v>
      </c>
      <c r="B54" s="270"/>
      <c r="C54" s="106">
        <f>-(SUM(V5:Z5,I56)/2*初始化表!E5+SUM(V6:Z6,J56)/2*初始化表!E6+SUM(V7:Z7,K56)/2*初始化表!E7+SUM(V8:Z8,L56)/2*初始化表!E8+IF(AJ24="",0,(SUM(AP9:AP12)*初始化表!E5+SUM(AP13:AP16)*初始化表!E6+SUM(AP17:AP20)*初始化表!E7+SUM(AP21:AP24)*初始化表!E8)/2))</f>
        <v>0</v>
      </c>
      <c r="D54" s="79"/>
      <c r="E54" s="79" t="e">
        <f>E53-C54</f>
        <v>#DIV/0!</v>
      </c>
      <c r="F54" s="79" t="e">
        <f t="shared" ref="F54:F64" si="49">F53+C54</f>
        <v>#DIV/0!</v>
      </c>
      <c r="G54" s="73"/>
      <c r="H54" s="269" t="s">
        <v>665</v>
      </c>
      <c r="I54" s="515">
        <f>INT(I52)-SUM(B12:E12)</f>
        <v>0</v>
      </c>
      <c r="J54" s="516">
        <f>INT(J52)-SUM(B13:E13)</f>
        <v>0</v>
      </c>
      <c r="K54" s="516">
        <f>INT(K52)-SUM(B14:E14)</f>
        <v>0</v>
      </c>
      <c r="L54" s="516">
        <f>INT(L52)-SUM(B15:E15)</f>
        <v>0</v>
      </c>
      <c r="M54" s="511"/>
      <c r="N54" s="74"/>
      <c r="O54" s="74"/>
      <c r="P54" s="74"/>
      <c r="Q54" s="74"/>
      <c r="R54" s="74"/>
      <c r="S54" s="74"/>
      <c r="T54" s="120"/>
      <c r="U54" s="269" t="s">
        <v>521</v>
      </c>
      <c r="V54" s="77" t="e">
        <f t="shared" ref="V54:Y57" si="50">IF(V42&gt;V48,V42-V48,0)</f>
        <v>#DIV/0!</v>
      </c>
      <c r="W54" s="77" t="e">
        <f t="shared" si="50"/>
        <v>#DIV/0!</v>
      </c>
      <c r="X54" s="77" t="e">
        <f t="shared" si="50"/>
        <v>#DIV/0!</v>
      </c>
      <c r="Y54" s="77" t="e">
        <f t="shared" si="50"/>
        <v>#DIV/0!</v>
      </c>
      <c r="Z54" s="74"/>
      <c r="AA54" s="73"/>
      <c r="AB54" s="74"/>
      <c r="AC54" s="74"/>
      <c r="AD54" s="74"/>
      <c r="AE54" s="74"/>
      <c r="AF54" s="74"/>
      <c r="AG54" s="74"/>
      <c r="AH54" s="73"/>
      <c r="AI54" s="535"/>
      <c r="AJ54" s="536"/>
      <c r="AK54" s="536"/>
      <c r="AL54" s="536"/>
      <c r="AM54" s="536"/>
      <c r="AN54" s="536"/>
      <c r="AO54" s="536"/>
      <c r="AP54" s="536"/>
      <c r="AQ54" s="536"/>
      <c r="AR54" s="536"/>
      <c r="AS54" s="536"/>
      <c r="AT54" s="536"/>
      <c r="AU54" s="536"/>
      <c r="AV54" s="536"/>
      <c r="AW54" s="536"/>
      <c r="AX54" s="536"/>
      <c r="AY54" s="536"/>
      <c r="AZ54" s="63"/>
      <c r="BA54" s="270">
        <f t="shared" ref="BA54:BA73" si="51">BA31</f>
        <v>0</v>
      </c>
      <c r="BB54" s="544">
        <f>IF(BT5=1,AL107/(AP107+初期!H146/2),0)</f>
        <v>0</v>
      </c>
      <c r="BD54" s="269">
        <f>BA54</f>
        <v>0</v>
      </c>
      <c r="BE54" s="547" t="e">
        <f>BB31/$BB$31</f>
        <v>#DIV/0!</v>
      </c>
      <c r="BF54" s="547" t="e">
        <f>BC31/$BC$31</f>
        <v>#DIV/0!</v>
      </c>
      <c r="BG54" s="547" t="e">
        <f>BD31/$BD$31</f>
        <v>#DIV/0!</v>
      </c>
      <c r="BH54" s="547" t="e">
        <f>BE31/$BE$31</f>
        <v>#DIV/0!</v>
      </c>
      <c r="BR54" s="62"/>
      <c r="BS54" s="62"/>
      <c r="BT54" s="62"/>
      <c r="BU54" s="62"/>
      <c r="BV54" s="62"/>
      <c r="BW54" s="62"/>
      <c r="BX54" s="62"/>
      <c r="BY54" s="62"/>
      <c r="BZ54" s="62"/>
      <c r="CA54" s="62"/>
      <c r="CB54" s="62"/>
      <c r="CC54" s="62"/>
      <c r="CD54" s="62"/>
      <c r="CE54" s="62"/>
      <c r="CF54" s="62"/>
      <c r="CG54" s="62"/>
      <c r="CH54" s="62"/>
      <c r="CI54" s="62"/>
      <c r="CJ54" s="62"/>
    </row>
    <row r="55" s="61" customFormat="1" ht="16" customHeight="1" spans="1:88">
      <c r="A55" s="269" t="s">
        <v>384</v>
      </c>
      <c r="B55" s="270"/>
      <c r="C55" s="106">
        <f>N37</f>
        <v>0</v>
      </c>
      <c r="D55" s="79"/>
      <c r="E55" s="79"/>
      <c r="F55" s="79" t="e">
        <f t="shared" si="49"/>
        <v>#DIV/0!</v>
      </c>
      <c r="G55" s="73"/>
      <c r="H55" s="269" t="s">
        <v>677</v>
      </c>
      <c r="I55" s="269" t="s">
        <v>521</v>
      </c>
      <c r="J55" s="269" t="s">
        <v>522</v>
      </c>
      <c r="K55" s="269" t="s">
        <v>523</v>
      </c>
      <c r="L55" s="269" t="s">
        <v>524</v>
      </c>
      <c r="M55" s="511"/>
      <c r="N55" s="74"/>
      <c r="O55" s="74"/>
      <c r="P55" s="74"/>
      <c r="Q55" s="74"/>
      <c r="R55" s="74"/>
      <c r="S55" s="74"/>
      <c r="T55" s="120"/>
      <c r="U55" s="269" t="s">
        <v>522</v>
      </c>
      <c r="V55" s="77" t="e">
        <f t="shared" si="50"/>
        <v>#DIV/0!</v>
      </c>
      <c r="W55" s="77" t="e">
        <f t="shared" si="50"/>
        <v>#DIV/0!</v>
      </c>
      <c r="X55" s="77" t="e">
        <f t="shared" si="50"/>
        <v>#DIV/0!</v>
      </c>
      <c r="Y55" s="77" t="e">
        <f t="shared" si="50"/>
        <v>#DIV/0!</v>
      </c>
      <c r="Z55" s="74"/>
      <c r="AA55" s="73"/>
      <c r="AB55" s="74"/>
      <c r="AC55" s="74"/>
      <c r="AD55" s="74"/>
      <c r="AE55" s="74"/>
      <c r="AF55" s="74"/>
      <c r="AG55" s="74"/>
      <c r="AH55" s="73"/>
      <c r="AI55" s="535"/>
      <c r="AJ55" s="536"/>
      <c r="AK55" s="536"/>
      <c r="AL55" s="536"/>
      <c r="AM55" s="536"/>
      <c r="AN55" s="536"/>
      <c r="AO55" s="536"/>
      <c r="AP55" s="536"/>
      <c r="AQ55" s="536"/>
      <c r="AR55" s="536"/>
      <c r="AS55" s="536"/>
      <c r="AT55" s="536"/>
      <c r="AU55" s="536"/>
      <c r="AV55" s="536"/>
      <c r="AW55" s="536"/>
      <c r="AX55" s="536"/>
      <c r="AY55" s="536"/>
      <c r="AZ55" s="63"/>
      <c r="BA55" s="270">
        <f t="shared" si="51"/>
        <v>0</v>
      </c>
      <c r="BB55" s="544">
        <f>IF(BT6=1,AL108/(AP108+初期!H147/2),0)</f>
        <v>0</v>
      </c>
      <c r="BD55" s="269">
        <f t="shared" ref="BD55:BD73" si="52">BA55</f>
        <v>0</v>
      </c>
      <c r="BE55" s="547" t="e">
        <f t="shared" ref="BE55:BE73" si="53">BB32/$BB$31</f>
        <v>#DIV/0!</v>
      </c>
      <c r="BF55" s="547" t="e">
        <f t="shared" ref="BF55:BF73" si="54">BC32/$BC$31</f>
        <v>#DIV/0!</v>
      </c>
      <c r="BG55" s="547" t="e">
        <f t="shared" ref="BG55:BG73" si="55">BD32/$BD$31</f>
        <v>#DIV/0!</v>
      </c>
      <c r="BH55" s="547" t="e">
        <f t="shared" ref="BH55:BH73" si="56">BE32/$BE$31</f>
        <v>#DIV/0!</v>
      </c>
      <c r="BR55" s="62"/>
      <c r="BS55" s="62"/>
      <c r="BT55" s="62"/>
      <c r="BU55" s="62"/>
      <c r="BV55" s="62"/>
      <c r="BW55" s="62"/>
      <c r="BX55" s="62"/>
      <c r="BY55" s="62"/>
      <c r="BZ55" s="62"/>
      <c r="CA55" s="62"/>
      <c r="CB55" s="62"/>
      <c r="CC55" s="62"/>
      <c r="CD55" s="62"/>
      <c r="CE55" s="62"/>
      <c r="CF55" s="62"/>
      <c r="CG55" s="62"/>
      <c r="CH55" s="62"/>
      <c r="CI55" s="62"/>
      <c r="CJ55" s="62"/>
    </row>
    <row r="56" s="61" customFormat="1" ht="16" customHeight="1" spans="1:88">
      <c r="A56" s="269" t="s">
        <v>385</v>
      </c>
      <c r="B56" s="270"/>
      <c r="C56" s="106">
        <f>N37*初始化表!B23/4</f>
        <v>0</v>
      </c>
      <c r="D56" s="79" t="e">
        <f>D49+C56</f>
        <v>#DIV/0!</v>
      </c>
      <c r="E56" s="79"/>
      <c r="F56" s="79" t="e">
        <f t="shared" si="49"/>
        <v>#DIV/0!</v>
      </c>
      <c r="G56" s="73"/>
      <c r="H56" s="269" t="s">
        <v>665</v>
      </c>
      <c r="I56" s="470">
        <f>SUM(B17:E17)+Z5-SUM(B12:E12)</f>
        <v>0</v>
      </c>
      <c r="J56" s="469">
        <f>SUM(B18:E18)+Z6-SUM(B13:E13)</f>
        <v>0</v>
      </c>
      <c r="K56" s="469">
        <f>SUM(B19:E19)+Z7-SUM(B14:E14)</f>
        <v>0</v>
      </c>
      <c r="L56" s="469">
        <f>SUM(B20:E20)+Z8-SUM(B15:E15)</f>
        <v>0</v>
      </c>
      <c r="M56" s="511"/>
      <c r="N56" s="74"/>
      <c r="O56" s="74"/>
      <c r="P56" s="74"/>
      <c r="Q56" s="74"/>
      <c r="R56" s="74"/>
      <c r="S56" s="74"/>
      <c r="T56" s="120"/>
      <c r="U56" s="269" t="s">
        <v>523</v>
      </c>
      <c r="V56" s="77" t="e">
        <f t="shared" si="50"/>
        <v>#DIV/0!</v>
      </c>
      <c r="W56" s="77" t="e">
        <f t="shared" si="50"/>
        <v>#DIV/0!</v>
      </c>
      <c r="X56" s="77" t="e">
        <f t="shared" si="50"/>
        <v>#DIV/0!</v>
      </c>
      <c r="Y56" s="77" t="e">
        <f t="shared" si="50"/>
        <v>#DIV/0!</v>
      </c>
      <c r="Z56" s="74"/>
      <c r="AA56" s="73"/>
      <c r="AB56" s="74"/>
      <c r="AC56" s="74"/>
      <c r="AD56" s="74"/>
      <c r="AE56" s="74"/>
      <c r="AF56" s="74"/>
      <c r="AG56" s="74"/>
      <c r="AH56" s="73"/>
      <c r="AI56" s="535"/>
      <c r="AJ56" s="536"/>
      <c r="AK56" s="536"/>
      <c r="AL56" s="536"/>
      <c r="AM56" s="536"/>
      <c r="AN56" s="536"/>
      <c r="AO56" s="536"/>
      <c r="AP56" s="536"/>
      <c r="AQ56" s="536"/>
      <c r="AR56" s="536"/>
      <c r="AS56" s="536"/>
      <c r="AT56" s="536"/>
      <c r="AU56" s="536"/>
      <c r="AV56" s="536"/>
      <c r="AW56" s="536"/>
      <c r="AX56" s="536"/>
      <c r="AY56" s="536"/>
      <c r="AZ56" s="63"/>
      <c r="BA56" s="270">
        <f t="shared" si="51"/>
        <v>0</v>
      </c>
      <c r="BB56" s="544">
        <f>IF(BT7=1,AL109/(AP109+初期!H148/2),0)</f>
        <v>0</v>
      </c>
      <c r="BD56" s="269">
        <f t="shared" si="52"/>
        <v>0</v>
      </c>
      <c r="BE56" s="547" t="e">
        <f t="shared" si="53"/>
        <v>#DIV/0!</v>
      </c>
      <c r="BF56" s="547" t="e">
        <f t="shared" si="54"/>
        <v>#DIV/0!</v>
      </c>
      <c r="BG56" s="547" t="e">
        <f t="shared" si="55"/>
        <v>#DIV/0!</v>
      </c>
      <c r="BH56" s="547" t="e">
        <f t="shared" si="56"/>
        <v>#DIV/0!</v>
      </c>
      <c r="BR56" s="62"/>
      <c r="BS56" s="62"/>
      <c r="BT56" s="62"/>
      <c r="BU56" s="62"/>
      <c r="BV56" s="62"/>
      <c r="BW56" s="62"/>
      <c r="BX56" s="62"/>
      <c r="BY56" s="62"/>
      <c r="BZ56" s="62"/>
      <c r="CA56" s="62"/>
      <c r="CB56" s="62"/>
      <c r="CC56" s="62"/>
      <c r="CD56" s="62"/>
      <c r="CE56" s="62"/>
      <c r="CF56" s="62"/>
      <c r="CG56" s="62"/>
      <c r="CH56" s="62"/>
      <c r="CI56" s="62"/>
      <c r="CJ56" s="62"/>
    </row>
    <row r="57" s="61" customFormat="1" ht="16" customHeight="1" spans="1:88">
      <c r="A57" s="269" t="s">
        <v>386</v>
      </c>
      <c r="B57" s="270"/>
      <c r="C57" s="106">
        <f>-B24</f>
        <v>0</v>
      </c>
      <c r="D57" s="79"/>
      <c r="E57" s="79"/>
      <c r="F57" s="79" t="e">
        <f t="shared" si="49"/>
        <v>#DIV/0!</v>
      </c>
      <c r="G57" s="73"/>
      <c r="H57" s="269" t="s">
        <v>680</v>
      </c>
      <c r="I57" s="269" t="s">
        <v>513</v>
      </c>
      <c r="J57" s="269" t="s">
        <v>514</v>
      </c>
      <c r="K57" s="269" t="s">
        <v>515</v>
      </c>
      <c r="L57" s="269" t="s">
        <v>516</v>
      </c>
      <c r="M57" s="511"/>
      <c r="N57" s="74"/>
      <c r="O57" s="74"/>
      <c r="P57" s="74"/>
      <c r="Q57" s="74"/>
      <c r="R57" s="74"/>
      <c r="S57" s="74"/>
      <c r="T57" s="120"/>
      <c r="U57" s="269" t="s">
        <v>524</v>
      </c>
      <c r="V57" s="77" t="e">
        <f t="shared" si="50"/>
        <v>#DIV/0!</v>
      </c>
      <c r="W57" s="77" t="e">
        <f t="shared" si="50"/>
        <v>#DIV/0!</v>
      </c>
      <c r="X57" s="77" t="e">
        <f t="shared" si="50"/>
        <v>#DIV/0!</v>
      </c>
      <c r="Y57" s="77" t="e">
        <f t="shared" si="50"/>
        <v>#DIV/0!</v>
      </c>
      <c r="Z57" s="74"/>
      <c r="AA57" s="73"/>
      <c r="AB57" s="74"/>
      <c r="AC57" s="74"/>
      <c r="AD57" s="74"/>
      <c r="AE57" s="74"/>
      <c r="AF57" s="74"/>
      <c r="AG57" s="74"/>
      <c r="AH57" s="73"/>
      <c r="AI57" s="179" t="s">
        <v>681</v>
      </c>
      <c r="AJ57" s="180">
        <f>IF(AJ37="",0,SUM(AJ37:AJ56)/TEXT(COUNTA(AJ37:AJ56),"0;;"))</f>
        <v>0</v>
      </c>
      <c r="AK57" s="180">
        <f t="shared" ref="AK57:AY57" si="57">IF(AK37="",0,SUM(AK37:AK56)/TEXT(COUNTA(AK37:AK56),"0;;"))</f>
        <v>0</v>
      </c>
      <c r="AL57" s="180">
        <f t="shared" si="57"/>
        <v>0</v>
      </c>
      <c r="AM57" s="180">
        <f t="shared" si="57"/>
        <v>0</v>
      </c>
      <c r="AN57" s="180">
        <f t="shared" si="57"/>
        <v>0</v>
      </c>
      <c r="AO57" s="180">
        <f t="shared" si="57"/>
        <v>0</v>
      </c>
      <c r="AP57" s="180">
        <f t="shared" si="57"/>
        <v>0</v>
      </c>
      <c r="AQ57" s="180">
        <f t="shared" si="57"/>
        <v>0</v>
      </c>
      <c r="AR57" s="180">
        <f t="shared" si="57"/>
        <v>0</v>
      </c>
      <c r="AS57" s="180">
        <f t="shared" si="57"/>
        <v>0</v>
      </c>
      <c r="AT57" s="180">
        <f t="shared" si="57"/>
        <v>0</v>
      </c>
      <c r="AU57" s="180">
        <f t="shared" si="57"/>
        <v>0</v>
      </c>
      <c r="AV57" s="180">
        <f t="shared" si="57"/>
        <v>0</v>
      </c>
      <c r="AW57" s="180">
        <f t="shared" si="57"/>
        <v>0</v>
      </c>
      <c r="AX57" s="180">
        <f t="shared" si="57"/>
        <v>0</v>
      </c>
      <c r="AY57" s="180">
        <f t="shared" si="57"/>
        <v>0</v>
      </c>
      <c r="AZ57" s="63"/>
      <c r="BA57" s="270">
        <f t="shared" si="51"/>
        <v>0</v>
      </c>
      <c r="BB57" s="544">
        <f>IF(BT8=1,AL110/(AP110+初期!H149/2),0)</f>
        <v>0</v>
      </c>
      <c r="BD57" s="269">
        <f t="shared" si="52"/>
        <v>0</v>
      </c>
      <c r="BE57" s="547" t="e">
        <f t="shared" si="53"/>
        <v>#DIV/0!</v>
      </c>
      <c r="BF57" s="547" t="e">
        <f t="shared" si="54"/>
        <v>#DIV/0!</v>
      </c>
      <c r="BG57" s="547" t="e">
        <f t="shared" si="55"/>
        <v>#DIV/0!</v>
      </c>
      <c r="BH57" s="547" t="e">
        <f t="shared" si="56"/>
        <v>#DIV/0!</v>
      </c>
      <c r="BR57" s="62"/>
      <c r="BS57" s="62"/>
      <c r="BT57" s="62"/>
      <c r="BU57" s="62"/>
      <c r="BV57" s="62"/>
      <c r="BW57" s="62"/>
      <c r="BX57" s="62"/>
      <c r="BY57" s="62"/>
      <c r="BZ57" s="62"/>
      <c r="CA57" s="62"/>
      <c r="CB57" s="62"/>
      <c r="CC57" s="62"/>
      <c r="CD57" s="62"/>
      <c r="CE57" s="62"/>
      <c r="CF57" s="62"/>
      <c r="CG57" s="62"/>
      <c r="CH57" s="62"/>
      <c r="CI57" s="62"/>
      <c r="CJ57" s="62"/>
    </row>
    <row r="58" s="61" customFormat="1" ht="16" customHeight="1" spans="1:88">
      <c r="A58" s="269" t="s">
        <v>387</v>
      </c>
      <c r="B58" s="270"/>
      <c r="C58" s="106">
        <f>-B24*初始化表!B22/4</f>
        <v>0</v>
      </c>
      <c r="D58" s="79"/>
      <c r="E58" s="79" t="e">
        <f>E54-C58</f>
        <v>#DIV/0!</v>
      </c>
      <c r="F58" s="79" t="e">
        <f t="shared" si="49"/>
        <v>#DIV/0!</v>
      </c>
      <c r="G58" s="73"/>
      <c r="H58" s="269" t="s">
        <v>521</v>
      </c>
      <c r="I58" s="517">
        <f>INT(IF($F$24=1,IF(MOD(($I52+SUM($V5:$Y5)-SUM($V11:$Y11))*I47/SUM($I47:$L47)-V5+V11-9,20)&gt;11,(($I52+SUM($V5:$Y5)-SUM($V11:$Y11))*I47/SUM($I47:$L47)-V5+V11),(($I52+SUM($V5:$Y5)-SUM($V11:$Y11))*I47/SUM($I47:$L47)-V5+V11)-MOD(($I52+SUM($V5:$Y5)-SUM($V11:$Y11))*I47/SUM($I47:$L47)-V5+V11-9,20)),($I52+SUM($V5:$Y5)-SUM($V11:$Y11))*I47/SUM($I47:$L47)-V5+V11))</f>
        <v>-11</v>
      </c>
      <c r="J58" s="474">
        <f>INT(IF($F$24=1,IF(MOD(($I52+SUM($V5:$Y5)-SUM($V11:$Y11))*J47/SUM($I47:$L47)-W5+W11-9,20)&gt;11,(($I52+SUM($V5:$Y5)-SUM($V11:$Y11))*J47/SUM($I47:$L47)-W5+W11),(($I52+SUM($V5:$Y5)-SUM($V11:$Y11))*J47/SUM($I47:$L47)-W5+W11)-MOD(($I52+SUM($V5:$Y5)-SUM($V11:$Y11))*J47/SUM($I47:$L47)-W5+W11-9,20)),($I52+SUM($V5:$Y5)-SUM($V11:$Y11))*J47/SUM($I47:$L47)-W5+W11))</f>
        <v>-11</v>
      </c>
      <c r="K58" s="474">
        <f>INT(IF($F$24=1,IF(MOD(($I52+SUM($V5:$Y5)-SUM($V11:$Y11))*K47/SUM($I47:$L47)-X5+X11-9,20)&gt;11,(($I52+SUM($V5:$Y5)-SUM($V11:$Y11))*K47/SUM($I47:$L47)-X5+X11),(($I52+SUM($V5:$Y5)-SUM($V11:$Y11))*K47/SUM($I47:$L47)-X5+X11)-MOD(($I52+SUM($V5:$Y5)-SUM($V11:$Y11))*K47/SUM($I47:$L47)-X5+X11-9,20)),($I52+SUM($V5:$Y5)-SUM($V11:$Y11))*K47/SUM($I47:$L47)-X5+X11))</f>
        <v>-11</v>
      </c>
      <c r="L58" s="474">
        <f>INT(IF($F$24=1,IF(MOD(($I52+SUM($V5:$Y5)-SUM($V11:$Y11))*L47/SUM($I47:$L47)-Y5+Y11-9,20)&gt;11,(($I52+SUM($V5:$Y5)-SUM($V11:$Y11))*L47/SUM($I47:$L47)-Y5+Y11),(($I52+SUM($V5:$Y5)-SUM($V11:$Y11))*L47/SUM($I47:$L47)-Y5+Y11)-MOD(($I52+SUM($V5:$Y5)-SUM($V11:$Y11))*L47/SUM($I47:$L47)-Y5+Y11-9,20)),($I52+SUM($V5:$Y5)-SUM($V11:$Y11))*L47/SUM($I47:$L47)-Y5+Y11))</f>
        <v>-11</v>
      </c>
      <c r="M58" s="511"/>
      <c r="N58" s="74"/>
      <c r="O58" s="74"/>
      <c r="P58" s="74"/>
      <c r="Q58" s="74"/>
      <c r="R58" s="74"/>
      <c r="S58" s="74"/>
      <c r="T58" s="120"/>
      <c r="U58" s="396"/>
      <c r="V58" s="90"/>
      <c r="W58" s="90"/>
      <c r="X58" s="90"/>
      <c r="Y58" s="90"/>
      <c r="Z58" s="74"/>
      <c r="AA58" s="73"/>
      <c r="AB58" s="74"/>
      <c r="AC58" s="74"/>
      <c r="AD58" s="74"/>
      <c r="AE58" s="74"/>
      <c r="AF58" s="74"/>
      <c r="AG58" s="74"/>
      <c r="AH58" s="73"/>
      <c r="AI58" s="68" t="s">
        <v>481</v>
      </c>
      <c r="AJ58" s="69"/>
      <c r="AK58" s="69"/>
      <c r="AL58" s="69"/>
      <c r="AM58" s="69"/>
      <c r="AN58" s="69"/>
      <c r="AO58" s="69"/>
      <c r="AP58" s="69"/>
      <c r="AQ58" s="69"/>
      <c r="AR58" s="69"/>
      <c r="AS58" s="69"/>
      <c r="AT58" s="69"/>
      <c r="AU58" s="69"/>
      <c r="AV58" s="69"/>
      <c r="AW58" s="69"/>
      <c r="AX58" s="69"/>
      <c r="AY58" s="69"/>
      <c r="AZ58" s="63"/>
      <c r="BA58" s="270">
        <f t="shared" si="51"/>
        <v>0</v>
      </c>
      <c r="BB58" s="544">
        <f>IF(BT9=1,AL111/(AP111+初期!H150/2),0)</f>
        <v>0</v>
      </c>
      <c r="BD58" s="269">
        <f t="shared" si="52"/>
        <v>0</v>
      </c>
      <c r="BE58" s="547" t="e">
        <f t="shared" si="53"/>
        <v>#DIV/0!</v>
      </c>
      <c r="BF58" s="547" t="e">
        <f t="shared" si="54"/>
        <v>#DIV/0!</v>
      </c>
      <c r="BG58" s="547" t="e">
        <f t="shared" si="55"/>
        <v>#DIV/0!</v>
      </c>
      <c r="BH58" s="547" t="e">
        <f t="shared" si="56"/>
        <v>#DIV/0!</v>
      </c>
      <c r="BR58" s="62"/>
      <c r="BS58" s="62"/>
      <c r="BT58" s="62"/>
      <c r="BU58" s="62"/>
      <c r="BV58" s="62"/>
      <c r="BW58" s="62"/>
      <c r="BX58" s="62"/>
      <c r="BY58" s="62"/>
      <c r="BZ58" s="62"/>
      <c r="CA58" s="62"/>
      <c r="CB58" s="62"/>
      <c r="CC58" s="62"/>
      <c r="CD58" s="62"/>
      <c r="CE58" s="62"/>
      <c r="CF58" s="62"/>
      <c r="CG58" s="62"/>
      <c r="CH58" s="62"/>
      <c r="CI58" s="62"/>
      <c r="CJ58" s="62"/>
    </row>
    <row r="59" s="61" customFormat="1" ht="16" customHeight="1" spans="1:88">
      <c r="A59" s="269" t="s">
        <v>388</v>
      </c>
      <c r="B59" s="270"/>
      <c r="C59" s="106">
        <f>-R33</f>
        <v>0</v>
      </c>
      <c r="D59" s="79"/>
      <c r="E59" s="79"/>
      <c r="F59" s="79" t="e">
        <f t="shared" si="49"/>
        <v>#DIV/0!</v>
      </c>
      <c r="G59" s="73"/>
      <c r="H59" s="269" t="s">
        <v>522</v>
      </c>
      <c r="I59" s="106">
        <f>INT(IF($F$24=1,IF(MOD(($J52+SUM($V6:$Y6)-SUM($V12:$Y12))*I48/SUM($I48:$L48)-V6+V12-9,20)&gt;11,(($J52+SUM($V6:$Y6)-SUM($V12:$Y12))*I48/SUM($I48:$L48)-V6+V12),(($J52+SUM($V6:$Y6)-SUM($V12:$Y12))*I48/SUM($I48:$L48)-V6+V12)-MOD(($J52+SUM($V6:$Y6)-SUM($V12:$Y12))*I48/SUM($I48:$L48)-V6+V12-9,20)),($J52+SUM($V6:$Y6)-SUM($V12:$Y12))*I48/SUM($I48:$L48)-V6+V12))</f>
        <v>-11</v>
      </c>
      <c r="J59" s="77">
        <f>INT(IF($F$24=1,IF(MOD(($J52+SUM($V6:$Y6)-SUM($V12:$Y12))*J48/SUM($I48:$L48)-W6+W12-9,20)&gt;11,(($J52+SUM($V6:$Y6)-SUM($V12:$Y12))*J48/SUM($I48:$L48)-W6+W12),(($J52+SUM($V6:$Y6)-SUM($V12:$Y12))*J48/SUM($I48:$L48)-W6+W12)-MOD(($J52+SUM($V6:$Y6)-SUM($V12:$Y12))*J48/SUM($I48:$L48)-W6+W12-9,20)),($J52+SUM($V6:$Y6)-SUM($V12:$Y12))*J48/SUM($I48:$L48)-W6+W12))</f>
        <v>-11</v>
      </c>
      <c r="K59" s="77">
        <f>INT(IF($F$24=1,IF(MOD(($J52+SUM($V6:$Y6)-SUM($V12:$Y12))*K48/SUM($I48:$L48)-X6+X12-9,20)&gt;11,(($J52+SUM($V6:$Y6)-SUM($V12:$Y12))*K48/SUM($I48:$L48)-X6+X12),(($J52+SUM($V6:$Y6)-SUM($V12:$Y12))*K48/SUM($I48:$L48)-X6+X12)-MOD(($J52+SUM($V6:$Y6)-SUM($V12:$Y12))*K48/SUM($I48:$L48)-X6+X12-9,20)),($J52+SUM($V6:$Y6)-SUM($V12:$Y12))*K48/SUM($I48:$L48)-X6+X12))</f>
        <v>-11</v>
      </c>
      <c r="L59" s="77">
        <f>INT(IF($F$24=1,IF(MOD(($J52+SUM($V6:$Y6)-SUM($V12:$Y12))*L48/SUM($I48:$L48)-Y6+Y12-9,20)&gt;11,(($J52+SUM($V6:$Y6)-SUM($V12:$Y12))*L48/SUM($I48:$L48)-Y6+Y12),(($J52+SUM($V6:$Y6)-SUM($V12:$Y12))*L48/SUM($I48:$L48)-Y6+Y12)-MOD(($J52+SUM($V6:$Y6)-SUM($V12:$Y12))*L48/SUM($I48:$L48)-Y6+Y12-9,20)),($J52+SUM($V6:$Y6)-SUM($V12:$Y12))*L48/SUM($I48:$L48)-Y6+Y12))</f>
        <v>-11</v>
      </c>
      <c r="M59" s="511"/>
      <c r="N59" s="74"/>
      <c r="O59" s="74"/>
      <c r="P59" s="74"/>
      <c r="Q59" s="74"/>
      <c r="R59" s="74"/>
      <c r="S59" s="74"/>
      <c r="T59" s="120"/>
      <c r="U59" s="269" t="s">
        <v>682</v>
      </c>
      <c r="V59" s="269" t="s">
        <v>38</v>
      </c>
      <c r="W59" s="269" t="s">
        <v>39</v>
      </c>
      <c r="X59" s="269" t="s">
        <v>40</v>
      </c>
      <c r="Y59" s="269" t="s">
        <v>41</v>
      </c>
      <c r="Z59" s="74"/>
      <c r="AA59" s="73"/>
      <c r="AB59" s="74"/>
      <c r="AC59" s="74"/>
      <c r="AD59" s="74"/>
      <c r="AE59" s="74"/>
      <c r="AF59" s="74"/>
      <c r="AG59" s="74"/>
      <c r="AH59" s="73"/>
      <c r="AI59" s="68" t="s">
        <v>37</v>
      </c>
      <c r="AJ59" s="68" t="s">
        <v>35</v>
      </c>
      <c r="AK59" s="69"/>
      <c r="AL59" s="69"/>
      <c r="AM59" s="69"/>
      <c r="AN59" s="68" t="s">
        <v>465</v>
      </c>
      <c r="AO59" s="69"/>
      <c r="AP59" s="69"/>
      <c r="AQ59" s="69"/>
      <c r="AR59" s="68" t="s">
        <v>466</v>
      </c>
      <c r="AS59" s="69"/>
      <c r="AT59" s="69"/>
      <c r="AU59" s="69"/>
      <c r="AV59" s="68" t="s">
        <v>468</v>
      </c>
      <c r="AW59" s="69"/>
      <c r="AX59" s="69"/>
      <c r="AY59" s="69"/>
      <c r="AZ59" s="63"/>
      <c r="BA59" s="270">
        <f t="shared" si="51"/>
        <v>0</v>
      </c>
      <c r="BB59" s="544">
        <f>IF(BT10=1,AL112/(AP112+初期!H151/2),0)</f>
        <v>0</v>
      </c>
      <c r="BD59" s="269">
        <f t="shared" si="52"/>
        <v>0</v>
      </c>
      <c r="BE59" s="547" t="e">
        <f t="shared" si="53"/>
        <v>#DIV/0!</v>
      </c>
      <c r="BF59" s="547" t="e">
        <f t="shared" si="54"/>
        <v>#DIV/0!</v>
      </c>
      <c r="BG59" s="547" t="e">
        <f t="shared" si="55"/>
        <v>#DIV/0!</v>
      </c>
      <c r="BH59" s="547" t="e">
        <f t="shared" si="56"/>
        <v>#DIV/0!</v>
      </c>
      <c r="BR59" s="62"/>
      <c r="BS59" s="62"/>
      <c r="BT59" s="62"/>
      <c r="BU59" s="62"/>
      <c r="BV59" s="62"/>
      <c r="BW59" s="62"/>
      <c r="BX59" s="62"/>
      <c r="BY59" s="62"/>
      <c r="BZ59" s="62"/>
      <c r="CA59" s="62"/>
      <c r="CB59" s="62"/>
      <c r="CC59" s="62"/>
      <c r="CD59" s="62"/>
      <c r="CE59" s="62"/>
      <c r="CF59" s="62"/>
      <c r="CG59" s="62"/>
      <c r="CH59" s="62"/>
      <c r="CI59" s="62"/>
      <c r="CJ59" s="62"/>
    </row>
    <row r="60" s="61" customFormat="1" ht="16" customHeight="1" spans="1:88">
      <c r="A60" s="269" t="s">
        <v>389</v>
      </c>
      <c r="B60" s="270"/>
      <c r="C60" s="106">
        <f>C59*0.1</f>
        <v>0</v>
      </c>
      <c r="D60" s="79"/>
      <c r="E60" s="79" t="e">
        <f>E58-C60</f>
        <v>#DIV/0!</v>
      </c>
      <c r="F60" s="79" t="e">
        <f t="shared" si="49"/>
        <v>#DIV/0!</v>
      </c>
      <c r="G60" s="73"/>
      <c r="H60" s="269" t="s">
        <v>523</v>
      </c>
      <c r="I60" s="106">
        <f>INT(IF($F$24=1,IF(MOD(($K52+SUM($V7:$Y7)-SUM($V13:$Y13))*I49/SUM($I49:$L49)-V7+V13-9,20)&gt;11,(($K52+SUM($V7:$Y7)-SUM($V13:$Y13))*I49/SUM($I49:$L49)-V7+V13),(($K52+SUM($V7:$Y7)-SUM($V13:$Y13))*I49/SUM($I49:$L49)-V7+V13)-MOD(($K52+SUM($V7:$Y7)-SUM($V13:$Y13))*I49/SUM($I49:$L49)-V7+V13-9,20)),($K52+SUM($V7:$Y7)-SUM($V13:$Y13))*I49/SUM($I49:$L49)-V7+V13))</f>
        <v>-11</v>
      </c>
      <c r="J60" s="77">
        <f>INT(IF($F$24=1,IF(MOD(($K52+SUM($V7:$Y7)-SUM($V13:$Y13))*J49/SUM($I49:$L49)-W7+W13-9,20)&gt;11,(($K52+SUM($V7:$Y7)-SUM($V13:$Y13))*J49/SUM($I49:$L49)-W7+W13),(($K52+SUM($V7:$Y7)-SUM($V13:$Y13))*J49/SUM($I49:$L49)-W7+W13)-MOD(($K52+SUM($V7:$Y7)-SUM($V13:$Y13))*J49/SUM($I49:$L49)-W7+W13-9,20)),($K52+SUM($V7:$Y7)-SUM($V13:$Y13))*J49/SUM($I49:$L49)-W7+W13))</f>
        <v>-11</v>
      </c>
      <c r="K60" s="77">
        <f>INT(IF($F$24=1,IF(MOD(($K52+SUM($V7:$Y7)-SUM($V13:$Y13))*K49/SUM($I49:$L49)-X7+X13-9,20)&gt;11,(($K52+SUM($V7:$Y7)-SUM($V13:$Y13))*K49/SUM($I49:$L49)-X7+X13),(($K52+SUM($V7:$Y7)-SUM($V13:$Y13))*K49/SUM($I49:$L49)-X7+X13)-MOD(($K52+SUM($V7:$Y7)-SUM($V13:$Y13))*K49/SUM($I49:$L49)-X7+X13-9,20)),($K52+SUM($V7:$Y7)-SUM($V13:$Y13))*K49/SUM($I49:$L49)-X7+X13))</f>
        <v>-11</v>
      </c>
      <c r="L60" s="77">
        <f>INT(IF($F$24=1,IF(MOD(($K52+SUM($V7:$Y7)-SUM($V13:$Y13))*L49/SUM($I49:$L49)-Y7+Y13-9,20)&gt;11,(($K52+SUM($V7:$Y7)-SUM($V13:$Y13))*L49/SUM($I49:$L49)-Y7+Y13),(($K52+SUM($V7:$Y7)-SUM($V13:$Y13))*L49/SUM($I49:$L49)-Y7+Y13)-MOD(($K52+SUM($V7:$Y7)-SUM($V13:$Y13))*L49/SUM($I49:$L49)-Y7+Y13-9,20)),($K52+SUM($V7:$Y7)-SUM($V13:$Y13))*L49/SUM($I49:$L49)-Y7+Y13))</f>
        <v>-11</v>
      </c>
      <c r="M60" s="511"/>
      <c r="N60" s="518" t="s">
        <v>719</v>
      </c>
      <c r="O60" s="518"/>
      <c r="P60" s="518"/>
      <c r="Q60" s="518"/>
      <c r="R60" s="518"/>
      <c r="S60" s="74"/>
      <c r="T60" s="120"/>
      <c r="U60" s="269" t="s">
        <v>521</v>
      </c>
      <c r="V60" s="77" t="e">
        <f>IF(V48&gt;V42,INT((V48-V42)*初始化表!E11),0)</f>
        <v>#DIV/0!</v>
      </c>
      <c r="W60" s="77" t="e">
        <f>IF(W48&gt;W42,INT((W48-W42)*初始化表!F11),0)</f>
        <v>#DIV/0!</v>
      </c>
      <c r="X60" s="77" t="e">
        <f>IF(X48&gt;X42,INT((X48-X42)*初始化表!G11),0)</f>
        <v>#DIV/0!</v>
      </c>
      <c r="Y60" s="77" t="e">
        <f>IF(Y48&gt;Y42,INT((Y48-Y42)*初始化表!H11),0)</f>
        <v>#DIV/0!</v>
      </c>
      <c r="Z60" s="74"/>
      <c r="AA60" s="73"/>
      <c r="AB60" s="74"/>
      <c r="AC60" s="74"/>
      <c r="AD60" s="74"/>
      <c r="AE60" s="74"/>
      <c r="AF60" s="74"/>
      <c r="AG60" s="74"/>
      <c r="AH60" s="73"/>
      <c r="AI60" s="69"/>
      <c r="AJ60" s="68" t="s">
        <v>320</v>
      </c>
      <c r="AK60" s="68" t="s">
        <v>321</v>
      </c>
      <c r="AL60" s="68" t="s">
        <v>322</v>
      </c>
      <c r="AM60" s="68" t="s">
        <v>319</v>
      </c>
      <c r="AN60" s="68" t="s">
        <v>320</v>
      </c>
      <c r="AO60" s="68" t="s">
        <v>321</v>
      </c>
      <c r="AP60" s="68" t="s">
        <v>322</v>
      </c>
      <c r="AQ60" s="68" t="s">
        <v>319</v>
      </c>
      <c r="AR60" s="68" t="s">
        <v>320</v>
      </c>
      <c r="AS60" s="68" t="s">
        <v>321</v>
      </c>
      <c r="AT60" s="68" t="s">
        <v>322</v>
      </c>
      <c r="AU60" s="68" t="s">
        <v>319</v>
      </c>
      <c r="AV60" s="68" t="s">
        <v>320</v>
      </c>
      <c r="AW60" s="68" t="s">
        <v>321</v>
      </c>
      <c r="AX60" s="68" t="s">
        <v>322</v>
      </c>
      <c r="AY60" s="68" t="s">
        <v>41</v>
      </c>
      <c r="AZ60" s="63"/>
      <c r="BA60" s="270">
        <f t="shared" si="51"/>
        <v>0</v>
      </c>
      <c r="BB60" s="544">
        <f>IF(BT11=1,AL113/(AP113+初期!H152/2),0)</f>
        <v>0</v>
      </c>
      <c r="BD60" s="269">
        <f t="shared" si="52"/>
        <v>0</v>
      </c>
      <c r="BE60" s="547" t="e">
        <f t="shared" si="53"/>
        <v>#DIV/0!</v>
      </c>
      <c r="BF60" s="547" t="e">
        <f t="shared" si="54"/>
        <v>#DIV/0!</v>
      </c>
      <c r="BG60" s="547" t="e">
        <f t="shared" si="55"/>
        <v>#DIV/0!</v>
      </c>
      <c r="BH60" s="547" t="e">
        <f t="shared" si="56"/>
        <v>#DIV/0!</v>
      </c>
      <c r="BR60" s="62"/>
      <c r="BS60" s="62"/>
      <c r="BT60" s="62"/>
      <c r="BU60" s="62"/>
      <c r="BV60" s="62"/>
      <c r="BW60" s="62"/>
      <c r="BX60" s="62"/>
      <c r="BY60" s="62"/>
      <c r="BZ60" s="62"/>
      <c r="CA60" s="62"/>
      <c r="CB60" s="62"/>
      <c r="CC60" s="62"/>
      <c r="CD60" s="62"/>
      <c r="CE60" s="62"/>
      <c r="CF60" s="62"/>
      <c r="CG60" s="62"/>
      <c r="CH60" s="62"/>
      <c r="CI60" s="62"/>
      <c r="CJ60" s="62"/>
    </row>
    <row r="61" s="61" customFormat="1" ht="16" customHeight="1" spans="1:88">
      <c r="A61" s="269" t="s">
        <v>684</v>
      </c>
      <c r="B61" s="270"/>
      <c r="C61" s="106" t="e">
        <f>-IF(F77*初始化表!B25&gt;-第1期!F80,F77*初始化表!B25+第1期!F80,0)</f>
        <v>#DIV/0!</v>
      </c>
      <c r="D61" s="79"/>
      <c r="E61" s="79"/>
      <c r="F61" s="79" t="e">
        <f t="shared" si="49"/>
        <v>#DIV/0!</v>
      </c>
      <c r="G61" s="73"/>
      <c r="H61" s="269" t="s">
        <v>524</v>
      </c>
      <c r="I61" s="519">
        <f>INT(IF($F$24=1,IF(MOD(($L52+SUM($V8:$Y8)-SUM($V14:$Y14))*I50/SUM($I50:$L50)-V8+V14-9,20)&gt;11,(($L52+SUM($V8:$Y8)-SUM($V14:$Y14))*I50/SUM($I50:$L50)-V8+V14),(($L52+SUM($V8:$Y8)-SUM($V14:$Y14))*I50/SUM($I50:$L50)-V8+V14)-MOD(($L52+SUM($V8:$Y8)-SUM($V14:$Y14))*I50/SUM($I50:$L50)-V8+V14-9,20)),($L52+SUM($V8:$Y8)-SUM($V14:$Y14))*I50/SUM($I50:$L50)-V8+V14))</f>
        <v>-11</v>
      </c>
      <c r="J61" s="335">
        <f>INT(IF($F$24=1,IF(MOD(($L52+SUM($V8:$Y8)-SUM($V14:$Y14))*J50/SUM($I50:$L50)-W8+W14-9,20)&gt;11,(($L52+SUM($V8:$Y8)-SUM($V14:$Y14))*J50/SUM($I50:$L50)-W8+W14),(($L52+SUM($V8:$Y8)-SUM($V14:$Y14))*J50/SUM($I50:$L50)-W8+W14)-MOD(($L52+SUM($V8:$Y8)-SUM($V14:$Y14))*J50/SUM($I50:$L50)-W8+W14-9,20)),($L52+SUM($V8:$Y8)-SUM($V14:$Y14))*J50/SUM($I50:$L50)-W8+W14))</f>
        <v>-11</v>
      </c>
      <c r="K61" s="335">
        <f>INT(IF($F$24=1,IF(MOD(($L52+SUM($V8:$Y8)-SUM($V14:$Y14))*K50/SUM($I50:$L50)-X8+X14-9,20)&gt;11,(($L52+SUM($V8:$Y8)-SUM($V14:$Y14))*K50/SUM($I50:$L50)-X8+X14),(($L52+SUM($V8:$Y8)-SUM($V14:$Y14))*K50/SUM($I50:$L50)-X8+X14)-MOD(($L52+SUM($V8:$Y8)-SUM($V14:$Y14))*K50/SUM($I50:$L50)-X8+X14-9,20)),($L52+SUM($V8:$Y8)-SUM($V14:$Y14))*K50/SUM($I50:$L50)-X8+X14))</f>
        <v>-11</v>
      </c>
      <c r="L61" s="335">
        <f>INT(IF($F$24=1,IF(MOD(($L52+SUM($V8:$Y8)-SUM($V14:$Y14))*L50/SUM($I50:$L50)-Y8+Y14-9,20)&gt;11,(($L52+SUM($V8:$Y8)-SUM($V14:$Y14))*L50/SUM($I50:$L50)-Y8+Y14),(($L52+SUM($V8:$Y8)-SUM($V14:$Y14))*L50/SUM($I50:$L50)-Y8+Y14)-MOD(($L52+SUM($V8:$Y8)-SUM($V14:$Y14))*L50/SUM($I50:$L50)-Y8+Y14-9,20)),($L52+SUM($V8:$Y8)-SUM($V14:$Y14))*L50/SUM($I50:$L50)-Y8+Y14))</f>
        <v>-11</v>
      </c>
      <c r="M61" s="511"/>
      <c r="N61" s="518"/>
      <c r="O61" s="518"/>
      <c r="P61" s="518"/>
      <c r="Q61" s="518"/>
      <c r="R61" s="518"/>
      <c r="S61" s="74"/>
      <c r="T61" s="120"/>
      <c r="U61" s="269" t="s">
        <v>522</v>
      </c>
      <c r="V61" s="77" t="e">
        <f>IF(V49&gt;V43,INT((V49-V43)*初始化表!E12),0)</f>
        <v>#DIV/0!</v>
      </c>
      <c r="W61" s="77" t="e">
        <f>IF(W49&gt;W43,INT((W49-W43)*初始化表!F12),0)</f>
        <v>#DIV/0!</v>
      </c>
      <c r="X61" s="77" t="e">
        <f>IF(X49&gt;X43,INT((X49-X43)*初始化表!G12),0)</f>
        <v>#DIV/0!</v>
      </c>
      <c r="Y61" s="77" t="e">
        <f>IF(Y49&gt;Y43,INT((Y49-Y43)*初始化表!H12),0)</f>
        <v>#DIV/0!</v>
      </c>
      <c r="Z61" s="74"/>
      <c r="AA61" s="73"/>
      <c r="AB61" s="74"/>
      <c r="AC61" s="74"/>
      <c r="AD61" s="74"/>
      <c r="AE61" s="74"/>
      <c r="AF61" s="74"/>
      <c r="AG61" s="74"/>
      <c r="AH61" s="73"/>
      <c r="AI61" s="535"/>
      <c r="AJ61" s="531"/>
      <c r="AK61" s="531"/>
      <c r="AL61" s="531"/>
      <c r="AM61" s="531"/>
      <c r="AN61" s="531"/>
      <c r="AO61" s="531"/>
      <c r="AP61" s="531"/>
      <c r="AQ61" s="531"/>
      <c r="AR61" s="531"/>
      <c r="AS61" s="531"/>
      <c r="AT61" s="531"/>
      <c r="AU61" s="531"/>
      <c r="AV61" s="531"/>
      <c r="AW61" s="531"/>
      <c r="AX61" s="531"/>
      <c r="AY61" s="531"/>
      <c r="AZ61" s="63"/>
      <c r="BA61" s="270">
        <f t="shared" si="51"/>
        <v>0</v>
      </c>
      <c r="BB61" s="544">
        <f>IF(BT12=1,AL114/(AP114+初期!H153/2),0)</f>
        <v>0</v>
      </c>
      <c r="BD61" s="269">
        <f t="shared" si="52"/>
        <v>0</v>
      </c>
      <c r="BE61" s="547" t="e">
        <f t="shared" si="53"/>
        <v>#DIV/0!</v>
      </c>
      <c r="BF61" s="547" t="e">
        <f t="shared" si="54"/>
        <v>#DIV/0!</v>
      </c>
      <c r="BG61" s="547" t="e">
        <f t="shared" si="55"/>
        <v>#DIV/0!</v>
      </c>
      <c r="BH61" s="547" t="e">
        <f t="shared" si="56"/>
        <v>#DIV/0!</v>
      </c>
      <c r="BR61" s="62"/>
      <c r="BS61" s="62"/>
      <c r="BT61" s="62"/>
      <c r="BU61" s="62"/>
      <c r="BV61" s="62"/>
      <c r="BW61" s="62"/>
      <c r="BX61" s="62"/>
      <c r="BY61" s="62"/>
      <c r="BZ61" s="62"/>
      <c r="CA61" s="62"/>
      <c r="CB61" s="62"/>
      <c r="CC61" s="62"/>
      <c r="CD61" s="62"/>
      <c r="CE61" s="62"/>
      <c r="CF61" s="62"/>
      <c r="CG61" s="62"/>
      <c r="CH61" s="62"/>
      <c r="CI61" s="62"/>
      <c r="CJ61" s="62"/>
    </row>
    <row r="62" s="61" customFormat="1" ht="16" customHeight="1" spans="1:88">
      <c r="A62" s="269" t="s">
        <v>306</v>
      </c>
      <c r="B62" s="270"/>
      <c r="C62" s="106">
        <f>-D22*初始化表!B8</f>
        <v>0</v>
      </c>
      <c r="D62" s="79"/>
      <c r="E62" s="79"/>
      <c r="F62" s="79" t="e">
        <f t="shared" si="49"/>
        <v>#DIV/0!</v>
      </c>
      <c r="G62" s="73"/>
      <c r="H62" s="269" t="s">
        <v>685</v>
      </c>
      <c r="I62" s="269" t="s">
        <v>513</v>
      </c>
      <c r="J62" s="269" t="s">
        <v>514</v>
      </c>
      <c r="K62" s="269" t="s">
        <v>515</v>
      </c>
      <c r="L62" s="269" t="s">
        <v>516</v>
      </c>
      <c r="M62" s="511"/>
      <c r="N62" s="518"/>
      <c r="O62" s="518"/>
      <c r="P62" s="518"/>
      <c r="Q62" s="518"/>
      <c r="R62" s="518"/>
      <c r="S62" s="74"/>
      <c r="T62" s="120"/>
      <c r="U62" s="269" t="s">
        <v>523</v>
      </c>
      <c r="V62" s="77" t="e">
        <f>IF(V50&gt;V44,INT((V50-V44)*初始化表!E13),0)</f>
        <v>#DIV/0!</v>
      </c>
      <c r="W62" s="77" t="e">
        <f>IF(W50&gt;W44,INT((W50-W44)*初始化表!F13),0)</f>
        <v>#DIV/0!</v>
      </c>
      <c r="X62" s="77" t="e">
        <f>IF(X50&gt;X44,INT((X50-X44)*初始化表!G13),0)</f>
        <v>#DIV/0!</v>
      </c>
      <c r="Y62" s="77" t="e">
        <f>IF(Y50&gt;Y44,INT((Y50-Y44)*初始化表!H13),0)</f>
        <v>#DIV/0!</v>
      </c>
      <c r="Z62" s="74"/>
      <c r="AA62" s="73"/>
      <c r="AB62" s="74"/>
      <c r="AC62" s="74"/>
      <c r="AD62" s="74"/>
      <c r="AE62" s="74"/>
      <c r="AF62" s="74"/>
      <c r="AG62" s="74"/>
      <c r="AH62" s="73"/>
      <c r="AI62" s="535"/>
      <c r="AJ62" s="531"/>
      <c r="AK62" s="531"/>
      <c r="AL62" s="531"/>
      <c r="AM62" s="531"/>
      <c r="AN62" s="531"/>
      <c r="AO62" s="531"/>
      <c r="AP62" s="531"/>
      <c r="AQ62" s="531"/>
      <c r="AR62" s="531"/>
      <c r="AS62" s="531"/>
      <c r="AT62" s="531"/>
      <c r="AU62" s="531"/>
      <c r="AV62" s="531"/>
      <c r="AW62" s="531"/>
      <c r="AX62" s="531"/>
      <c r="AY62" s="531"/>
      <c r="AZ62" s="63"/>
      <c r="BA62" s="270">
        <f t="shared" si="51"/>
        <v>0</v>
      </c>
      <c r="BB62" s="544">
        <f>IF(BT13=1,AL115/(AP115+初期!H154/2),0)</f>
        <v>0</v>
      </c>
      <c r="BD62" s="269">
        <f t="shared" si="52"/>
        <v>0</v>
      </c>
      <c r="BE62" s="547" t="e">
        <f t="shared" si="53"/>
        <v>#DIV/0!</v>
      </c>
      <c r="BF62" s="547" t="e">
        <f t="shared" si="54"/>
        <v>#DIV/0!</v>
      </c>
      <c r="BG62" s="547" t="e">
        <f t="shared" si="55"/>
        <v>#DIV/0!</v>
      </c>
      <c r="BH62" s="547" t="e">
        <f t="shared" si="56"/>
        <v>#DIV/0!</v>
      </c>
      <c r="BR62" s="62"/>
      <c r="BS62" s="62"/>
      <c r="BT62" s="62"/>
      <c r="BU62" s="62"/>
      <c r="BV62" s="62"/>
      <c r="BW62" s="62"/>
      <c r="BX62" s="62"/>
      <c r="BY62" s="62"/>
      <c r="BZ62" s="62"/>
      <c r="CA62" s="62"/>
      <c r="CB62" s="62"/>
      <c r="CC62" s="62"/>
      <c r="CD62" s="62"/>
      <c r="CE62" s="62"/>
      <c r="CF62" s="62"/>
      <c r="CG62" s="62"/>
      <c r="CH62" s="62"/>
      <c r="CI62" s="62"/>
      <c r="CJ62" s="62"/>
    </row>
    <row r="63" s="61" customFormat="1" ht="16" customHeight="1" spans="1:88">
      <c r="A63" s="269" t="s">
        <v>686</v>
      </c>
      <c r="B63" s="270"/>
      <c r="C63" s="106" t="e">
        <f>IF(R37&gt;P37,-P37,-R37)</f>
        <v>#DIV/0!</v>
      </c>
      <c r="D63" s="79"/>
      <c r="E63" s="79"/>
      <c r="F63" s="79" t="e">
        <f t="shared" si="49"/>
        <v>#DIV/0!</v>
      </c>
      <c r="G63" s="73"/>
      <c r="H63" s="269" t="s">
        <v>521</v>
      </c>
      <c r="I63" s="520">
        <v>0</v>
      </c>
      <c r="J63" s="501">
        <v>0</v>
      </c>
      <c r="K63" s="501">
        <v>0</v>
      </c>
      <c r="L63" s="501">
        <v>0</v>
      </c>
      <c r="M63" s="511"/>
      <c r="N63" s="518"/>
      <c r="O63" s="518"/>
      <c r="P63" s="518"/>
      <c r="Q63" s="518"/>
      <c r="R63" s="518"/>
      <c r="S63" s="74"/>
      <c r="T63" s="120"/>
      <c r="U63" s="269" t="s">
        <v>524</v>
      </c>
      <c r="V63" s="77" t="e">
        <f>IF(V51&gt;V45,INT((V51-V45)*初始化表!E14),0)</f>
        <v>#DIV/0!</v>
      </c>
      <c r="W63" s="77" t="e">
        <f>IF(W51&gt;W45,INT((W51-W45)*初始化表!F14),0)</f>
        <v>#DIV/0!</v>
      </c>
      <c r="X63" s="77" t="e">
        <f>IF(X51&gt;X45,INT((X51-X45)*初始化表!G14),0)</f>
        <v>#DIV/0!</v>
      </c>
      <c r="Y63" s="77" t="e">
        <f>IF(Y51&gt;Y45,INT((Y51-Y45)*初始化表!H14),0)</f>
        <v>#DIV/0!</v>
      </c>
      <c r="Z63" s="74"/>
      <c r="AA63" s="73"/>
      <c r="AB63" s="74"/>
      <c r="AC63" s="74"/>
      <c r="AD63" s="74"/>
      <c r="AE63" s="74"/>
      <c r="AF63" s="74"/>
      <c r="AG63" s="74"/>
      <c r="AH63" s="73"/>
      <c r="AI63" s="535"/>
      <c r="AJ63" s="531"/>
      <c r="AK63" s="531"/>
      <c r="AL63" s="531"/>
      <c r="AM63" s="531"/>
      <c r="AN63" s="531"/>
      <c r="AO63" s="531"/>
      <c r="AP63" s="531"/>
      <c r="AQ63" s="531"/>
      <c r="AR63" s="531"/>
      <c r="AS63" s="531"/>
      <c r="AT63" s="531"/>
      <c r="AU63" s="531"/>
      <c r="AV63" s="531"/>
      <c r="AW63" s="531"/>
      <c r="AX63" s="531"/>
      <c r="AY63" s="531"/>
      <c r="AZ63" s="63"/>
      <c r="BA63" s="270">
        <f t="shared" si="51"/>
        <v>0</v>
      </c>
      <c r="BB63" s="544">
        <f>IF(BT14=1,AL116/(AP116+初期!H155/2),0)</f>
        <v>0</v>
      </c>
      <c r="BD63" s="269">
        <f t="shared" si="52"/>
        <v>0</v>
      </c>
      <c r="BE63" s="547" t="e">
        <f t="shared" si="53"/>
        <v>#DIV/0!</v>
      </c>
      <c r="BF63" s="547" t="e">
        <f t="shared" si="54"/>
        <v>#DIV/0!</v>
      </c>
      <c r="BG63" s="547" t="e">
        <f t="shared" si="55"/>
        <v>#DIV/0!</v>
      </c>
      <c r="BH63" s="547" t="e">
        <f t="shared" si="56"/>
        <v>#DIV/0!</v>
      </c>
      <c r="BR63" s="62"/>
      <c r="BS63" s="62"/>
      <c r="BT63" s="62"/>
      <c r="BU63" s="62"/>
      <c r="BV63" s="62"/>
      <c r="BW63" s="62"/>
      <c r="BX63" s="62"/>
      <c r="BY63" s="62"/>
      <c r="BZ63" s="62"/>
      <c r="CA63" s="62"/>
      <c r="CB63" s="62"/>
      <c r="CC63" s="62"/>
      <c r="CD63" s="62"/>
      <c r="CE63" s="62"/>
      <c r="CF63" s="62"/>
      <c r="CG63" s="62"/>
      <c r="CH63" s="62"/>
      <c r="CI63" s="62"/>
      <c r="CJ63" s="62"/>
    </row>
    <row r="64" s="61" customFormat="1" ht="16" customHeight="1" spans="1:88">
      <c r="A64" s="269" t="s">
        <v>392</v>
      </c>
      <c r="B64" s="270"/>
      <c r="C64" s="106">
        <f>-D24</f>
        <v>0</v>
      </c>
      <c r="D64" s="79"/>
      <c r="E64" s="79"/>
      <c r="F64" s="79" t="e">
        <f t="shared" si="49"/>
        <v>#DIV/0!</v>
      </c>
      <c r="G64" s="73"/>
      <c r="H64" s="269" t="s">
        <v>522</v>
      </c>
      <c r="I64" s="506">
        <v>0</v>
      </c>
      <c r="J64" s="93">
        <v>0</v>
      </c>
      <c r="K64" s="93">
        <v>0</v>
      </c>
      <c r="L64" s="93">
        <v>0</v>
      </c>
      <c r="M64" s="247"/>
      <c r="N64" s="521"/>
      <c r="O64" s="521" t="s">
        <v>513</v>
      </c>
      <c r="P64" s="521" t="s">
        <v>514</v>
      </c>
      <c r="Q64" s="521" t="s">
        <v>515</v>
      </c>
      <c r="R64" s="521" t="s">
        <v>516</v>
      </c>
      <c r="S64" s="74"/>
      <c r="T64" s="120"/>
      <c r="U64" s="74"/>
      <c r="V64" s="74"/>
      <c r="W64" s="74"/>
      <c r="X64" s="74"/>
      <c r="Y64" s="74"/>
      <c r="Z64" s="74"/>
      <c r="AA64" s="73"/>
      <c r="AB64" s="74"/>
      <c r="AC64" s="74"/>
      <c r="AD64" s="74"/>
      <c r="AE64" s="74"/>
      <c r="AF64" s="74"/>
      <c r="AG64" s="74"/>
      <c r="AH64" s="73"/>
      <c r="AI64" s="535"/>
      <c r="AJ64" s="531"/>
      <c r="AK64" s="531"/>
      <c r="AL64" s="531"/>
      <c r="AM64" s="531"/>
      <c r="AN64" s="531"/>
      <c r="AO64" s="531"/>
      <c r="AP64" s="531"/>
      <c r="AQ64" s="531"/>
      <c r="AR64" s="531"/>
      <c r="AS64" s="531"/>
      <c r="AT64" s="531"/>
      <c r="AU64" s="531"/>
      <c r="AV64" s="531"/>
      <c r="AW64" s="531"/>
      <c r="AX64" s="531"/>
      <c r="AY64" s="531"/>
      <c r="AZ64" s="63"/>
      <c r="BA64" s="270">
        <f t="shared" si="51"/>
        <v>0</v>
      </c>
      <c r="BB64" s="544">
        <f>IF(BT15=1,AL117/(AP117+初期!H156/2),0)</f>
        <v>0</v>
      </c>
      <c r="BD64" s="269">
        <f t="shared" si="52"/>
        <v>0</v>
      </c>
      <c r="BE64" s="547" t="e">
        <f t="shared" si="53"/>
        <v>#DIV/0!</v>
      </c>
      <c r="BF64" s="547" t="e">
        <f t="shared" si="54"/>
        <v>#DIV/0!</v>
      </c>
      <c r="BG64" s="547" t="e">
        <f t="shared" si="55"/>
        <v>#DIV/0!</v>
      </c>
      <c r="BH64" s="547" t="e">
        <f t="shared" si="56"/>
        <v>#DIV/0!</v>
      </c>
      <c r="BR64" s="62"/>
      <c r="BS64" s="62"/>
      <c r="BT64" s="62"/>
      <c r="BU64" s="62"/>
      <c r="BV64" s="62"/>
      <c r="BW64" s="62"/>
      <c r="BX64" s="62"/>
      <c r="BY64" s="62"/>
      <c r="BZ64" s="62"/>
      <c r="CA64" s="62"/>
      <c r="CB64" s="62"/>
      <c r="CC64" s="62"/>
      <c r="CD64" s="62"/>
      <c r="CE64" s="62"/>
      <c r="CF64" s="62"/>
      <c r="CG64" s="62"/>
      <c r="CH64" s="62"/>
      <c r="CI64" s="62"/>
      <c r="CJ64" s="62"/>
    </row>
    <row r="65" s="61" customFormat="1" ht="16" customHeight="1" spans="1:88">
      <c r="A65" s="475"/>
      <c r="B65" s="475"/>
      <c r="C65" s="476"/>
      <c r="D65" s="327"/>
      <c r="E65" s="476"/>
      <c r="F65" s="476"/>
      <c r="G65" s="73"/>
      <c r="H65" s="269" t="s">
        <v>523</v>
      </c>
      <c r="I65" s="506">
        <v>0</v>
      </c>
      <c r="J65" s="93">
        <v>0</v>
      </c>
      <c r="K65" s="93">
        <v>0</v>
      </c>
      <c r="L65" s="93">
        <v>0</v>
      </c>
      <c r="M65" s="247"/>
      <c r="N65" s="521" t="s">
        <v>521</v>
      </c>
      <c r="O65" s="572" t="e">
        <f>INT((1+2%+IF(V42&gt;IF(V17=0,第1期!V42,V17),(IF(V17=0,第1期!V42,V17)-V42)/IF(V17=0,第1期!V42,V17)/15,(IF(V17=0,第1期!V42,V17)-V42)/IF(V17=0,第1期!V42,V17)/10))*V23)</f>
        <v>#DIV/0!</v>
      </c>
      <c r="P65" s="572" t="e">
        <f>INT((1+2%+IF(W42&gt;IF(W17=0,第1期!W42,W17),(IF(W17=0,第1期!W42,W17)-W42)/IF(W17=0,第1期!W42,W17)/15,(IF(W17=0,第1期!W42,W17)-W42)/IF(W17=0,第1期!W42,W17)/10))*W23)</f>
        <v>#DIV/0!</v>
      </c>
      <c r="Q65" s="572" t="e">
        <f>INT((1+2.5%+IF(X42&gt;IF(X17=0,第1期!X42,X17),(IF(X17=0,第1期!X42,X17)-X42)/IF(X17=0,第1期!X42,X17)/15,(IF(X17=0,第1期!X42,X17)-X42)/IF(X17=0,第1期!X42,X17)/10))*X23)</f>
        <v>#DIV/0!</v>
      </c>
      <c r="R65" s="572" t="e">
        <f>INT((1+2.5%+IF(Y42&gt;IF(Y17=0,第1期!Y42,Y17),(IF(Y17=0,第1期!Y42,Y17)-Y42)/IF(Y17=0,第1期!Y42,Y17)/15,(IF(Y17=0,第1期!Y42,Y17)-Y42)/IF(Y17=0,第1期!Y42,Y17)/10))*Y23)</f>
        <v>#DIV/0!</v>
      </c>
      <c r="S65" s="74"/>
      <c r="T65" s="120"/>
      <c r="U65" s="269" t="s">
        <v>687</v>
      </c>
      <c r="V65" s="269" t="s">
        <v>513</v>
      </c>
      <c r="W65" s="269" t="s">
        <v>514</v>
      </c>
      <c r="X65" s="269" t="s">
        <v>515</v>
      </c>
      <c r="Y65" s="269" t="s">
        <v>516</v>
      </c>
      <c r="Z65" s="74"/>
      <c r="AA65" s="73"/>
      <c r="AB65" s="74"/>
      <c r="AC65" s="74"/>
      <c r="AD65" s="74"/>
      <c r="AE65" s="74"/>
      <c r="AF65" s="74"/>
      <c r="AG65" s="74"/>
      <c r="AH65" s="73"/>
      <c r="AI65" s="535"/>
      <c r="AJ65" s="531"/>
      <c r="AK65" s="531"/>
      <c r="AL65" s="531"/>
      <c r="AM65" s="531"/>
      <c r="AN65" s="531"/>
      <c r="AO65" s="531"/>
      <c r="AP65" s="531"/>
      <c r="AQ65" s="531"/>
      <c r="AR65" s="531"/>
      <c r="AS65" s="531"/>
      <c r="AT65" s="531"/>
      <c r="AU65" s="531"/>
      <c r="AV65" s="531"/>
      <c r="AW65" s="531"/>
      <c r="AX65" s="531"/>
      <c r="AY65" s="531"/>
      <c r="AZ65" s="63"/>
      <c r="BA65" s="270">
        <f t="shared" si="51"/>
        <v>0</v>
      </c>
      <c r="BB65" s="544">
        <f>IF(BT16=1,AL118/(AP118+初期!H157/2),0)</f>
        <v>0</v>
      </c>
      <c r="BD65" s="269">
        <f t="shared" si="52"/>
        <v>0</v>
      </c>
      <c r="BE65" s="547" t="e">
        <f t="shared" si="53"/>
        <v>#DIV/0!</v>
      </c>
      <c r="BF65" s="547" t="e">
        <f t="shared" si="54"/>
        <v>#DIV/0!</v>
      </c>
      <c r="BG65" s="547" t="e">
        <f t="shared" si="55"/>
        <v>#DIV/0!</v>
      </c>
      <c r="BH65" s="547" t="e">
        <f t="shared" si="56"/>
        <v>#DIV/0!</v>
      </c>
      <c r="BR65" s="62"/>
      <c r="BS65" s="62"/>
      <c r="BT65" s="62"/>
      <c r="BU65" s="62"/>
      <c r="BV65" s="62"/>
      <c r="BW65" s="62"/>
      <c r="BX65" s="62"/>
      <c r="BY65" s="62"/>
      <c r="BZ65" s="62"/>
      <c r="CA65" s="62"/>
      <c r="CB65" s="62"/>
      <c r="CC65" s="62"/>
      <c r="CD65" s="62"/>
      <c r="CE65" s="62"/>
      <c r="CF65" s="62"/>
      <c r="CG65" s="62"/>
      <c r="CH65" s="62"/>
      <c r="CI65" s="62"/>
      <c r="CJ65" s="62"/>
    </row>
    <row r="66" s="61" customFormat="1" ht="16" customHeight="1" spans="1:88">
      <c r="A66" s="269" t="s">
        <v>423</v>
      </c>
      <c r="B66" s="270"/>
      <c r="C66" s="270"/>
      <c r="D66" s="562"/>
      <c r="E66" s="269" t="s">
        <v>448</v>
      </c>
      <c r="F66" s="270"/>
      <c r="G66" s="73"/>
      <c r="H66" s="269" t="s">
        <v>524</v>
      </c>
      <c r="I66" s="489">
        <v>0</v>
      </c>
      <c r="J66" s="507">
        <v>0</v>
      </c>
      <c r="K66" s="507">
        <v>0</v>
      </c>
      <c r="L66" s="507">
        <v>0</v>
      </c>
      <c r="M66" s="247"/>
      <c r="N66" s="521" t="s">
        <v>522</v>
      </c>
      <c r="O66" s="572" t="e">
        <f>INT((1+2%+IF(V43&gt;IF(V18=0,第1期!V43,V18),(IF(V18=0,第1期!V43,V18)-V43)/IF(V18=0,第1期!V43,V18)/15,(IF(V18=0,第1期!V43,V18)-V43)/IF(V18=0,第1期!V43,V18)/10))*V24)</f>
        <v>#DIV/0!</v>
      </c>
      <c r="P66" s="572" t="e">
        <f>INT((1+2%+IF(W43&gt;IF(W18=0,第1期!W43,W18),(IF(W18=0,第1期!W43,W18)-W43)/IF(W18=0,第1期!W43,W18)/15,(IF(W18=0,第1期!W43,W18)-W43)/IF(W18=0,第1期!W43,W18)/10))*W24)</f>
        <v>#DIV/0!</v>
      </c>
      <c r="Q66" s="572" t="e">
        <f>INT((1+2.5%+IF(X43&gt;IF(X18=0,第1期!X43,X18),(IF(X18=0,第1期!X43,X18)-X43)/IF(X18=0,第1期!X43,X18)/15,(IF(X18=0,第1期!X43,X18)-X43)/IF(X18=0,第1期!X43,X18)/10))*X24)</f>
        <v>#DIV/0!</v>
      </c>
      <c r="R66" s="572" t="e">
        <f>INT((1+2.5%+IF(Y43&gt;IF(Y18=0,第1期!Y43,Y18),(IF(Y18=0,第1期!Y43,Y18)-Y43)/IF(Y18=0,第1期!Y43,Y18)/15,(IF(Y18=0,第1期!Y43,Y18)-Y43)/IF(Y18=0,第1期!Y43,Y18)/10))*Y24)</f>
        <v>#DIV/0!</v>
      </c>
      <c r="S66" s="74"/>
      <c r="T66" s="120"/>
      <c r="U66" s="269" t="s">
        <v>521</v>
      </c>
      <c r="V66" s="251">
        <f>INT(B12*(1-$O$43)+0.5)</f>
        <v>0</v>
      </c>
      <c r="W66" s="251">
        <f>INT(C12*(1-$O$43)+0.5)</f>
        <v>0</v>
      </c>
      <c r="X66" s="251">
        <f>INT(D12*(1-$O$43)+0.5)</f>
        <v>0</v>
      </c>
      <c r="Y66" s="251">
        <f>INT(E12*(1-$O$43)+0.5)</f>
        <v>0</v>
      </c>
      <c r="Z66" s="74"/>
      <c r="AA66" s="73"/>
      <c r="AB66" s="74"/>
      <c r="AC66" s="74"/>
      <c r="AD66" s="74"/>
      <c r="AE66" s="74"/>
      <c r="AF66" s="74"/>
      <c r="AG66" s="74"/>
      <c r="AH66" s="73"/>
      <c r="AI66" s="535"/>
      <c r="AJ66" s="531"/>
      <c r="AK66" s="531"/>
      <c r="AL66" s="531"/>
      <c r="AM66" s="531"/>
      <c r="AN66" s="531"/>
      <c r="AO66" s="531"/>
      <c r="AP66" s="531"/>
      <c r="AQ66" s="531"/>
      <c r="AR66" s="531"/>
      <c r="AS66" s="531"/>
      <c r="AT66" s="531"/>
      <c r="AU66" s="531"/>
      <c r="AV66" s="531"/>
      <c r="AW66" s="531"/>
      <c r="AX66" s="531"/>
      <c r="AY66" s="531"/>
      <c r="AZ66" s="63"/>
      <c r="BA66" s="270">
        <f t="shared" si="51"/>
        <v>0</v>
      </c>
      <c r="BB66" s="544">
        <f>IF(BT17=1,AL119/(AP119+初期!H158/2),0)</f>
        <v>0</v>
      </c>
      <c r="BD66" s="269">
        <f t="shared" si="52"/>
        <v>0</v>
      </c>
      <c r="BE66" s="547" t="e">
        <f t="shared" si="53"/>
        <v>#DIV/0!</v>
      </c>
      <c r="BF66" s="547" t="e">
        <f t="shared" si="54"/>
        <v>#DIV/0!</v>
      </c>
      <c r="BG66" s="547" t="e">
        <f t="shared" si="55"/>
        <v>#DIV/0!</v>
      </c>
      <c r="BH66" s="547" t="e">
        <f t="shared" si="56"/>
        <v>#DIV/0!</v>
      </c>
      <c r="BR66" s="62"/>
      <c r="BS66" s="62"/>
      <c r="BT66" s="62"/>
      <c r="BU66" s="62"/>
      <c r="BV66" s="62"/>
      <c r="BW66" s="62"/>
      <c r="BX66" s="62"/>
      <c r="BY66" s="62"/>
      <c r="BZ66" s="62"/>
      <c r="CA66" s="62"/>
      <c r="CB66" s="62"/>
      <c r="CC66" s="62"/>
      <c r="CD66" s="62"/>
      <c r="CE66" s="62"/>
      <c r="CF66" s="62"/>
      <c r="CG66" s="62"/>
      <c r="CH66" s="62"/>
      <c r="CI66" s="62"/>
      <c r="CJ66" s="62"/>
    </row>
    <row r="67" s="61" customFormat="1" ht="16" customHeight="1" spans="1:88">
      <c r="A67" s="269" t="s">
        <v>688</v>
      </c>
      <c r="B67" s="269" t="s">
        <v>689</v>
      </c>
      <c r="C67" s="269" t="s">
        <v>690</v>
      </c>
      <c r="D67" s="562"/>
      <c r="E67" s="328" t="s">
        <v>691</v>
      </c>
      <c r="F67" s="328" t="s">
        <v>692</v>
      </c>
      <c r="G67" s="73"/>
      <c r="H67" s="269" t="s">
        <v>687</v>
      </c>
      <c r="I67" s="270" t="str">
        <f>I62</f>
        <v>市场1</v>
      </c>
      <c r="J67" s="270" t="str">
        <f>J62</f>
        <v>市场2</v>
      </c>
      <c r="K67" s="270" t="str">
        <f>K62</f>
        <v>市场3</v>
      </c>
      <c r="L67" s="270" t="str">
        <f>L62</f>
        <v>市场4</v>
      </c>
      <c r="M67" s="378" t="s">
        <v>693</v>
      </c>
      <c r="N67" s="521" t="s">
        <v>523</v>
      </c>
      <c r="O67" s="572" t="e">
        <f>INT((1+7%+IF(V44&gt;IF(V19=0,第1期!V44,V19),(IF(V19=0,第1期!V44,V19)-V44)/IF(V19=0,第1期!V44,V19)/20,(IF(V19=0,第1期!V44,V19)-V44)/IF(V19=0,第1期!V44,V19)/8))*V25)</f>
        <v>#DIV/0!</v>
      </c>
      <c r="P67" s="572" t="e">
        <f>INT((1+7%+IF(W44&gt;IF(W19=0,第1期!W44,W19),(IF(W19=0,第1期!W44,W19)-W44)/IF(W19=0,第1期!W44,W19)/20,(IF(W19=0,第1期!W44,W19)-W44)/IF(W19=0,第1期!W44,W19)/8))*W25)</f>
        <v>#DIV/0!</v>
      </c>
      <c r="Q67" s="572" t="e">
        <f>INT((1+8%+IF(X44&gt;IF(X19=0,第1期!X44,X19),(IF(X19=0,第1期!X44,X19)-X44)/IF(X19=0,第1期!X44,X19)/20,(IF(X19=0,第1期!X44,X19)-X44)/IF(X19=0,第1期!X44,X19)/8))*X25)</f>
        <v>#DIV/0!</v>
      </c>
      <c r="R67" s="572" t="e">
        <f>INT((1+8%+IF(Y44&gt;IF(Y19=0,第1期!Y44,Y19),(IF(Y19=0,第1期!Y44,Y19)-Y44)/IF(Y19=0,第1期!Y44,Y19)/20,(IF(Y19=0,第1期!Y44,Y19)-Y44)/IF(Y19=0,第1期!Y44,Y19)/8))*Y25)</f>
        <v>#DIV/0!</v>
      </c>
      <c r="S67" s="74"/>
      <c r="T67" s="120"/>
      <c r="U67" s="269" t="s">
        <v>522</v>
      </c>
      <c r="V67" s="251">
        <f>INT(B13*(1-$P$43)+0.5)</f>
        <v>0</v>
      </c>
      <c r="W67" s="251">
        <f>INT(C13*(1-$P$43)+0.5)</f>
        <v>0</v>
      </c>
      <c r="X67" s="251">
        <f>INT(D13*(1-$P$43)+0.5)</f>
        <v>0</v>
      </c>
      <c r="Y67" s="251">
        <f>INT(E13*(1-$P$43)+0.5)</f>
        <v>0</v>
      </c>
      <c r="Z67" s="74"/>
      <c r="AA67" s="73"/>
      <c r="AB67" s="74"/>
      <c r="AC67" s="74"/>
      <c r="AD67" s="74"/>
      <c r="AE67" s="74"/>
      <c r="AF67" s="74"/>
      <c r="AG67" s="74"/>
      <c r="AH67" s="73"/>
      <c r="AI67" s="535"/>
      <c r="AJ67" s="531"/>
      <c r="AK67" s="531"/>
      <c r="AL67" s="531"/>
      <c r="AM67" s="531"/>
      <c r="AN67" s="531"/>
      <c r="AO67" s="531"/>
      <c r="AP67" s="531"/>
      <c r="AQ67" s="531"/>
      <c r="AR67" s="531"/>
      <c r="AS67" s="531"/>
      <c r="AT67" s="531"/>
      <c r="AU67" s="531"/>
      <c r="AV67" s="531"/>
      <c r="AW67" s="531"/>
      <c r="AX67" s="531"/>
      <c r="AY67" s="531"/>
      <c r="AZ67" s="63"/>
      <c r="BA67" s="270">
        <f t="shared" si="51"/>
        <v>0</v>
      </c>
      <c r="BB67" s="544">
        <f>IF(BT18=1,AL120/(AP120+初期!H159/2),0)</f>
        <v>0</v>
      </c>
      <c r="BD67" s="269">
        <f t="shared" si="52"/>
        <v>0</v>
      </c>
      <c r="BE67" s="547" t="e">
        <f t="shared" si="53"/>
        <v>#DIV/0!</v>
      </c>
      <c r="BF67" s="547" t="e">
        <f t="shared" si="54"/>
        <v>#DIV/0!</v>
      </c>
      <c r="BG67" s="547" t="e">
        <f t="shared" si="55"/>
        <v>#DIV/0!</v>
      </c>
      <c r="BH67" s="547" t="e">
        <f t="shared" si="56"/>
        <v>#DIV/0!</v>
      </c>
      <c r="BR67" s="62"/>
      <c r="BS67" s="62"/>
      <c r="BT67" s="62"/>
      <c r="BU67" s="62"/>
      <c r="BV67" s="62"/>
      <c r="BW67" s="62"/>
      <c r="BX67" s="62"/>
      <c r="BY67" s="62"/>
      <c r="BZ67" s="62"/>
      <c r="CA67" s="62"/>
      <c r="CB67" s="62"/>
      <c r="CC67" s="62"/>
      <c r="CD67" s="62"/>
      <c r="CE67" s="62"/>
      <c r="CF67" s="62"/>
      <c r="CG67" s="62"/>
      <c r="CH67" s="62"/>
      <c r="CI67" s="62"/>
      <c r="CJ67" s="62"/>
    </row>
    <row r="68" s="61" customFormat="1" ht="16" customHeight="1" spans="1:88">
      <c r="A68" s="269" t="s">
        <v>694</v>
      </c>
      <c r="B68" s="517" t="e">
        <f>F64</f>
        <v>#DIV/0!</v>
      </c>
      <c r="C68" s="474" t="e">
        <f>B68</f>
        <v>#DIV/0!</v>
      </c>
      <c r="D68" s="563"/>
      <c r="E68" s="328" t="s">
        <v>345</v>
      </c>
      <c r="F68" s="564">
        <f>L17</f>
        <v>0</v>
      </c>
      <c r="G68" s="73"/>
      <c r="H68" s="270" t="str">
        <f>H63</f>
        <v>产品1</v>
      </c>
      <c r="I68" s="517">
        <f t="shared" ref="I68:L71" si="58">V66</f>
        <v>0</v>
      </c>
      <c r="J68" s="474">
        <f t="shared" si="58"/>
        <v>0</v>
      </c>
      <c r="K68" s="474">
        <f t="shared" si="58"/>
        <v>0</v>
      </c>
      <c r="L68" s="474">
        <f t="shared" si="58"/>
        <v>0</v>
      </c>
      <c r="M68" s="573">
        <f>SUM(I63:L63)</f>
        <v>0</v>
      </c>
      <c r="N68" s="521" t="s">
        <v>524</v>
      </c>
      <c r="O68" s="572" t="e">
        <f>INT((1+10%+IF(V45&gt;IF(V20=0,第1期!V45,V20),(IF(V20=0,第1期!V45,V20)-V45)/IF(V20=0,第1期!V45,V20)/20,(IF(V20=0,第1期!V45,V20)-V45)/IF(V20=0,第1期!V45,V20)/8))*V26)</f>
        <v>#DIV/0!</v>
      </c>
      <c r="P68" s="572" t="e">
        <f>INT((1+10%+IF(W45&gt;IF(W20=0,第1期!W45,W20),(IF(W20=0,第1期!W45,W20)-W45)/IF(W20=0,第1期!W45,W20)/20,(IF(W20=0,第1期!W45,W20)-W45)/IF(W20=0,第1期!W45,W20)/8))*W26)</f>
        <v>#DIV/0!</v>
      </c>
      <c r="Q68" s="572" t="e">
        <f>INT((1+11%+IF(X45&gt;IF(X20=0,第1期!X45,X20),(IF(X20=0,第1期!X45,X20)-X45)/IF(X20=0,第1期!X45,X20)/20,(IF(X20=0,第1期!X45,X20)-X45)/IF(X20=0,第1期!X45,X20)/8))*X26)</f>
        <v>#DIV/0!</v>
      </c>
      <c r="R68" s="572" t="e">
        <f>INT((1+11%+IF(Y45&gt;IF(Y20=0,第1期!Y45,Y20),(IF(Y20=0,第1期!Y45,Y20)-Y45)/IF(Y20=0,第1期!Y45,Y20)/20,(IF(Y20=0,第1期!Y45,Y20)-Y45)/IF(Y20=0,第1期!Y45,Y20)/8))*Y26)</f>
        <v>#DIV/0!</v>
      </c>
      <c r="S68" s="74"/>
      <c r="T68" s="120"/>
      <c r="U68" s="269" t="s">
        <v>523</v>
      </c>
      <c r="V68" s="251">
        <f>INT(B14*(1-$Q$43)+0.5)</f>
        <v>0</v>
      </c>
      <c r="W68" s="251">
        <f>INT(C14*(1-$Q$43)+0.5)</f>
        <v>0</v>
      </c>
      <c r="X68" s="251">
        <f>INT(D14*(1-$Q$43)+0.5)</f>
        <v>0</v>
      </c>
      <c r="Y68" s="251">
        <f>INT(E14*(1-$Q$43)+0.5)</f>
        <v>0</v>
      </c>
      <c r="Z68" s="74"/>
      <c r="AA68" s="73"/>
      <c r="AB68" s="74"/>
      <c r="AC68" s="74"/>
      <c r="AD68" s="74"/>
      <c r="AE68" s="74"/>
      <c r="AF68" s="74"/>
      <c r="AG68" s="74"/>
      <c r="AH68" s="73"/>
      <c r="AI68" s="535"/>
      <c r="AJ68" s="531"/>
      <c r="AK68" s="531"/>
      <c r="AL68" s="531"/>
      <c r="AM68" s="531"/>
      <c r="AN68" s="531"/>
      <c r="AO68" s="531"/>
      <c r="AP68" s="531"/>
      <c r="AQ68" s="531"/>
      <c r="AR68" s="531"/>
      <c r="AS68" s="531"/>
      <c r="AT68" s="531"/>
      <c r="AU68" s="531"/>
      <c r="AV68" s="531"/>
      <c r="AW68" s="531"/>
      <c r="AX68" s="531"/>
      <c r="AY68" s="531"/>
      <c r="AZ68" s="63"/>
      <c r="BA68" s="270">
        <f t="shared" si="51"/>
        <v>0</v>
      </c>
      <c r="BB68" s="544">
        <f>IF(BT19=1,AL121/(AP121+初期!H160/2),0)</f>
        <v>0</v>
      </c>
      <c r="BD68" s="269">
        <f t="shared" si="52"/>
        <v>0</v>
      </c>
      <c r="BE68" s="547" t="e">
        <f t="shared" si="53"/>
        <v>#DIV/0!</v>
      </c>
      <c r="BF68" s="547" t="e">
        <f t="shared" si="54"/>
        <v>#DIV/0!</v>
      </c>
      <c r="BG68" s="547" t="e">
        <f t="shared" si="55"/>
        <v>#DIV/0!</v>
      </c>
      <c r="BH68" s="547" t="e">
        <f t="shared" si="56"/>
        <v>#DIV/0!</v>
      </c>
      <c r="BR68" s="62"/>
      <c r="BS68" s="62"/>
      <c r="BT68" s="62"/>
      <c r="BU68" s="62"/>
      <c r="BV68" s="62"/>
      <c r="BW68" s="62"/>
      <c r="BX68" s="62"/>
      <c r="BY68" s="62"/>
      <c r="BZ68" s="62"/>
      <c r="CA68" s="62"/>
      <c r="CB68" s="62"/>
      <c r="CC68" s="62"/>
      <c r="CD68" s="62"/>
      <c r="CE68" s="62"/>
      <c r="CF68" s="62"/>
      <c r="CG68" s="62"/>
      <c r="CH68" s="62"/>
      <c r="CI68" s="62"/>
      <c r="CJ68" s="62"/>
    </row>
    <row r="69" s="61" customFormat="1" ht="16" customHeight="1" spans="1:88">
      <c r="A69" s="269" t="s">
        <v>695</v>
      </c>
      <c r="B69" s="106">
        <f>D24</f>
        <v>0</v>
      </c>
      <c r="C69" s="77" t="e">
        <f t="shared" ref="C69:C76" si="59">C68+B69</f>
        <v>#DIV/0!</v>
      </c>
      <c r="D69" s="563"/>
      <c r="E69" s="328" t="s">
        <v>346</v>
      </c>
      <c r="F69" s="565" t="e">
        <f>O49</f>
        <v>#DIV/0!</v>
      </c>
      <c r="G69" s="73"/>
      <c r="H69" s="270" t="str">
        <f>H64</f>
        <v>产品2</v>
      </c>
      <c r="I69" s="106">
        <f t="shared" si="58"/>
        <v>0</v>
      </c>
      <c r="J69" s="77">
        <f t="shared" si="58"/>
        <v>0</v>
      </c>
      <c r="K69" s="77">
        <f t="shared" si="58"/>
        <v>0</v>
      </c>
      <c r="L69" s="77">
        <f t="shared" si="58"/>
        <v>0</v>
      </c>
      <c r="M69" s="242">
        <f>SUM(I64:L64)</f>
        <v>0</v>
      </c>
      <c r="N69" s="74"/>
      <c r="O69" s="74"/>
      <c r="P69" s="74"/>
      <c r="Q69" s="74"/>
      <c r="R69" s="74"/>
      <c r="S69" s="74"/>
      <c r="T69" s="120"/>
      <c r="U69" s="269" t="s">
        <v>524</v>
      </c>
      <c r="V69" s="251">
        <f>INT(B15*(1-$R$43)+0.5)</f>
        <v>0</v>
      </c>
      <c r="W69" s="251">
        <f>INT(C15*(1-$R$43)+0.5)</f>
        <v>0</v>
      </c>
      <c r="X69" s="251">
        <f>INT(D15*(1-$R$43)+0.5)</f>
        <v>0</v>
      </c>
      <c r="Y69" s="251">
        <f>INT(E15*(1-$R$43)+0.5)</f>
        <v>0</v>
      </c>
      <c r="Z69" s="74"/>
      <c r="AA69" s="73"/>
      <c r="AB69" s="74"/>
      <c r="AC69" s="74"/>
      <c r="AD69" s="74"/>
      <c r="AE69" s="74"/>
      <c r="AF69" s="74"/>
      <c r="AG69" s="74"/>
      <c r="AH69" s="73"/>
      <c r="AI69" s="535"/>
      <c r="AJ69" s="531"/>
      <c r="AK69" s="531"/>
      <c r="AL69" s="531"/>
      <c r="AM69" s="531"/>
      <c r="AN69" s="531"/>
      <c r="AO69" s="531"/>
      <c r="AP69" s="531"/>
      <c r="AQ69" s="531"/>
      <c r="AR69" s="531"/>
      <c r="AS69" s="531"/>
      <c r="AT69" s="531"/>
      <c r="AU69" s="531"/>
      <c r="AV69" s="531"/>
      <c r="AW69" s="531"/>
      <c r="AX69" s="531"/>
      <c r="AY69" s="531"/>
      <c r="AZ69" s="63"/>
      <c r="BA69" s="270">
        <f t="shared" si="51"/>
        <v>0</v>
      </c>
      <c r="BB69" s="544">
        <f>IF(BT20=1,AL122/(AP122+初期!H161/2),0)</f>
        <v>0</v>
      </c>
      <c r="BD69" s="269">
        <f t="shared" si="52"/>
        <v>0</v>
      </c>
      <c r="BE69" s="547" t="e">
        <f t="shared" si="53"/>
        <v>#DIV/0!</v>
      </c>
      <c r="BF69" s="547" t="e">
        <f t="shared" si="54"/>
        <v>#DIV/0!</v>
      </c>
      <c r="BG69" s="547" t="e">
        <f t="shared" si="55"/>
        <v>#DIV/0!</v>
      </c>
      <c r="BH69" s="547" t="e">
        <f t="shared" si="56"/>
        <v>#DIV/0!</v>
      </c>
      <c r="BR69" s="62"/>
      <c r="BS69" s="62"/>
      <c r="BT69" s="62"/>
      <c r="BU69" s="62"/>
      <c r="BV69" s="62"/>
      <c r="BW69" s="62"/>
      <c r="BX69" s="62"/>
      <c r="BY69" s="62"/>
      <c r="BZ69" s="62"/>
      <c r="CA69" s="62"/>
      <c r="CB69" s="62"/>
      <c r="CC69" s="62"/>
      <c r="CD69" s="62"/>
      <c r="CE69" s="62"/>
      <c r="CF69" s="62"/>
      <c r="CG69" s="62"/>
      <c r="CH69" s="62"/>
      <c r="CI69" s="62"/>
      <c r="CJ69" s="62"/>
    </row>
    <row r="70" s="61" customFormat="1" ht="16" customHeight="1" spans="1:88">
      <c r="A70" s="269" t="s">
        <v>441</v>
      </c>
      <c r="B70" s="106">
        <f>L43</f>
        <v>0</v>
      </c>
      <c r="C70" s="77" t="e">
        <f t="shared" si="59"/>
        <v>#DIV/0!</v>
      </c>
      <c r="D70" s="563"/>
      <c r="E70" s="328" t="s">
        <v>441</v>
      </c>
      <c r="F70" s="566">
        <f>L43</f>
        <v>0</v>
      </c>
      <c r="G70" s="73"/>
      <c r="H70" s="270" t="str">
        <f>H65</f>
        <v>产品3</v>
      </c>
      <c r="I70" s="106">
        <f t="shared" si="58"/>
        <v>0</v>
      </c>
      <c r="J70" s="77">
        <f t="shared" si="58"/>
        <v>0</v>
      </c>
      <c r="K70" s="77">
        <f t="shared" si="58"/>
        <v>0</v>
      </c>
      <c r="L70" s="77">
        <f t="shared" si="58"/>
        <v>0</v>
      </c>
      <c r="M70" s="242">
        <f>SUM(I65:L65)</f>
        <v>0</v>
      </c>
      <c r="N70" s="74"/>
      <c r="O70" s="74"/>
      <c r="P70" s="74"/>
      <c r="Q70" s="74"/>
      <c r="R70" s="74"/>
      <c r="S70" s="74"/>
      <c r="T70" s="120"/>
      <c r="U70" s="74"/>
      <c r="V70" s="74"/>
      <c r="W70" s="74"/>
      <c r="X70" s="74"/>
      <c r="Y70" s="74"/>
      <c r="Z70" s="74"/>
      <c r="AA70" s="73"/>
      <c r="AB70" s="74"/>
      <c r="AC70" s="74"/>
      <c r="AD70" s="74"/>
      <c r="AE70" s="74"/>
      <c r="AF70" s="74"/>
      <c r="AG70" s="74"/>
      <c r="AH70" s="73"/>
      <c r="AI70" s="535"/>
      <c r="AJ70" s="531"/>
      <c r="AK70" s="531"/>
      <c r="AL70" s="531"/>
      <c r="AM70" s="531"/>
      <c r="AN70" s="531"/>
      <c r="AO70" s="531"/>
      <c r="AP70" s="531"/>
      <c r="AQ70" s="531"/>
      <c r="AR70" s="531"/>
      <c r="AS70" s="531"/>
      <c r="AT70" s="531"/>
      <c r="AU70" s="531"/>
      <c r="AV70" s="531"/>
      <c r="AW70" s="531"/>
      <c r="AX70" s="531"/>
      <c r="AY70" s="531"/>
      <c r="AZ70" s="63"/>
      <c r="BA70" s="270">
        <f t="shared" si="51"/>
        <v>0</v>
      </c>
      <c r="BB70" s="544">
        <f>IF(BT21=1,AL123/(AP123+初期!H162/2),0)</f>
        <v>0</v>
      </c>
      <c r="BD70" s="269">
        <f t="shared" si="52"/>
        <v>0</v>
      </c>
      <c r="BE70" s="547" t="e">
        <f t="shared" si="53"/>
        <v>#DIV/0!</v>
      </c>
      <c r="BF70" s="547" t="e">
        <f t="shared" si="54"/>
        <v>#DIV/0!</v>
      </c>
      <c r="BG70" s="547" t="e">
        <f t="shared" si="55"/>
        <v>#DIV/0!</v>
      </c>
      <c r="BH70" s="547" t="e">
        <f t="shared" si="56"/>
        <v>#DIV/0!</v>
      </c>
      <c r="BR70" s="62"/>
      <c r="BS70" s="62"/>
      <c r="BT70" s="62"/>
      <c r="BU70" s="62"/>
      <c r="BV70" s="62"/>
      <c r="BW70" s="62"/>
      <c r="BX70" s="62"/>
      <c r="BY70" s="62"/>
      <c r="BZ70" s="62"/>
      <c r="CA70" s="62"/>
      <c r="CB70" s="62"/>
      <c r="CC70" s="62"/>
      <c r="CD70" s="62"/>
      <c r="CE70" s="62"/>
      <c r="CF70" s="62"/>
      <c r="CG70" s="62"/>
      <c r="CH70" s="62"/>
      <c r="CI70" s="62"/>
      <c r="CJ70" s="62"/>
    </row>
    <row r="71" s="61" customFormat="1" ht="16" customHeight="1" spans="1:88">
      <c r="A71" s="269" t="s">
        <v>696</v>
      </c>
      <c r="B71" s="106">
        <f>(SUM(AP9:AP12)+I56)*初始化表!E22</f>
        <v>0</v>
      </c>
      <c r="C71" s="77" t="e">
        <f t="shared" si="59"/>
        <v>#DIV/0!</v>
      </c>
      <c r="D71" s="563"/>
      <c r="E71" s="328" t="s">
        <v>697</v>
      </c>
      <c r="F71" s="566" t="e">
        <f>F64</f>
        <v>#DIV/0!</v>
      </c>
      <c r="G71" s="73"/>
      <c r="H71" s="270" t="str">
        <f>H66</f>
        <v>产品4</v>
      </c>
      <c r="I71" s="519">
        <f t="shared" si="58"/>
        <v>0</v>
      </c>
      <c r="J71" s="335">
        <f t="shared" si="58"/>
        <v>0</v>
      </c>
      <c r="K71" s="335">
        <f t="shared" si="58"/>
        <v>0</v>
      </c>
      <c r="L71" s="335">
        <f t="shared" si="58"/>
        <v>0</v>
      </c>
      <c r="M71" s="574">
        <f>SUM(I66:L66)</f>
        <v>0</v>
      </c>
      <c r="N71" s="74"/>
      <c r="O71" s="74"/>
      <c r="P71" s="74"/>
      <c r="Q71" s="74"/>
      <c r="R71" s="74"/>
      <c r="S71" s="74"/>
      <c r="T71" s="120"/>
      <c r="U71" s="74"/>
      <c r="V71" s="74"/>
      <c r="W71" s="74"/>
      <c r="X71" s="74"/>
      <c r="Y71" s="74"/>
      <c r="Z71" s="74"/>
      <c r="AA71" s="73"/>
      <c r="AB71" s="74"/>
      <c r="AC71" s="74"/>
      <c r="AD71" s="74"/>
      <c r="AE71" s="74"/>
      <c r="AF71" s="74"/>
      <c r="AG71" s="74"/>
      <c r="AH71" s="73"/>
      <c r="AI71" s="535"/>
      <c r="AJ71" s="531"/>
      <c r="AK71" s="531"/>
      <c r="AL71" s="531"/>
      <c r="AM71" s="531"/>
      <c r="AN71" s="531"/>
      <c r="AO71" s="531"/>
      <c r="AP71" s="531"/>
      <c r="AQ71" s="531"/>
      <c r="AR71" s="531"/>
      <c r="AS71" s="531"/>
      <c r="AT71" s="531"/>
      <c r="AU71" s="531"/>
      <c r="AV71" s="531"/>
      <c r="AW71" s="531"/>
      <c r="AX71" s="531"/>
      <c r="AY71" s="531"/>
      <c r="AZ71" s="63"/>
      <c r="BA71" s="270">
        <f t="shared" si="51"/>
        <v>0</v>
      </c>
      <c r="BB71" s="544">
        <f>IF(BT22=1,AL124/(AP124+初期!H163/2),0)</f>
        <v>0</v>
      </c>
      <c r="BD71" s="269">
        <f t="shared" si="52"/>
        <v>0</v>
      </c>
      <c r="BE71" s="547" t="e">
        <f t="shared" si="53"/>
        <v>#DIV/0!</v>
      </c>
      <c r="BF71" s="547" t="e">
        <f t="shared" si="54"/>
        <v>#DIV/0!</v>
      </c>
      <c r="BG71" s="547" t="e">
        <f t="shared" si="55"/>
        <v>#DIV/0!</v>
      </c>
      <c r="BH71" s="547" t="e">
        <f t="shared" si="56"/>
        <v>#DIV/0!</v>
      </c>
      <c r="BR71" s="62"/>
      <c r="BS71" s="62"/>
      <c r="BT71" s="62"/>
      <c r="BU71" s="62"/>
      <c r="BV71" s="62"/>
      <c r="BW71" s="62"/>
      <c r="BX71" s="62"/>
      <c r="BY71" s="62"/>
      <c r="BZ71" s="62"/>
      <c r="CA71" s="62"/>
      <c r="CB71" s="62"/>
      <c r="CC71" s="62"/>
      <c r="CD71" s="62"/>
      <c r="CE71" s="62"/>
      <c r="CF71" s="62"/>
      <c r="CG71" s="62"/>
      <c r="CH71" s="62"/>
      <c r="CI71" s="62"/>
      <c r="CJ71" s="62"/>
    </row>
    <row r="72" s="61" customFormat="1" ht="16" customHeight="1" spans="1:88">
      <c r="A72" s="269" t="s">
        <v>699</v>
      </c>
      <c r="B72" s="106">
        <f>(SUM(AP13:AP16)+J56)*初始化表!F22</f>
        <v>0</v>
      </c>
      <c r="C72" s="77" t="e">
        <f t="shared" si="59"/>
        <v>#DIV/0!</v>
      </c>
      <c r="D72" s="563"/>
      <c r="E72" s="328" t="s">
        <v>457</v>
      </c>
      <c r="F72" s="566" t="e">
        <f>B77</f>
        <v>#DIV/0!</v>
      </c>
      <c r="G72" s="73"/>
      <c r="H72" s="270" t="str">
        <f t="shared" ref="H72:L76" si="60">U41</f>
        <v>本期待销</v>
      </c>
      <c r="I72" s="270" t="str">
        <f t="shared" si="60"/>
        <v>市场1</v>
      </c>
      <c r="J72" s="270" t="str">
        <f t="shared" si="60"/>
        <v>市场2</v>
      </c>
      <c r="K72" s="270" t="str">
        <f t="shared" si="60"/>
        <v>市场3</v>
      </c>
      <c r="L72" s="270" t="str">
        <f t="shared" si="60"/>
        <v>市场4</v>
      </c>
      <c r="M72" s="378" t="s">
        <v>700</v>
      </c>
      <c r="N72" s="117" t="s">
        <v>720</v>
      </c>
      <c r="O72" s="117" t="s">
        <v>38</v>
      </c>
      <c r="P72" s="117" t="s">
        <v>39</v>
      </c>
      <c r="Q72" s="117" t="s">
        <v>40</v>
      </c>
      <c r="R72" s="117" t="s">
        <v>41</v>
      </c>
      <c r="S72" s="117" t="s">
        <v>721</v>
      </c>
      <c r="T72" s="120"/>
      <c r="U72" s="74"/>
      <c r="V72" s="74"/>
      <c r="W72" s="74"/>
      <c r="X72" s="74"/>
      <c r="Y72" s="74"/>
      <c r="Z72" s="74"/>
      <c r="AA72" s="73"/>
      <c r="AB72" s="74"/>
      <c r="AC72" s="74"/>
      <c r="AD72" s="74"/>
      <c r="AE72" s="74"/>
      <c r="AF72" s="74"/>
      <c r="AG72" s="74"/>
      <c r="AH72" s="73"/>
      <c r="AI72" s="535"/>
      <c r="AJ72" s="531"/>
      <c r="AK72" s="531"/>
      <c r="AL72" s="531"/>
      <c r="AM72" s="531"/>
      <c r="AN72" s="531"/>
      <c r="AO72" s="531"/>
      <c r="AP72" s="531"/>
      <c r="AQ72" s="531"/>
      <c r="AR72" s="531"/>
      <c r="AS72" s="531"/>
      <c r="AT72" s="531"/>
      <c r="AU72" s="531"/>
      <c r="AV72" s="531"/>
      <c r="AW72" s="531"/>
      <c r="AX72" s="531"/>
      <c r="AY72" s="531"/>
      <c r="AZ72" s="63"/>
      <c r="BA72" s="270">
        <f t="shared" si="51"/>
        <v>0</v>
      </c>
      <c r="BB72" s="544">
        <f>IF(BT23=1,AL125/(AP125+初期!H164/2),0)</f>
        <v>0</v>
      </c>
      <c r="BD72" s="269">
        <f t="shared" si="52"/>
        <v>0</v>
      </c>
      <c r="BE72" s="547" t="e">
        <f t="shared" si="53"/>
        <v>#DIV/0!</v>
      </c>
      <c r="BF72" s="547" t="e">
        <f t="shared" si="54"/>
        <v>#DIV/0!</v>
      </c>
      <c r="BG72" s="547" t="e">
        <f t="shared" si="55"/>
        <v>#DIV/0!</v>
      </c>
      <c r="BH72" s="547" t="e">
        <f t="shared" si="56"/>
        <v>#DIV/0!</v>
      </c>
      <c r="BR72" s="62"/>
      <c r="BS72" s="62"/>
      <c r="BT72" s="62"/>
      <c r="BU72" s="62"/>
      <c r="BV72" s="62"/>
      <c r="BW72" s="62"/>
      <c r="BX72" s="62"/>
      <c r="BY72" s="62"/>
      <c r="BZ72" s="62"/>
      <c r="CA72" s="62"/>
      <c r="CB72" s="62"/>
      <c r="CC72" s="62"/>
      <c r="CD72" s="62"/>
      <c r="CE72" s="62"/>
      <c r="CF72" s="62"/>
      <c r="CG72" s="62"/>
      <c r="CH72" s="62"/>
      <c r="CI72" s="62"/>
      <c r="CJ72" s="62"/>
    </row>
    <row r="73" s="61" customFormat="1" ht="16" customHeight="1" spans="1:88">
      <c r="A73" s="269" t="s">
        <v>701</v>
      </c>
      <c r="B73" s="106">
        <f>(SUM(AP17:AP20)+K56)*初始化表!G22</f>
        <v>0</v>
      </c>
      <c r="C73" s="77" t="e">
        <f t="shared" si="59"/>
        <v>#DIV/0!</v>
      </c>
      <c r="D73" s="563"/>
      <c r="E73" s="328" t="s">
        <v>463</v>
      </c>
      <c r="F73" s="566">
        <f>MAX(P33-B24,0)</f>
        <v>0</v>
      </c>
      <c r="G73" s="73"/>
      <c r="H73" s="270" t="str">
        <f t="shared" si="60"/>
        <v>产品1</v>
      </c>
      <c r="I73" s="517">
        <f t="shared" si="60"/>
        <v>0</v>
      </c>
      <c r="J73" s="474">
        <f t="shared" si="60"/>
        <v>0</v>
      </c>
      <c r="K73" s="474">
        <f t="shared" si="60"/>
        <v>0</v>
      </c>
      <c r="L73" s="474">
        <f t="shared" si="60"/>
        <v>0</v>
      </c>
      <c r="M73" s="575" t="e">
        <f>INT((M68-Z5)/初始化表!$B$4)</f>
        <v>#DIV/0!</v>
      </c>
      <c r="N73" s="117" t="s">
        <v>198</v>
      </c>
      <c r="O73" s="244">
        <f>V42-V17</f>
        <v>0</v>
      </c>
      <c r="P73" s="244">
        <f t="shared" ref="P73:R76" si="61">W42-W17</f>
        <v>0</v>
      </c>
      <c r="Q73" s="244">
        <f t="shared" si="61"/>
        <v>0</v>
      </c>
      <c r="R73" s="244">
        <f t="shared" si="61"/>
        <v>0</v>
      </c>
      <c r="S73" s="244">
        <f>IF(I85=0,0,ABS(P85-O85)/ABS(I85-J85))</f>
        <v>0</v>
      </c>
      <c r="T73" s="120"/>
      <c r="U73" s="74"/>
      <c r="V73" s="74"/>
      <c r="W73" s="74"/>
      <c r="X73" s="74"/>
      <c r="Y73" s="74"/>
      <c r="Z73" s="74"/>
      <c r="AA73" s="73"/>
      <c r="AB73" s="74"/>
      <c r="AC73" s="74"/>
      <c r="AD73" s="74"/>
      <c r="AE73" s="74"/>
      <c r="AF73" s="74"/>
      <c r="AG73" s="74"/>
      <c r="AH73" s="73"/>
      <c r="AI73" s="535"/>
      <c r="AJ73" s="531"/>
      <c r="AK73" s="531"/>
      <c r="AL73" s="531"/>
      <c r="AM73" s="531"/>
      <c r="AN73" s="531"/>
      <c r="AO73" s="531"/>
      <c r="AP73" s="531"/>
      <c r="AQ73" s="531"/>
      <c r="AR73" s="531"/>
      <c r="AS73" s="531"/>
      <c r="AT73" s="531"/>
      <c r="AU73" s="531"/>
      <c r="AV73" s="531"/>
      <c r="AW73" s="531"/>
      <c r="AX73" s="531"/>
      <c r="AY73" s="531"/>
      <c r="AZ73" s="63"/>
      <c r="BA73" s="270">
        <f t="shared" si="51"/>
        <v>0</v>
      </c>
      <c r="BB73" s="544">
        <f>IF(BT24=1,AL126/(AP126+初期!H165/2),0)</f>
        <v>0</v>
      </c>
      <c r="BD73" s="269">
        <f t="shared" si="52"/>
        <v>0</v>
      </c>
      <c r="BE73" s="547" t="e">
        <f t="shared" si="53"/>
        <v>#DIV/0!</v>
      </c>
      <c r="BF73" s="547" t="e">
        <f t="shared" si="54"/>
        <v>#DIV/0!</v>
      </c>
      <c r="BG73" s="547" t="e">
        <f t="shared" si="55"/>
        <v>#DIV/0!</v>
      </c>
      <c r="BH73" s="547" t="e">
        <f t="shared" si="56"/>
        <v>#DIV/0!</v>
      </c>
      <c r="BR73" s="62"/>
      <c r="BS73" s="62"/>
      <c r="BT73" s="62"/>
      <c r="BU73" s="62"/>
      <c r="BV73" s="62"/>
      <c r="BW73" s="62"/>
      <c r="BX73" s="62"/>
      <c r="BY73" s="62"/>
      <c r="BZ73" s="62"/>
      <c r="CA73" s="62"/>
      <c r="CB73" s="62"/>
      <c r="CC73" s="62"/>
      <c r="CD73" s="62"/>
      <c r="CE73" s="62"/>
      <c r="CF73" s="62"/>
      <c r="CG73" s="62"/>
      <c r="CH73" s="62"/>
      <c r="CI73" s="62"/>
      <c r="CJ73" s="62"/>
    </row>
    <row r="74" s="61" customFormat="1" ht="16" customHeight="1" spans="1:88">
      <c r="A74" s="269" t="s">
        <v>702</v>
      </c>
      <c r="B74" s="106">
        <f>(SUM(AP21:AP24)+L56)*初始化表!H22</f>
        <v>0</v>
      </c>
      <c r="C74" s="77" t="e">
        <f t="shared" si="59"/>
        <v>#DIV/0!</v>
      </c>
      <c r="D74" s="563"/>
      <c r="E74" s="328" t="s">
        <v>703</v>
      </c>
      <c r="F74" s="566">
        <f>D24</f>
        <v>0</v>
      </c>
      <c r="G74" s="73"/>
      <c r="H74" s="270" t="str">
        <f t="shared" si="60"/>
        <v>产品2</v>
      </c>
      <c r="I74" s="106">
        <f t="shared" si="60"/>
        <v>0</v>
      </c>
      <c r="J74" s="77">
        <f t="shared" si="60"/>
        <v>0</v>
      </c>
      <c r="K74" s="77">
        <f t="shared" si="60"/>
        <v>0</v>
      </c>
      <c r="L74" s="77">
        <f t="shared" si="60"/>
        <v>0</v>
      </c>
      <c r="M74" s="243" t="e">
        <f>INT((M69-Z6)/初始化表!$B$4)</f>
        <v>#DIV/0!</v>
      </c>
      <c r="N74" s="117" t="s">
        <v>202</v>
      </c>
      <c r="O74" s="244">
        <f t="shared" ref="O74:O76" si="62">V43-V18</f>
        <v>0</v>
      </c>
      <c r="P74" s="244">
        <f t="shared" si="61"/>
        <v>0</v>
      </c>
      <c r="Q74" s="244">
        <f t="shared" si="61"/>
        <v>0</v>
      </c>
      <c r="R74" s="244">
        <f t="shared" si="61"/>
        <v>0</v>
      </c>
      <c r="S74" s="244">
        <f>IF(I86=0,0,ABS(P86-O86)/ABS(I86-J86))</f>
        <v>0</v>
      </c>
      <c r="T74" s="120"/>
      <c r="U74" s="74"/>
      <c r="V74" s="74"/>
      <c r="W74" s="74"/>
      <c r="X74" s="74"/>
      <c r="Y74" s="74"/>
      <c r="Z74" s="74"/>
      <c r="AA74" s="73"/>
      <c r="AB74" s="74"/>
      <c r="AC74" s="74"/>
      <c r="AD74" s="74"/>
      <c r="AE74" s="74"/>
      <c r="AF74" s="74"/>
      <c r="AG74" s="74"/>
      <c r="AH74" s="73"/>
      <c r="AI74" s="535"/>
      <c r="AJ74" s="531"/>
      <c r="AK74" s="531"/>
      <c r="AL74" s="531"/>
      <c r="AM74" s="531"/>
      <c r="AN74" s="531"/>
      <c r="AO74" s="531"/>
      <c r="AP74" s="531"/>
      <c r="AQ74" s="531"/>
      <c r="AR74" s="531"/>
      <c r="AS74" s="531"/>
      <c r="AT74" s="531"/>
      <c r="AU74" s="531"/>
      <c r="AV74" s="531"/>
      <c r="AW74" s="531"/>
      <c r="AX74" s="531"/>
      <c r="AY74" s="531"/>
      <c r="AZ74" s="63"/>
      <c r="BR74" s="62"/>
      <c r="BS74" s="62"/>
      <c r="BT74" s="62"/>
      <c r="BU74" s="62"/>
      <c r="BV74" s="62"/>
      <c r="BW74" s="62"/>
      <c r="BX74" s="62"/>
      <c r="BY74" s="62"/>
      <c r="BZ74" s="62"/>
      <c r="CA74" s="62"/>
      <c r="CB74" s="62"/>
      <c r="CC74" s="62"/>
      <c r="CD74" s="62"/>
      <c r="CE74" s="62"/>
      <c r="CF74" s="62"/>
      <c r="CG74" s="62"/>
      <c r="CH74" s="62"/>
      <c r="CI74" s="62"/>
      <c r="CJ74" s="62"/>
    </row>
    <row r="75" s="61" customFormat="1" ht="16" customHeight="1" spans="1:88">
      <c r="A75" s="269" t="s">
        <v>442</v>
      </c>
      <c r="B75" s="106">
        <f>SUM(F17:F20)/2</f>
        <v>0</v>
      </c>
      <c r="C75" s="77" t="e">
        <f t="shared" si="59"/>
        <v>#DIV/0!</v>
      </c>
      <c r="D75" s="563"/>
      <c r="E75" s="328" t="s">
        <v>704</v>
      </c>
      <c r="F75" s="566">
        <f>B78</f>
        <v>0</v>
      </c>
      <c r="G75" s="73"/>
      <c r="H75" s="270" t="str">
        <f t="shared" si="60"/>
        <v>产品3</v>
      </c>
      <c r="I75" s="106">
        <f t="shared" si="60"/>
        <v>0</v>
      </c>
      <c r="J75" s="77">
        <f t="shared" si="60"/>
        <v>0</v>
      </c>
      <c r="K75" s="77">
        <f t="shared" si="60"/>
        <v>0</v>
      </c>
      <c r="L75" s="77">
        <f t="shared" si="60"/>
        <v>0</v>
      </c>
      <c r="M75" s="243" t="e">
        <f>INT((M70-Z7)/初始化表!$B$4)</f>
        <v>#DIV/0!</v>
      </c>
      <c r="N75" s="117" t="s">
        <v>206</v>
      </c>
      <c r="O75" s="244">
        <f t="shared" si="62"/>
        <v>0</v>
      </c>
      <c r="P75" s="244">
        <f t="shared" si="61"/>
        <v>0</v>
      </c>
      <c r="Q75" s="244">
        <f t="shared" si="61"/>
        <v>0</v>
      </c>
      <c r="R75" s="244">
        <f t="shared" si="61"/>
        <v>0</v>
      </c>
      <c r="S75" s="244">
        <f t="shared" ref="S75:S76" si="63">IF(I87=0,0,ABS(P87-O87)/ABS(I87-J87))</f>
        <v>0</v>
      </c>
      <c r="T75" s="120"/>
      <c r="U75" s="74"/>
      <c r="V75" s="74"/>
      <c r="W75" s="74"/>
      <c r="X75" s="74"/>
      <c r="Y75" s="74"/>
      <c r="Z75" s="74"/>
      <c r="AA75" s="73"/>
      <c r="AB75" s="74"/>
      <c r="AC75" s="74"/>
      <c r="AD75" s="74"/>
      <c r="AE75" s="74"/>
      <c r="AF75" s="74"/>
      <c r="AG75" s="74"/>
      <c r="AH75" s="73"/>
      <c r="AI75" s="535"/>
      <c r="AJ75" s="531"/>
      <c r="AK75" s="531"/>
      <c r="AL75" s="531"/>
      <c r="AM75" s="531"/>
      <c r="AN75" s="531"/>
      <c r="AO75" s="531"/>
      <c r="AP75" s="531"/>
      <c r="AQ75" s="531"/>
      <c r="AR75" s="531"/>
      <c r="AS75" s="531"/>
      <c r="AT75" s="531"/>
      <c r="AU75" s="531"/>
      <c r="AV75" s="531"/>
      <c r="AW75" s="531"/>
      <c r="AX75" s="531"/>
      <c r="AY75" s="531"/>
      <c r="AZ75" s="63"/>
      <c r="BR75" s="62"/>
      <c r="BS75" s="62"/>
      <c r="BT75" s="62"/>
      <c r="BU75" s="62"/>
      <c r="BV75" s="62"/>
      <c r="BW75" s="62"/>
      <c r="BX75" s="62"/>
      <c r="BY75" s="62"/>
      <c r="BZ75" s="62"/>
      <c r="CA75" s="62"/>
      <c r="CB75" s="62"/>
      <c r="CC75" s="62"/>
      <c r="CD75" s="62"/>
      <c r="CE75" s="62"/>
      <c r="CF75" s="62"/>
      <c r="CG75" s="62"/>
      <c r="CH75" s="62"/>
      <c r="CI75" s="62"/>
      <c r="CJ75" s="62"/>
    </row>
    <row r="76" s="61" customFormat="1" ht="16" customHeight="1" spans="1:97">
      <c r="A76" s="269" t="s">
        <v>443</v>
      </c>
      <c r="B76" s="106" t="e">
        <f>O49*初始化表!B8</f>
        <v>#DIV/0!</v>
      </c>
      <c r="C76" s="77" t="e">
        <f t="shared" si="59"/>
        <v>#DIV/0!</v>
      </c>
      <c r="D76" s="563"/>
      <c r="E76" s="328" t="s">
        <v>467</v>
      </c>
      <c r="F76" s="566">
        <f>SUM(I6:I9,F17:F20)</f>
        <v>0</v>
      </c>
      <c r="G76" s="73"/>
      <c r="H76" s="270" t="str">
        <f t="shared" si="60"/>
        <v>产品4</v>
      </c>
      <c r="I76" s="519">
        <f t="shared" si="60"/>
        <v>0</v>
      </c>
      <c r="J76" s="335">
        <f t="shared" si="60"/>
        <v>0</v>
      </c>
      <c r="K76" s="335">
        <f t="shared" si="60"/>
        <v>0</v>
      </c>
      <c r="L76" s="335">
        <f t="shared" si="60"/>
        <v>0</v>
      </c>
      <c r="M76" s="454" t="e">
        <f>INT((M71-Z8)/初始化表!$B$4)</f>
        <v>#DIV/0!</v>
      </c>
      <c r="N76" s="117" t="s">
        <v>208</v>
      </c>
      <c r="O76" s="244">
        <f t="shared" si="62"/>
        <v>0</v>
      </c>
      <c r="P76" s="244">
        <f t="shared" si="61"/>
        <v>0</v>
      </c>
      <c r="Q76" s="244">
        <f t="shared" si="61"/>
        <v>0</v>
      </c>
      <c r="R76" s="244">
        <f t="shared" si="61"/>
        <v>0</v>
      </c>
      <c r="S76" s="244">
        <f t="shared" si="63"/>
        <v>0</v>
      </c>
      <c r="T76" s="120"/>
      <c r="U76" s="74"/>
      <c r="V76" s="74"/>
      <c r="W76" s="74"/>
      <c r="X76" s="74"/>
      <c r="Y76" s="74"/>
      <c r="Z76" s="74"/>
      <c r="AA76" s="73"/>
      <c r="AB76" s="74"/>
      <c r="AC76" s="74"/>
      <c r="AD76" s="74"/>
      <c r="AE76" s="74"/>
      <c r="AF76" s="74"/>
      <c r="AG76" s="74"/>
      <c r="AH76" s="73"/>
      <c r="AI76" s="535"/>
      <c r="AJ76" s="531"/>
      <c r="AK76" s="531"/>
      <c r="AL76" s="531"/>
      <c r="AM76" s="531"/>
      <c r="AN76" s="531"/>
      <c r="AO76" s="531"/>
      <c r="AP76" s="531"/>
      <c r="AQ76" s="531"/>
      <c r="AR76" s="531"/>
      <c r="AS76" s="531"/>
      <c r="AT76" s="531"/>
      <c r="AU76" s="531"/>
      <c r="AV76" s="531"/>
      <c r="AW76" s="531"/>
      <c r="AX76" s="531"/>
      <c r="AY76" s="531"/>
      <c r="AZ76" s="425"/>
      <c r="BA76" s="543"/>
      <c r="BB76" s="543"/>
      <c r="BC76" s="543"/>
      <c r="BD76" s="543"/>
      <c r="BE76" s="543"/>
      <c r="BF76" s="543"/>
      <c r="BG76" s="543"/>
      <c r="BH76" s="543"/>
      <c r="BI76" s="543"/>
      <c r="BJ76" s="543"/>
      <c r="BK76" s="543"/>
      <c r="BL76" s="543"/>
      <c r="BM76" s="543"/>
      <c r="BN76" s="543"/>
      <c r="BO76" s="543"/>
      <c r="BP76" s="543"/>
      <c r="BQ76" s="543"/>
      <c r="BR76" s="265"/>
      <c r="BS76" s="265"/>
      <c r="BT76" s="265"/>
      <c r="BU76" s="265"/>
      <c r="BV76" s="265"/>
      <c r="BW76" s="265"/>
      <c r="BX76" s="265"/>
      <c r="BY76" s="265"/>
      <c r="BZ76" s="265"/>
      <c r="CA76" s="265"/>
      <c r="CB76" s="265"/>
      <c r="CC76" s="265"/>
      <c r="CD76" s="265"/>
      <c r="CE76" s="265"/>
      <c r="CF76" s="265"/>
      <c r="CG76" s="265"/>
      <c r="CH76" s="265"/>
      <c r="CI76" s="265"/>
      <c r="CJ76" s="265"/>
      <c r="CK76" s="543"/>
      <c r="CL76" s="543"/>
      <c r="CM76" s="543"/>
      <c r="CN76" s="543"/>
      <c r="CO76" s="543"/>
      <c r="CP76" s="543"/>
      <c r="CQ76" s="543"/>
      <c r="CR76" s="543"/>
      <c r="CS76" s="543"/>
    </row>
    <row r="77" s="61" customFormat="1" ht="16" customHeight="1" spans="1:97">
      <c r="A77" s="269" t="s">
        <v>444</v>
      </c>
      <c r="B77" s="106" t="e">
        <f>第1期!B77-C51</f>
        <v>#DIV/0!</v>
      </c>
      <c r="C77" s="77" t="e">
        <f>C76-B77</f>
        <v>#DIV/0!</v>
      </c>
      <c r="D77" s="563"/>
      <c r="E77" s="328" t="s">
        <v>255</v>
      </c>
      <c r="F77" s="567" t="e">
        <f>D56-E60</f>
        <v>#DIV/0!</v>
      </c>
      <c r="G77" s="73"/>
      <c r="H77" s="269" t="s">
        <v>722</v>
      </c>
      <c r="I77" s="269"/>
      <c r="J77" s="269"/>
      <c r="K77" s="269"/>
      <c r="L77" s="269"/>
      <c r="M77" s="269" t="s">
        <v>723</v>
      </c>
      <c r="N77" s="74"/>
      <c r="O77" s="74"/>
      <c r="P77" s="74"/>
      <c r="Q77" s="74"/>
      <c r="R77" s="74"/>
      <c r="S77" s="74"/>
      <c r="T77" s="120"/>
      <c r="U77" s="74"/>
      <c r="V77" s="74"/>
      <c r="W77" s="74"/>
      <c r="X77" s="74"/>
      <c r="Y77" s="74"/>
      <c r="Z77" s="74"/>
      <c r="AA77" s="73"/>
      <c r="AB77" s="74"/>
      <c r="AC77" s="74"/>
      <c r="AD77" s="74"/>
      <c r="AE77" s="74"/>
      <c r="AF77" s="74"/>
      <c r="AG77" s="74"/>
      <c r="AH77" s="73"/>
      <c r="AI77" s="535"/>
      <c r="AJ77" s="531"/>
      <c r="AK77" s="531"/>
      <c r="AL77" s="531"/>
      <c r="AM77" s="531"/>
      <c r="AN77" s="531"/>
      <c r="AO77" s="531"/>
      <c r="AP77" s="531"/>
      <c r="AQ77" s="531"/>
      <c r="AR77" s="531"/>
      <c r="AS77" s="531"/>
      <c r="AT77" s="531"/>
      <c r="AU77" s="531"/>
      <c r="AV77" s="531"/>
      <c r="AW77" s="531"/>
      <c r="AX77" s="531"/>
      <c r="AY77" s="531"/>
      <c r="AZ77" s="425"/>
      <c r="BA77" s="543"/>
      <c r="BB77" s="543"/>
      <c r="BC77" s="543"/>
      <c r="BD77" s="543"/>
      <c r="BE77" s="543"/>
      <c r="BF77" s="543"/>
      <c r="BG77" s="543"/>
      <c r="BH77" s="543"/>
      <c r="BI77" s="543"/>
      <c r="BJ77" s="543"/>
      <c r="BK77" s="543"/>
      <c r="BL77" s="543"/>
      <c r="BM77" s="543"/>
      <c r="BN77" s="543"/>
      <c r="BO77" s="543"/>
      <c r="BP77" s="543"/>
      <c r="BQ77" s="543"/>
      <c r="BR77" s="265"/>
      <c r="BS77" s="265"/>
      <c r="BT77" s="265"/>
      <c r="BU77" s="265"/>
      <c r="BV77" s="265"/>
      <c r="BW77" s="543"/>
      <c r="BX77" s="579"/>
      <c r="BY77" s="265"/>
      <c r="BZ77" s="265"/>
      <c r="CA77" s="265"/>
      <c r="CB77" s="265"/>
      <c r="CC77" s="265"/>
      <c r="CD77" s="265"/>
      <c r="CE77" s="265"/>
      <c r="CF77" s="265"/>
      <c r="CG77" s="265"/>
      <c r="CH77" s="265"/>
      <c r="CI77" s="265"/>
      <c r="CJ77" s="265"/>
      <c r="CK77" s="543"/>
      <c r="CL77" s="543"/>
      <c r="CM77" s="543"/>
      <c r="CN77" s="543"/>
      <c r="CO77" s="543"/>
      <c r="CP77" s="543"/>
      <c r="CQ77" s="543"/>
      <c r="CR77" s="543"/>
      <c r="CS77" s="543"/>
    </row>
    <row r="78" s="61" customFormat="1" ht="16" customHeight="1" spans="1:97">
      <c r="A78" s="269" t="s">
        <v>310</v>
      </c>
      <c r="B78" s="460">
        <f>O35+C24+C31</f>
        <v>0</v>
      </c>
      <c r="C78" s="71" t="e">
        <f>C77-B78</f>
        <v>#DIV/0!</v>
      </c>
      <c r="D78" s="563"/>
      <c r="E78" s="328" t="s">
        <v>469</v>
      </c>
      <c r="F78" s="566" t="e">
        <f>-C61</f>
        <v>#DIV/0!</v>
      </c>
      <c r="G78" s="73"/>
      <c r="H78" s="269" t="s">
        <v>521</v>
      </c>
      <c r="I78" s="517" t="e">
        <f>第1期!BN42</f>
        <v>#DIV/0!</v>
      </c>
      <c r="J78" s="474" t="e">
        <f>第1期!BO42</f>
        <v>#DIV/0!</v>
      </c>
      <c r="K78" s="474" t="e">
        <f>第1期!BP42</f>
        <v>#DIV/0!</v>
      </c>
      <c r="L78" s="474" t="e">
        <f>第1期!BQ42</f>
        <v>#DIV/0!</v>
      </c>
      <c r="M78" s="575" t="e">
        <f>SUM(I78:L78)</f>
        <v>#DIV/0!</v>
      </c>
      <c r="N78" s="74"/>
      <c r="O78" s="74"/>
      <c r="P78" s="74"/>
      <c r="Q78" s="74"/>
      <c r="R78" s="74"/>
      <c r="S78" s="74"/>
      <c r="T78" s="120"/>
      <c r="U78" s="74"/>
      <c r="V78" s="74"/>
      <c r="W78" s="74"/>
      <c r="X78" s="74"/>
      <c r="Y78" s="74"/>
      <c r="Z78" s="74"/>
      <c r="AA78" s="73"/>
      <c r="AB78" s="74"/>
      <c r="AC78" s="74"/>
      <c r="AD78" s="74"/>
      <c r="AE78" s="74"/>
      <c r="AF78" s="74"/>
      <c r="AG78" s="74"/>
      <c r="AH78" s="73"/>
      <c r="AI78" s="535"/>
      <c r="AJ78" s="531"/>
      <c r="AK78" s="531"/>
      <c r="AL78" s="531"/>
      <c r="AM78" s="531"/>
      <c r="AN78" s="531"/>
      <c r="AO78" s="531"/>
      <c r="AP78" s="531"/>
      <c r="AQ78" s="531"/>
      <c r="AR78" s="531"/>
      <c r="AS78" s="531"/>
      <c r="AT78" s="531"/>
      <c r="AU78" s="531"/>
      <c r="AV78" s="531"/>
      <c r="AW78" s="531"/>
      <c r="AX78" s="531"/>
      <c r="AY78" s="531"/>
      <c r="AZ78" s="425"/>
      <c r="BA78" s="543"/>
      <c r="BB78" s="543"/>
      <c r="BC78" s="543"/>
      <c r="BD78" s="543"/>
      <c r="BE78" s="543"/>
      <c r="BF78" s="543"/>
      <c r="BG78" s="543"/>
      <c r="BH78" s="543"/>
      <c r="BI78" s="543"/>
      <c r="BJ78" s="543"/>
      <c r="BK78" s="543"/>
      <c r="BL78" s="543"/>
      <c r="BM78" s="543"/>
      <c r="BN78" s="543"/>
      <c r="BO78" s="543"/>
      <c r="BP78" s="543"/>
      <c r="BQ78" s="543"/>
      <c r="BR78" s="265"/>
      <c r="BS78" s="265"/>
      <c r="BT78" s="265"/>
      <c r="BU78" s="265"/>
      <c r="BV78" s="265"/>
      <c r="BW78" s="265"/>
      <c r="BX78" s="265"/>
      <c r="BY78" s="265"/>
      <c r="BZ78" s="265"/>
      <c r="CA78" s="265"/>
      <c r="CB78" s="265"/>
      <c r="CC78" s="265"/>
      <c r="CD78" s="265"/>
      <c r="CE78" s="265"/>
      <c r="CF78" s="265"/>
      <c r="CG78" s="265"/>
      <c r="CH78" s="265"/>
      <c r="CI78" s="265"/>
      <c r="CJ78" s="265"/>
      <c r="CK78" s="543"/>
      <c r="CL78" s="543"/>
      <c r="CM78" s="543"/>
      <c r="CN78" s="543"/>
      <c r="CO78" s="543"/>
      <c r="CP78" s="543"/>
      <c r="CQ78" s="543"/>
      <c r="CR78" s="543"/>
      <c r="CS78" s="543"/>
    </row>
    <row r="79" s="61" customFormat="1" ht="16" customHeight="1" spans="1:97">
      <c r="A79" s="269" t="s">
        <v>446</v>
      </c>
      <c r="B79" s="106">
        <f>-C62</f>
        <v>0</v>
      </c>
      <c r="C79" s="77" t="e">
        <f>C78+B79</f>
        <v>#DIV/0!</v>
      </c>
      <c r="D79" s="563"/>
      <c r="E79" s="328" t="s">
        <v>470</v>
      </c>
      <c r="F79" s="566" t="e">
        <f>第1期!F79*(1+初始化表!B27/4)+F78</f>
        <v>#DIV/0!</v>
      </c>
      <c r="G79" s="73"/>
      <c r="H79" s="269" t="s">
        <v>522</v>
      </c>
      <c r="I79" s="106" t="e">
        <f>第1期!BN43</f>
        <v>#DIV/0!</v>
      </c>
      <c r="J79" s="77" t="e">
        <f>第1期!BO43</f>
        <v>#DIV/0!</v>
      </c>
      <c r="K79" s="77" t="e">
        <f>第1期!BP43</f>
        <v>#DIV/0!</v>
      </c>
      <c r="L79" s="77" t="e">
        <f>第1期!BQ43</f>
        <v>#DIV/0!</v>
      </c>
      <c r="M79" s="243" t="e">
        <f>SUM(I79:L79)</f>
        <v>#DIV/0!</v>
      </c>
      <c r="N79" s="74"/>
      <c r="O79" s="74"/>
      <c r="P79" s="74"/>
      <c r="Q79" s="74"/>
      <c r="R79" s="74"/>
      <c r="S79" s="74"/>
      <c r="T79" s="120"/>
      <c r="U79" s="74"/>
      <c r="V79" s="74"/>
      <c r="W79" s="74"/>
      <c r="X79" s="74"/>
      <c r="Y79" s="74"/>
      <c r="Z79" s="74"/>
      <c r="AA79" s="73"/>
      <c r="AB79" s="74"/>
      <c r="AC79" s="74"/>
      <c r="AD79" s="74"/>
      <c r="AE79" s="74"/>
      <c r="AF79" s="74"/>
      <c r="AG79" s="74"/>
      <c r="AH79" s="73"/>
      <c r="AI79" s="535"/>
      <c r="AJ79" s="531"/>
      <c r="AK79" s="531"/>
      <c r="AL79" s="531"/>
      <c r="AM79" s="531"/>
      <c r="AN79" s="531"/>
      <c r="AO79" s="531"/>
      <c r="AP79" s="531"/>
      <c r="AQ79" s="531"/>
      <c r="AR79" s="531"/>
      <c r="AS79" s="531"/>
      <c r="AT79" s="531"/>
      <c r="AU79" s="531"/>
      <c r="AV79" s="531"/>
      <c r="AW79" s="531"/>
      <c r="AX79" s="531"/>
      <c r="AY79" s="531"/>
      <c r="AZ79" s="425"/>
      <c r="BA79" s="543"/>
      <c r="BB79" s="543"/>
      <c r="BC79" s="543"/>
      <c r="BD79" s="543"/>
      <c r="BE79" s="543"/>
      <c r="BF79" s="543"/>
      <c r="BG79" s="543"/>
      <c r="BH79" s="543"/>
      <c r="BI79" s="543"/>
      <c r="BJ79" s="543"/>
      <c r="BK79" s="543"/>
      <c r="BL79" s="543"/>
      <c r="BM79" s="543"/>
      <c r="BN79" s="543"/>
      <c r="BO79" s="543"/>
      <c r="BP79" s="543"/>
      <c r="BQ79" s="543"/>
      <c r="BR79" s="265"/>
      <c r="BS79" s="265"/>
      <c r="BT79" s="265"/>
      <c r="BU79" s="265"/>
      <c r="BV79" s="265"/>
      <c r="BW79" s="265"/>
      <c r="BX79" s="265"/>
      <c r="BY79" s="265"/>
      <c r="BZ79" s="265"/>
      <c r="CA79" s="265"/>
      <c r="CB79" s="265"/>
      <c r="CC79" s="265"/>
      <c r="CD79" s="265"/>
      <c r="CE79" s="265"/>
      <c r="CF79" s="265"/>
      <c r="CG79" s="265"/>
      <c r="CH79" s="265"/>
      <c r="CI79" s="265"/>
      <c r="CJ79" s="265"/>
      <c r="CK79" s="543"/>
      <c r="CL79" s="543"/>
      <c r="CM79" s="543"/>
      <c r="CN79" s="543"/>
      <c r="CO79" s="543"/>
      <c r="CP79" s="543"/>
      <c r="CQ79" s="543"/>
      <c r="CR79" s="543"/>
      <c r="CS79" s="543"/>
    </row>
    <row r="80" s="61" customFormat="1" ht="16" customHeight="1" spans="1:97">
      <c r="A80" s="269" t="s">
        <v>705</v>
      </c>
      <c r="B80" s="106" t="e">
        <f>C79</f>
        <v>#DIV/0!</v>
      </c>
      <c r="C80" s="77"/>
      <c r="D80" s="563"/>
      <c r="E80" s="328" t="s">
        <v>471</v>
      </c>
      <c r="F80" s="568" t="e">
        <f>IF(F77&lt;0,F77*初始化表!B26+第1期!F80,IF(F77*初始化表!B25&gt;-第1期!F80,0,第1期!F80+F77*初始化表!B25))</f>
        <v>#DIV/0!</v>
      </c>
      <c r="G80" s="73"/>
      <c r="H80" s="269" t="s">
        <v>523</v>
      </c>
      <c r="I80" s="106" t="e">
        <f>第1期!BN44</f>
        <v>#DIV/0!</v>
      </c>
      <c r="J80" s="77" t="e">
        <f>第1期!BO44</f>
        <v>#DIV/0!</v>
      </c>
      <c r="K80" s="77" t="e">
        <f>第1期!BP44</f>
        <v>#DIV/0!</v>
      </c>
      <c r="L80" s="77" t="e">
        <f>第1期!BQ44</f>
        <v>#DIV/0!</v>
      </c>
      <c r="M80" s="243" t="e">
        <f>SUM(I80:L80)</f>
        <v>#DIV/0!</v>
      </c>
      <c r="N80" s="74"/>
      <c r="O80" s="74"/>
      <c r="P80" s="74"/>
      <c r="Q80" s="74"/>
      <c r="R80" s="74"/>
      <c r="S80" s="74"/>
      <c r="T80" s="120"/>
      <c r="U80" s="74"/>
      <c r="V80" s="74"/>
      <c r="W80" s="74"/>
      <c r="X80" s="74"/>
      <c r="Y80" s="74"/>
      <c r="Z80" s="74"/>
      <c r="AA80" s="73"/>
      <c r="AB80" s="74"/>
      <c r="AC80" s="74"/>
      <c r="AD80" s="74"/>
      <c r="AE80" s="74"/>
      <c r="AF80" s="74"/>
      <c r="AG80" s="74"/>
      <c r="AH80" s="73"/>
      <c r="AI80" s="535"/>
      <c r="AJ80" s="531"/>
      <c r="AK80" s="531"/>
      <c r="AL80" s="531"/>
      <c r="AM80" s="531"/>
      <c r="AN80" s="531"/>
      <c r="AO80" s="531"/>
      <c r="AP80" s="531"/>
      <c r="AQ80" s="531"/>
      <c r="AR80" s="531"/>
      <c r="AS80" s="531"/>
      <c r="AT80" s="531"/>
      <c r="AU80" s="531"/>
      <c r="AV80" s="531"/>
      <c r="AW80" s="531"/>
      <c r="AX80" s="531"/>
      <c r="AY80" s="531"/>
      <c r="AZ80" s="425"/>
      <c r="BA80" s="543"/>
      <c r="BB80" s="543"/>
      <c r="BC80" s="543"/>
      <c r="BD80" s="543"/>
      <c r="BE80" s="543"/>
      <c r="BF80" s="543"/>
      <c r="BG80" s="543"/>
      <c r="BH80" s="543"/>
      <c r="BI80" s="543"/>
      <c r="BJ80" s="543"/>
      <c r="BK80" s="543"/>
      <c r="BL80" s="543"/>
      <c r="BM80" s="543"/>
      <c r="BN80" s="543"/>
      <c r="BO80" s="543"/>
      <c r="BP80" s="543"/>
      <c r="BQ80" s="543"/>
      <c r="BR80" s="265"/>
      <c r="BS80" s="265"/>
      <c r="BT80" s="265"/>
      <c r="BU80" s="265"/>
      <c r="BV80" s="265"/>
      <c r="BW80" s="265"/>
      <c r="BX80" s="265"/>
      <c r="BY80" s="265"/>
      <c r="BZ80" s="265"/>
      <c r="CA80" s="265"/>
      <c r="CB80" s="265"/>
      <c r="CC80" s="265"/>
      <c r="CD80" s="265"/>
      <c r="CE80" s="265"/>
      <c r="CF80" s="265"/>
      <c r="CG80" s="265"/>
      <c r="CH80" s="265"/>
      <c r="CI80" s="265"/>
      <c r="CJ80" s="265"/>
      <c r="CK80" s="543"/>
      <c r="CL80" s="543"/>
      <c r="CM80" s="543"/>
      <c r="CN80" s="543"/>
      <c r="CO80" s="543"/>
      <c r="CP80" s="543"/>
      <c r="CQ80" s="543"/>
      <c r="CR80" s="543"/>
      <c r="CS80" s="543"/>
    </row>
    <row r="81" s="61" customFormat="1" ht="16" customHeight="1" spans="1:97">
      <c r="A81" s="74"/>
      <c r="B81" s="74"/>
      <c r="C81" s="74"/>
      <c r="D81" s="74"/>
      <c r="E81" s="569" t="s">
        <v>264</v>
      </c>
      <c r="F81" s="236" t="e">
        <f>第1期!F81*(1+初始化表!B27/4)+E24</f>
        <v>#DIV/0!</v>
      </c>
      <c r="G81" s="73"/>
      <c r="H81" s="269" t="s">
        <v>524</v>
      </c>
      <c r="I81" s="106" t="e">
        <f>第1期!BN45</f>
        <v>#DIV/0!</v>
      </c>
      <c r="J81" s="77" t="e">
        <f>第1期!BO45</f>
        <v>#DIV/0!</v>
      </c>
      <c r="K81" s="77" t="e">
        <f>第1期!BP45</f>
        <v>#DIV/0!</v>
      </c>
      <c r="L81" s="77" t="e">
        <f>第1期!BQ45</f>
        <v>#DIV/0!</v>
      </c>
      <c r="M81" s="243" t="e">
        <f>SUM(I81:L81)</f>
        <v>#DIV/0!</v>
      </c>
      <c r="N81" s="74"/>
      <c r="O81" s="74"/>
      <c r="P81" s="74"/>
      <c r="Q81" s="74"/>
      <c r="R81" s="74"/>
      <c r="S81" s="74"/>
      <c r="T81" s="120"/>
      <c r="U81" s="74"/>
      <c r="V81" s="74"/>
      <c r="W81" s="74"/>
      <c r="X81" s="74"/>
      <c r="Y81" s="74"/>
      <c r="Z81" s="74"/>
      <c r="AA81" s="73"/>
      <c r="AB81" s="74"/>
      <c r="AC81" s="74"/>
      <c r="AD81" s="74"/>
      <c r="AE81" s="74"/>
      <c r="AF81" s="74"/>
      <c r="AG81" s="74"/>
      <c r="AH81" s="73"/>
      <c r="AZ81" s="425"/>
      <c r="BA81" s="543"/>
      <c r="BB81" s="543"/>
      <c r="BC81" s="543"/>
      <c r="BD81" s="543"/>
      <c r="BE81" s="543"/>
      <c r="BF81" s="543"/>
      <c r="BG81" s="543"/>
      <c r="BH81" s="543"/>
      <c r="BI81" s="543"/>
      <c r="BJ81" s="543"/>
      <c r="BK81" s="543"/>
      <c r="BL81" s="543"/>
      <c r="BM81" s="543"/>
      <c r="BN81" s="543"/>
      <c r="BO81" s="543"/>
      <c r="BP81" s="543"/>
      <c r="BQ81" s="543"/>
      <c r="BR81" s="265"/>
      <c r="BS81" s="265"/>
      <c r="BT81" s="265"/>
      <c r="BU81" s="265"/>
      <c r="BV81" s="265"/>
      <c r="BW81" s="265"/>
      <c r="BX81" s="265"/>
      <c r="BY81" s="265"/>
      <c r="BZ81" s="265"/>
      <c r="CA81" s="265"/>
      <c r="CB81" s="265"/>
      <c r="CC81" s="265"/>
      <c r="CD81" s="265"/>
      <c r="CE81" s="265"/>
      <c r="CF81" s="265"/>
      <c r="CG81" s="265"/>
      <c r="CH81" s="265"/>
      <c r="CI81" s="265"/>
      <c r="CJ81" s="265"/>
      <c r="CK81" s="543"/>
      <c r="CL81" s="543"/>
      <c r="CM81" s="543"/>
      <c r="CN81" s="543"/>
      <c r="CO81" s="543"/>
      <c r="CP81" s="543"/>
      <c r="CQ81" s="543"/>
      <c r="CR81" s="543"/>
      <c r="CS81" s="543"/>
    </row>
    <row r="82" s="61" customFormat="1" ht="16" customHeight="1" spans="1:97">
      <c r="A82" s="74"/>
      <c r="B82" s="74"/>
      <c r="C82" s="74"/>
      <c r="D82" s="74"/>
      <c r="E82" s="569" t="s">
        <v>268</v>
      </c>
      <c r="F82" s="236" t="e">
        <f>B80</f>
        <v>#DIV/0!</v>
      </c>
      <c r="G82" s="73"/>
      <c r="H82" s="570" t="s">
        <v>724</v>
      </c>
      <c r="I82" s="571"/>
      <c r="J82" s="571"/>
      <c r="K82" s="571"/>
      <c r="L82" s="571"/>
      <c r="M82" s="571"/>
      <c r="N82" s="571"/>
      <c r="O82" s="571"/>
      <c r="P82" s="571"/>
      <c r="Q82" s="571"/>
      <c r="R82" s="571"/>
      <c r="S82" s="74"/>
      <c r="T82" s="120"/>
      <c r="U82" s="74"/>
      <c r="V82" s="74"/>
      <c r="W82" s="74"/>
      <c r="X82" s="74"/>
      <c r="Y82" s="74"/>
      <c r="Z82" s="74"/>
      <c r="AA82" s="73"/>
      <c r="AB82" s="74"/>
      <c r="AC82" s="74"/>
      <c r="AD82" s="74"/>
      <c r="AE82" s="74"/>
      <c r="AF82" s="74"/>
      <c r="AG82" s="74"/>
      <c r="AH82" s="73"/>
      <c r="AI82" s="68" t="s">
        <v>488</v>
      </c>
      <c r="AJ82" s="69"/>
      <c r="AK82" s="69"/>
      <c r="AL82" s="69"/>
      <c r="AM82" s="69"/>
      <c r="AN82" s="69"/>
      <c r="AO82" s="69"/>
      <c r="AP82" s="69"/>
      <c r="AQ82" s="69"/>
      <c r="AR82" s="69"/>
      <c r="AS82" s="69"/>
      <c r="AT82" s="69"/>
      <c r="AU82" s="69"/>
      <c r="AV82" s="69"/>
      <c r="AZ82" s="425"/>
      <c r="BA82" s="543"/>
      <c r="BB82" s="543"/>
      <c r="BC82" s="543"/>
      <c r="BD82" s="543"/>
      <c r="BE82" s="543"/>
      <c r="BF82" s="543"/>
      <c r="BG82" s="543"/>
      <c r="BH82" s="543"/>
      <c r="BI82" s="543"/>
      <c r="BJ82" s="543"/>
      <c r="BK82" s="543"/>
      <c r="BL82" s="543"/>
      <c r="BM82" s="543"/>
      <c r="BN82" s="543"/>
      <c r="BO82" s="543"/>
      <c r="BP82" s="543"/>
      <c r="BQ82" s="543"/>
      <c r="BR82" s="265"/>
      <c r="BS82" s="265"/>
      <c r="BT82" s="265"/>
      <c r="BU82" s="265"/>
      <c r="BV82" s="265"/>
      <c r="BW82" s="265"/>
      <c r="BX82" s="265"/>
      <c r="BY82" s="265"/>
      <c r="BZ82" s="265"/>
      <c r="CA82" s="265"/>
      <c r="CB82" s="265"/>
      <c r="CC82" s="265"/>
      <c r="CD82" s="265"/>
      <c r="CE82" s="265"/>
      <c r="CF82" s="265"/>
      <c r="CG82" s="265"/>
      <c r="CH82" s="265"/>
      <c r="CI82" s="265"/>
      <c r="CJ82" s="265"/>
      <c r="CK82" s="543"/>
      <c r="CL82" s="543"/>
      <c r="CM82" s="543"/>
      <c r="CN82" s="543"/>
      <c r="CO82" s="543"/>
      <c r="CP82" s="543"/>
      <c r="CQ82" s="543"/>
      <c r="CR82" s="543"/>
      <c r="CS82" s="543"/>
    </row>
    <row r="83" s="61" customFormat="1" ht="16" customHeight="1" spans="1:97">
      <c r="A83" s="74"/>
      <c r="B83" s="74"/>
      <c r="C83" s="74"/>
      <c r="D83" s="74"/>
      <c r="E83" s="569" t="s">
        <v>270</v>
      </c>
      <c r="F83" s="236" t="e">
        <f>IF(初始化表!B1=1,F77/(L17+K18),F77/L17)</f>
        <v>#DIV/0!</v>
      </c>
      <c r="G83" s="73"/>
      <c r="H83" s="571"/>
      <c r="I83" s="571"/>
      <c r="J83" s="571"/>
      <c r="K83" s="571"/>
      <c r="L83" s="571"/>
      <c r="M83" s="571"/>
      <c r="N83" s="571"/>
      <c r="O83" s="571"/>
      <c r="P83" s="571"/>
      <c r="Q83" s="571"/>
      <c r="R83" s="571"/>
      <c r="S83" s="74"/>
      <c r="T83" s="120"/>
      <c r="U83" s="74"/>
      <c r="V83" s="74"/>
      <c r="W83" s="74"/>
      <c r="X83" s="74"/>
      <c r="Y83" s="74"/>
      <c r="Z83" s="74"/>
      <c r="AA83" s="73"/>
      <c r="AB83" s="74"/>
      <c r="AC83" s="74"/>
      <c r="AD83" s="74"/>
      <c r="AE83" s="74"/>
      <c r="AF83" s="74"/>
      <c r="AG83" s="74"/>
      <c r="AH83" s="73"/>
      <c r="AI83" s="163" t="s">
        <v>37</v>
      </c>
      <c r="AJ83" s="69" t="s">
        <v>343</v>
      </c>
      <c r="AK83" s="69" t="s">
        <v>344</v>
      </c>
      <c r="AL83" s="69" t="s">
        <v>345</v>
      </c>
      <c r="AM83" s="69" t="s">
        <v>346</v>
      </c>
      <c r="AN83" s="69" t="s">
        <v>310</v>
      </c>
      <c r="AO83" s="69" t="s">
        <v>313</v>
      </c>
      <c r="AP83" s="69" t="s">
        <v>347</v>
      </c>
      <c r="AQ83" s="69" t="s">
        <v>264</v>
      </c>
      <c r="AR83" s="69" t="s">
        <v>268</v>
      </c>
      <c r="AS83" s="69" t="s">
        <v>270</v>
      </c>
      <c r="AT83" s="69" t="s">
        <v>272</v>
      </c>
      <c r="AU83" s="69" t="str">
        <f>IF(初始化表!$B1=1,"综合评分","")</f>
        <v/>
      </c>
      <c r="AV83" s="69" t="str">
        <f>IF(初始化表!$B1=1,"总评名次","")</f>
        <v/>
      </c>
      <c r="AZ83" s="425"/>
      <c r="BA83" s="543"/>
      <c r="BB83" s="543"/>
      <c r="BC83" s="543"/>
      <c r="BD83" s="543"/>
      <c r="BE83" s="543"/>
      <c r="BF83" s="543"/>
      <c r="BG83" s="543"/>
      <c r="BH83" s="543"/>
      <c r="BI83" s="543"/>
      <c r="BJ83" s="543"/>
      <c r="BK83" s="543"/>
      <c r="BL83" s="543"/>
      <c r="BM83" s="543"/>
      <c r="BN83" s="543"/>
      <c r="BO83" s="543"/>
      <c r="BP83" s="543"/>
      <c r="BQ83" s="543"/>
      <c r="BR83" s="265"/>
      <c r="BS83" s="265"/>
      <c r="BT83" s="265"/>
      <c r="BU83" s="265"/>
      <c r="BV83" s="265"/>
      <c r="BW83" s="265"/>
      <c r="BX83" s="265"/>
      <c r="BY83" s="265"/>
      <c r="BZ83" s="265"/>
      <c r="CA83" s="265"/>
      <c r="CB83" s="265"/>
      <c r="CC83" s="265"/>
      <c r="CD83" s="265"/>
      <c r="CE83" s="265"/>
      <c r="CF83" s="265"/>
      <c r="CG83" s="265"/>
      <c r="CH83" s="265"/>
      <c r="CI83" s="265"/>
      <c r="CJ83" s="265"/>
      <c r="CK83" s="543"/>
      <c r="CL83" s="543"/>
      <c r="CM83" s="543"/>
      <c r="CN83" s="543"/>
      <c r="CO83" s="543"/>
      <c r="CP83" s="543"/>
      <c r="CQ83" s="543"/>
      <c r="CR83" s="543"/>
      <c r="CS83" s="543"/>
    </row>
    <row r="84" s="61" customFormat="1" ht="16" customHeight="1" spans="1:97">
      <c r="A84" s="74"/>
      <c r="B84" s="74"/>
      <c r="C84" s="74"/>
      <c r="D84" s="74"/>
      <c r="E84" s="569" t="s">
        <v>707</v>
      </c>
      <c r="F84" s="239" t="e">
        <f>F77/(F82+F75+C37)</f>
        <v>#DIV/0!</v>
      </c>
      <c r="G84" s="73"/>
      <c r="H84" s="269" t="s">
        <v>548</v>
      </c>
      <c r="I84" s="269" t="s">
        <v>513</v>
      </c>
      <c r="J84" s="269" t="s">
        <v>514</v>
      </c>
      <c r="K84" s="269" t="s">
        <v>515</v>
      </c>
      <c r="L84" s="269" t="s">
        <v>516</v>
      </c>
      <c r="M84" s="269" t="s">
        <v>549</v>
      </c>
      <c r="N84" s="269" t="s">
        <v>561</v>
      </c>
      <c r="O84" s="269" t="s">
        <v>513</v>
      </c>
      <c r="P84" s="269" t="s">
        <v>514</v>
      </c>
      <c r="Q84" s="269" t="s">
        <v>515</v>
      </c>
      <c r="R84" s="269" t="s">
        <v>516</v>
      </c>
      <c r="S84" s="74"/>
      <c r="T84" s="120"/>
      <c r="U84" s="74"/>
      <c r="V84" s="74"/>
      <c r="W84" s="74"/>
      <c r="X84" s="74"/>
      <c r="Y84" s="74"/>
      <c r="Z84" s="74"/>
      <c r="AA84" s="73"/>
      <c r="AB84" s="74"/>
      <c r="AC84" s="74"/>
      <c r="AD84" s="74"/>
      <c r="AE84" s="74"/>
      <c r="AF84" s="74"/>
      <c r="AG84" s="74"/>
      <c r="AH84" s="73"/>
      <c r="AI84" s="535"/>
      <c r="AJ84" s="529"/>
      <c r="AK84" s="529"/>
      <c r="AL84" s="529"/>
      <c r="AM84" s="529"/>
      <c r="AN84" s="529"/>
      <c r="AO84" s="529"/>
      <c r="AP84" s="529"/>
      <c r="AQ84" s="529"/>
      <c r="AR84" s="529"/>
      <c r="AS84" s="529"/>
      <c r="AT84" s="529"/>
      <c r="AU84" s="261"/>
      <c r="AV84" s="261"/>
      <c r="AZ84" s="425"/>
      <c r="BA84" s="543"/>
      <c r="BB84" s="543"/>
      <c r="BC84" s="543"/>
      <c r="BD84" s="543"/>
      <c r="BE84" s="543"/>
      <c r="BF84" s="543"/>
      <c r="BG84" s="543"/>
      <c r="BH84" s="543"/>
      <c r="BI84" s="543"/>
      <c r="BJ84" s="543"/>
      <c r="BK84" s="543"/>
      <c r="BL84" s="543"/>
      <c r="BM84" s="543"/>
      <c r="BN84" s="543"/>
      <c r="BO84" s="543"/>
      <c r="BP84" s="543"/>
      <c r="BQ84" s="543"/>
      <c r="BR84" s="265"/>
      <c r="BS84" s="265"/>
      <c r="BT84" s="265"/>
      <c r="BU84" s="265"/>
      <c r="BV84" s="265"/>
      <c r="BW84" s="265"/>
      <c r="BX84" s="265"/>
      <c r="BY84" s="265"/>
      <c r="BZ84" s="265"/>
      <c r="CA84" s="265"/>
      <c r="CB84" s="265"/>
      <c r="CC84" s="265"/>
      <c r="CD84" s="265"/>
      <c r="CE84" s="265"/>
      <c r="CF84" s="265"/>
      <c r="CG84" s="265"/>
      <c r="CH84" s="265"/>
      <c r="CI84" s="265"/>
      <c r="CJ84" s="265"/>
      <c r="CK84" s="543"/>
      <c r="CL84" s="543"/>
      <c r="CM84" s="543"/>
      <c r="CN84" s="543"/>
      <c r="CO84" s="543"/>
      <c r="CP84" s="543"/>
      <c r="CQ84" s="543"/>
      <c r="CR84" s="543"/>
      <c r="CS84" s="543"/>
    </row>
    <row r="85" s="61" customFormat="1" ht="16" customHeight="1" spans="1:97">
      <c r="A85" s="74"/>
      <c r="B85" s="74"/>
      <c r="C85" s="74"/>
      <c r="D85" s="74"/>
      <c r="E85" s="74"/>
      <c r="F85" s="74"/>
      <c r="G85" s="73"/>
      <c r="H85" s="269" t="s">
        <v>521</v>
      </c>
      <c r="I85" s="115">
        <f>V17</f>
        <v>0</v>
      </c>
      <c r="J85" s="115">
        <f t="shared" ref="J85:L88" si="64">W17</f>
        <v>0</v>
      </c>
      <c r="K85" s="115">
        <f t="shared" si="64"/>
        <v>0</v>
      </c>
      <c r="L85" s="115">
        <f t="shared" si="64"/>
        <v>0</v>
      </c>
      <c r="M85" s="115">
        <f>SUM(I85:L85)</f>
        <v>0</v>
      </c>
      <c r="N85" s="269" t="s">
        <v>521</v>
      </c>
      <c r="O85" s="115" t="e">
        <f>V23</f>
        <v>#DIV/0!</v>
      </c>
      <c r="P85" s="115" t="e">
        <f t="shared" ref="P85:R85" si="65">W23</f>
        <v>#DIV/0!</v>
      </c>
      <c r="Q85" s="115" t="e">
        <f t="shared" si="65"/>
        <v>#DIV/0!</v>
      </c>
      <c r="R85" s="115" t="e">
        <f t="shared" si="65"/>
        <v>#DIV/0!</v>
      </c>
      <c r="S85" s="74"/>
      <c r="T85" s="120"/>
      <c r="U85" s="74"/>
      <c r="V85" s="74"/>
      <c r="W85" s="74"/>
      <c r="X85" s="74"/>
      <c r="Y85" s="74"/>
      <c r="Z85" s="74"/>
      <c r="AA85" s="73"/>
      <c r="AB85" s="74"/>
      <c r="AC85" s="74"/>
      <c r="AD85" s="74"/>
      <c r="AE85" s="74"/>
      <c r="AF85" s="74"/>
      <c r="AG85" s="74"/>
      <c r="AH85" s="73"/>
      <c r="AI85" s="535"/>
      <c r="AJ85" s="529"/>
      <c r="AK85" s="529"/>
      <c r="AL85" s="529"/>
      <c r="AM85" s="529"/>
      <c r="AN85" s="529"/>
      <c r="AO85" s="529"/>
      <c r="AP85" s="529"/>
      <c r="AQ85" s="529"/>
      <c r="AR85" s="529"/>
      <c r="AS85" s="529"/>
      <c r="AT85" s="529"/>
      <c r="AU85" s="261"/>
      <c r="AV85" s="261"/>
      <c r="AZ85" s="425"/>
      <c r="BA85" s="543"/>
      <c r="BB85" s="543"/>
      <c r="BC85" s="543"/>
      <c r="BD85" s="543"/>
      <c r="BE85" s="543"/>
      <c r="BF85" s="543"/>
      <c r="BG85" s="543"/>
      <c r="BH85" s="543"/>
      <c r="BI85" s="543"/>
      <c r="BJ85" s="543"/>
      <c r="BK85" s="543"/>
      <c r="BL85" s="543"/>
      <c r="BM85" s="543"/>
      <c r="BN85" s="543"/>
      <c r="BO85" s="543"/>
      <c r="BP85" s="543"/>
      <c r="BQ85" s="543"/>
      <c r="BR85" s="265"/>
      <c r="BS85" s="265"/>
      <c r="BT85" s="265"/>
      <c r="BU85" s="265"/>
      <c r="BV85" s="265"/>
      <c r="BW85" s="265"/>
      <c r="BX85" s="265"/>
      <c r="BY85" s="265"/>
      <c r="BZ85" s="265"/>
      <c r="CA85" s="265"/>
      <c r="CB85" s="265"/>
      <c r="CC85" s="265"/>
      <c r="CD85" s="265"/>
      <c r="CE85" s="265"/>
      <c r="CF85" s="265"/>
      <c r="CG85" s="265"/>
      <c r="CH85" s="265"/>
      <c r="CI85" s="265"/>
      <c r="CJ85" s="265"/>
      <c r="CK85" s="543"/>
      <c r="CL85" s="543"/>
      <c r="CM85" s="543"/>
      <c r="CN85" s="543"/>
      <c r="CO85" s="543"/>
      <c r="CP85" s="543"/>
      <c r="CQ85" s="543"/>
      <c r="CR85" s="543"/>
      <c r="CS85" s="543"/>
    </row>
    <row r="86" s="61" customFormat="1" ht="16" customHeight="1" spans="1:97">
      <c r="A86" s="74"/>
      <c r="B86" s="74"/>
      <c r="C86" s="74"/>
      <c r="D86" s="74"/>
      <c r="E86" s="74"/>
      <c r="F86" s="74"/>
      <c r="G86" s="73"/>
      <c r="H86" s="269" t="s">
        <v>522</v>
      </c>
      <c r="I86" s="115">
        <f t="shared" ref="I86:I88" si="66">V18</f>
        <v>0</v>
      </c>
      <c r="J86" s="115">
        <f t="shared" ref="J86:J88" si="67">W18</f>
        <v>0</v>
      </c>
      <c r="K86" s="115">
        <f t="shared" si="64"/>
        <v>0</v>
      </c>
      <c r="L86" s="115">
        <f t="shared" si="64"/>
        <v>0</v>
      </c>
      <c r="M86" s="115">
        <f t="shared" ref="M86:M88" si="68">SUM(I86:L86)</f>
        <v>0</v>
      </c>
      <c r="N86" s="269" t="s">
        <v>522</v>
      </c>
      <c r="O86" s="115" t="e">
        <f t="shared" ref="O86:O88" si="69">V24</f>
        <v>#DIV/0!</v>
      </c>
      <c r="P86" s="115" t="e">
        <f t="shared" ref="P86:P88" si="70">W24</f>
        <v>#DIV/0!</v>
      </c>
      <c r="Q86" s="115" t="e">
        <f t="shared" ref="Q86:Q88" si="71">X24</f>
        <v>#DIV/0!</v>
      </c>
      <c r="R86" s="115" t="e">
        <f t="shared" ref="R86:R88" si="72">Y24</f>
        <v>#DIV/0!</v>
      </c>
      <c r="S86" s="74"/>
      <c r="T86" s="120"/>
      <c r="U86" s="74"/>
      <c r="V86" s="74"/>
      <c r="W86" s="74"/>
      <c r="X86" s="74"/>
      <c r="Y86" s="74"/>
      <c r="Z86" s="74"/>
      <c r="AA86" s="73"/>
      <c r="AB86" s="74"/>
      <c r="AC86" s="74"/>
      <c r="AD86" s="74"/>
      <c r="AE86" s="74"/>
      <c r="AF86" s="74"/>
      <c r="AG86" s="74"/>
      <c r="AH86" s="73"/>
      <c r="AI86" s="535"/>
      <c r="AJ86" s="529"/>
      <c r="AK86" s="529"/>
      <c r="AL86" s="529"/>
      <c r="AM86" s="529"/>
      <c r="AN86" s="529"/>
      <c r="AO86" s="529"/>
      <c r="AP86" s="529"/>
      <c r="AQ86" s="529"/>
      <c r="AR86" s="529"/>
      <c r="AS86" s="529"/>
      <c r="AT86" s="529"/>
      <c r="AU86" s="261"/>
      <c r="AV86" s="261"/>
      <c r="AZ86" s="425"/>
      <c r="BA86" s="543"/>
      <c r="BB86" s="543"/>
      <c r="BC86" s="543"/>
      <c r="BD86" s="543"/>
      <c r="BE86" s="543"/>
      <c r="BF86" s="543"/>
      <c r="BG86" s="543"/>
      <c r="BH86" s="543"/>
      <c r="BI86" s="543"/>
      <c r="BJ86" s="543"/>
      <c r="BK86" s="543"/>
      <c r="BL86" s="543"/>
      <c r="BM86" s="543"/>
      <c r="BN86" s="543"/>
      <c r="BO86" s="543"/>
      <c r="BP86" s="543"/>
      <c r="BQ86" s="543"/>
      <c r="BR86" s="265"/>
      <c r="BS86" s="265"/>
      <c r="BT86" s="265"/>
      <c r="BU86" s="265"/>
      <c r="BV86" s="265"/>
      <c r="BW86" s="265"/>
      <c r="BX86" s="265"/>
      <c r="BY86" s="265"/>
      <c r="BZ86" s="265"/>
      <c r="CA86" s="265"/>
      <c r="CB86" s="265"/>
      <c r="CC86" s="265"/>
      <c r="CD86" s="265"/>
      <c r="CE86" s="265"/>
      <c r="CF86" s="265"/>
      <c r="CG86" s="265"/>
      <c r="CH86" s="265"/>
      <c r="CI86" s="265"/>
      <c r="CJ86" s="265"/>
      <c r="CK86" s="543"/>
      <c r="CL86" s="543"/>
      <c r="CM86" s="543"/>
      <c r="CN86" s="543"/>
      <c r="CO86" s="543"/>
      <c r="CP86" s="543"/>
      <c r="CQ86" s="543"/>
      <c r="CR86" s="543"/>
      <c r="CS86" s="543"/>
    </row>
    <row r="87" s="61" customFormat="1" ht="16" customHeight="1" spans="1:97">
      <c r="A87" s="74"/>
      <c r="B87" s="74"/>
      <c r="C87" s="74"/>
      <c r="D87" s="74"/>
      <c r="E87" s="74"/>
      <c r="F87" s="74"/>
      <c r="G87" s="73"/>
      <c r="H87" s="269" t="s">
        <v>523</v>
      </c>
      <c r="I87" s="115">
        <f t="shared" si="66"/>
        <v>0</v>
      </c>
      <c r="J87" s="115">
        <f t="shared" si="67"/>
        <v>0</v>
      </c>
      <c r="K87" s="115">
        <f t="shared" si="64"/>
        <v>0</v>
      </c>
      <c r="L87" s="115">
        <f t="shared" si="64"/>
        <v>0</v>
      </c>
      <c r="M87" s="115">
        <f t="shared" si="68"/>
        <v>0</v>
      </c>
      <c r="N87" s="269" t="s">
        <v>523</v>
      </c>
      <c r="O87" s="115" t="e">
        <f t="shared" si="69"/>
        <v>#DIV/0!</v>
      </c>
      <c r="P87" s="115" t="e">
        <f t="shared" si="70"/>
        <v>#DIV/0!</v>
      </c>
      <c r="Q87" s="115" t="e">
        <f t="shared" si="71"/>
        <v>#DIV/0!</v>
      </c>
      <c r="R87" s="115" t="e">
        <f t="shared" si="72"/>
        <v>#DIV/0!</v>
      </c>
      <c r="S87" s="74"/>
      <c r="T87" s="120"/>
      <c r="U87" s="74"/>
      <c r="V87" s="74"/>
      <c r="W87" s="74"/>
      <c r="X87" s="74"/>
      <c r="Y87" s="74"/>
      <c r="Z87" s="74"/>
      <c r="AA87" s="73"/>
      <c r="AB87" s="74"/>
      <c r="AC87" s="74"/>
      <c r="AD87" s="74"/>
      <c r="AE87" s="74"/>
      <c r="AF87" s="74"/>
      <c r="AG87" s="74"/>
      <c r="AH87" s="73"/>
      <c r="AI87" s="535"/>
      <c r="AJ87" s="529"/>
      <c r="AK87" s="529"/>
      <c r="AL87" s="529"/>
      <c r="AM87" s="529"/>
      <c r="AN87" s="529"/>
      <c r="AO87" s="529"/>
      <c r="AP87" s="529"/>
      <c r="AQ87" s="529"/>
      <c r="AR87" s="529"/>
      <c r="AS87" s="529"/>
      <c r="AT87" s="529"/>
      <c r="AU87" s="261"/>
      <c r="AV87" s="261"/>
      <c r="AZ87" s="425"/>
      <c r="BA87" s="543"/>
      <c r="BB87" s="543"/>
      <c r="BC87" s="543"/>
      <c r="BD87" s="543"/>
      <c r="BE87" s="543"/>
      <c r="BF87" s="543"/>
      <c r="BG87" s="543"/>
      <c r="BH87" s="543"/>
      <c r="BI87" s="543"/>
      <c r="BJ87" s="543"/>
      <c r="BK87" s="543"/>
      <c r="BL87" s="543"/>
      <c r="BM87" s="543"/>
      <c r="BN87" s="543"/>
      <c r="BO87" s="543"/>
      <c r="BP87" s="543"/>
      <c r="BQ87" s="543"/>
      <c r="BR87" s="265"/>
      <c r="BS87" s="265"/>
      <c r="BT87" s="265"/>
      <c r="BU87" s="265"/>
      <c r="BV87" s="265"/>
      <c r="BW87" s="265"/>
      <c r="BX87" s="265"/>
      <c r="BY87" s="265"/>
      <c r="BZ87" s="265"/>
      <c r="CA87" s="265"/>
      <c r="CB87" s="265"/>
      <c r="CC87" s="265"/>
      <c r="CD87" s="265"/>
      <c r="CE87" s="265"/>
      <c r="CF87" s="265"/>
      <c r="CG87" s="265"/>
      <c r="CH87" s="265"/>
      <c r="CI87" s="265"/>
      <c r="CJ87" s="265"/>
      <c r="CK87" s="543"/>
      <c r="CL87" s="543"/>
      <c r="CM87" s="543"/>
      <c r="CN87" s="543"/>
      <c r="CO87" s="543"/>
      <c r="CP87" s="543"/>
      <c r="CQ87" s="543"/>
      <c r="CR87" s="543"/>
      <c r="CS87" s="543"/>
    </row>
    <row r="88" s="61" customFormat="1" ht="16" customHeight="1" spans="1:97">
      <c r="A88" s="74"/>
      <c r="B88" s="74"/>
      <c r="C88" s="74"/>
      <c r="D88" s="74"/>
      <c r="E88" s="74"/>
      <c r="F88" s="74"/>
      <c r="G88" s="73"/>
      <c r="H88" s="269" t="s">
        <v>524</v>
      </c>
      <c r="I88" s="115">
        <f t="shared" si="66"/>
        <v>0</v>
      </c>
      <c r="J88" s="115">
        <f t="shared" si="67"/>
        <v>0</v>
      </c>
      <c r="K88" s="115">
        <f t="shared" si="64"/>
        <v>0</v>
      </c>
      <c r="L88" s="115">
        <f t="shared" si="64"/>
        <v>0</v>
      </c>
      <c r="M88" s="115">
        <f t="shared" si="68"/>
        <v>0</v>
      </c>
      <c r="N88" s="269" t="s">
        <v>524</v>
      </c>
      <c r="O88" s="115" t="e">
        <f t="shared" si="69"/>
        <v>#DIV/0!</v>
      </c>
      <c r="P88" s="115" t="e">
        <f t="shared" si="70"/>
        <v>#DIV/0!</v>
      </c>
      <c r="Q88" s="115" t="e">
        <f t="shared" si="71"/>
        <v>#DIV/0!</v>
      </c>
      <c r="R88" s="115" t="e">
        <f t="shared" si="72"/>
        <v>#DIV/0!</v>
      </c>
      <c r="S88" s="74"/>
      <c r="T88" s="120"/>
      <c r="U88" s="74"/>
      <c r="V88" s="74"/>
      <c r="W88" s="74"/>
      <c r="X88" s="74"/>
      <c r="Y88" s="74"/>
      <c r="Z88" s="74"/>
      <c r="AA88" s="73"/>
      <c r="AB88" s="74"/>
      <c r="AC88" s="74"/>
      <c r="AD88" s="74"/>
      <c r="AE88" s="74"/>
      <c r="AF88" s="74"/>
      <c r="AG88" s="74"/>
      <c r="AH88" s="73"/>
      <c r="AI88" s="535"/>
      <c r="AJ88" s="529"/>
      <c r="AK88" s="529"/>
      <c r="AL88" s="529"/>
      <c r="AM88" s="529"/>
      <c r="AN88" s="529"/>
      <c r="AO88" s="529"/>
      <c r="AP88" s="529"/>
      <c r="AQ88" s="529"/>
      <c r="AR88" s="529"/>
      <c r="AS88" s="529"/>
      <c r="AT88" s="529"/>
      <c r="AU88" s="261"/>
      <c r="AV88" s="261"/>
      <c r="AZ88" s="425"/>
      <c r="BA88" s="543"/>
      <c r="BB88" s="543"/>
      <c r="BC88" s="543"/>
      <c r="BD88" s="543"/>
      <c r="BE88" s="543"/>
      <c r="BF88" s="543"/>
      <c r="BG88" s="543"/>
      <c r="BH88" s="543"/>
      <c r="BI88" s="543"/>
      <c r="BJ88" s="543"/>
      <c r="BK88" s="543"/>
      <c r="BL88" s="543"/>
      <c r="BM88" s="543"/>
      <c r="BN88" s="543"/>
      <c r="BO88" s="543"/>
      <c r="BP88" s="543"/>
      <c r="BQ88" s="543"/>
      <c r="BR88" s="265"/>
      <c r="BS88" s="265"/>
      <c r="BT88" s="265"/>
      <c r="BU88" s="265"/>
      <c r="BV88" s="265"/>
      <c r="BW88" s="265"/>
      <c r="BX88" s="265"/>
      <c r="BY88" s="265"/>
      <c r="BZ88" s="265"/>
      <c r="CA88" s="265"/>
      <c r="CB88" s="265"/>
      <c r="CC88" s="265"/>
      <c r="CD88" s="265"/>
      <c r="CE88" s="265"/>
      <c r="CF88" s="265"/>
      <c r="CG88" s="265"/>
      <c r="CH88" s="265"/>
      <c r="CI88" s="265"/>
      <c r="CJ88" s="265"/>
      <c r="CK88" s="543"/>
      <c r="CL88" s="543"/>
      <c r="CM88" s="543"/>
      <c r="CN88" s="543"/>
      <c r="CO88" s="543"/>
      <c r="CP88" s="543"/>
      <c r="CQ88" s="543"/>
      <c r="CR88" s="543"/>
      <c r="CS88" s="543"/>
    </row>
    <row r="89" s="61" customFormat="1" ht="16" customHeight="1" spans="1:97">
      <c r="A89" s="74"/>
      <c r="B89" s="74"/>
      <c r="C89" s="74"/>
      <c r="D89" s="74"/>
      <c r="E89" s="74"/>
      <c r="F89" s="74"/>
      <c r="G89" s="73"/>
      <c r="H89" s="74"/>
      <c r="I89" s="74"/>
      <c r="J89" s="74"/>
      <c r="K89" s="74"/>
      <c r="L89" s="74"/>
      <c r="M89" s="85"/>
      <c r="N89" s="74"/>
      <c r="O89" s="74"/>
      <c r="P89" s="74"/>
      <c r="Q89" s="74"/>
      <c r="R89" s="74"/>
      <c r="S89" s="74"/>
      <c r="T89" s="120"/>
      <c r="U89" s="74"/>
      <c r="V89" s="74"/>
      <c r="W89" s="74"/>
      <c r="X89" s="74"/>
      <c r="Y89" s="74"/>
      <c r="Z89" s="74"/>
      <c r="AA89" s="73"/>
      <c r="AB89" s="74"/>
      <c r="AC89" s="74"/>
      <c r="AD89" s="74"/>
      <c r="AE89" s="74"/>
      <c r="AF89" s="74"/>
      <c r="AG89" s="74"/>
      <c r="AH89" s="73"/>
      <c r="AI89" s="535"/>
      <c r="AJ89" s="529"/>
      <c r="AK89" s="529"/>
      <c r="AL89" s="529"/>
      <c r="AM89" s="529"/>
      <c r="AN89" s="529"/>
      <c r="AO89" s="529"/>
      <c r="AP89" s="529"/>
      <c r="AQ89" s="529"/>
      <c r="AR89" s="529"/>
      <c r="AS89" s="529"/>
      <c r="AT89" s="529"/>
      <c r="AU89" s="261"/>
      <c r="AV89" s="261"/>
      <c r="AZ89" s="425"/>
      <c r="BA89" s="543"/>
      <c r="BB89" s="543"/>
      <c r="BC89" s="543"/>
      <c r="BD89" s="543"/>
      <c r="BE89" s="543"/>
      <c r="BF89" s="543"/>
      <c r="BG89" s="543"/>
      <c r="BH89" s="543"/>
      <c r="BI89" s="543"/>
      <c r="BJ89" s="543"/>
      <c r="BK89" s="543"/>
      <c r="BL89" s="543"/>
      <c r="BM89" s="543"/>
      <c r="BN89" s="543"/>
      <c r="BO89" s="543"/>
      <c r="BP89" s="543"/>
      <c r="BQ89" s="543"/>
      <c r="BR89" s="265"/>
      <c r="BS89" s="265"/>
      <c r="BT89" s="265"/>
      <c r="BU89" s="265"/>
      <c r="BV89" s="265"/>
      <c r="BW89" s="265"/>
      <c r="BX89" s="265"/>
      <c r="BY89" s="265"/>
      <c r="BZ89" s="265"/>
      <c r="CA89" s="265"/>
      <c r="CB89" s="265"/>
      <c r="CC89" s="265"/>
      <c r="CD89" s="265"/>
      <c r="CE89" s="265"/>
      <c r="CF89" s="265"/>
      <c r="CG89" s="265"/>
      <c r="CH89" s="265"/>
      <c r="CI89" s="265"/>
      <c r="CJ89" s="265"/>
      <c r="CK89" s="543"/>
      <c r="CL89" s="543"/>
      <c r="CM89" s="543"/>
      <c r="CN89" s="543"/>
      <c r="CO89" s="543"/>
      <c r="CP89" s="543"/>
      <c r="CQ89" s="543"/>
      <c r="CR89" s="543"/>
      <c r="CS89" s="543"/>
    </row>
    <row r="90" s="61" customFormat="1" ht="16" customHeight="1" spans="1:97">
      <c r="A90" s="74"/>
      <c r="B90" s="74"/>
      <c r="C90" s="74"/>
      <c r="D90" s="74"/>
      <c r="E90" s="74"/>
      <c r="F90" s="74"/>
      <c r="G90" s="73"/>
      <c r="H90" s="74"/>
      <c r="I90" s="74"/>
      <c r="J90" s="74"/>
      <c r="K90" s="74"/>
      <c r="L90" s="74"/>
      <c r="M90" s="85"/>
      <c r="N90" s="151" t="s">
        <v>562</v>
      </c>
      <c r="O90" s="151" t="s">
        <v>459</v>
      </c>
      <c r="P90" s="151" t="s">
        <v>460</v>
      </c>
      <c r="Q90" s="151" t="s">
        <v>461</v>
      </c>
      <c r="R90" s="151" t="s">
        <v>462</v>
      </c>
      <c r="S90" s="74"/>
      <c r="T90" s="120"/>
      <c r="U90" s="74"/>
      <c r="V90" s="74"/>
      <c r="W90" s="74"/>
      <c r="X90" s="74"/>
      <c r="Y90" s="74"/>
      <c r="Z90" s="74"/>
      <c r="AA90" s="73"/>
      <c r="AB90" s="74"/>
      <c r="AC90" s="74"/>
      <c r="AD90" s="74"/>
      <c r="AE90" s="74"/>
      <c r="AF90" s="74"/>
      <c r="AG90" s="74"/>
      <c r="AH90" s="73"/>
      <c r="AI90" s="535"/>
      <c r="AJ90" s="529"/>
      <c r="AK90" s="529"/>
      <c r="AL90" s="529"/>
      <c r="AM90" s="529"/>
      <c r="AN90" s="529"/>
      <c r="AO90" s="529"/>
      <c r="AP90" s="529"/>
      <c r="AQ90" s="529"/>
      <c r="AR90" s="529"/>
      <c r="AS90" s="529"/>
      <c r="AT90" s="529"/>
      <c r="AU90" s="261"/>
      <c r="AV90" s="261"/>
      <c r="AZ90" s="425"/>
      <c r="BA90" s="543"/>
      <c r="BB90" s="543"/>
      <c r="BC90" s="543"/>
      <c r="BD90" s="543"/>
      <c r="BE90" s="543"/>
      <c r="BF90" s="543"/>
      <c r="BG90" s="543"/>
      <c r="BH90" s="543"/>
      <c r="BI90" s="543"/>
      <c r="BJ90" s="543"/>
      <c r="BK90" s="543"/>
      <c r="BL90" s="543"/>
      <c r="BM90" s="543"/>
      <c r="BN90" s="543"/>
      <c r="BO90" s="543"/>
      <c r="BP90" s="543"/>
      <c r="BQ90" s="543"/>
      <c r="BR90" s="265"/>
      <c r="BS90" s="265"/>
      <c r="BT90" s="265"/>
      <c r="BU90" s="265"/>
      <c r="BV90" s="265"/>
      <c r="BW90" s="265"/>
      <c r="BX90" s="265"/>
      <c r="BY90" s="265"/>
      <c r="BZ90" s="265"/>
      <c r="CA90" s="265"/>
      <c r="CB90" s="265"/>
      <c r="CC90" s="265"/>
      <c r="CD90" s="265"/>
      <c r="CE90" s="265"/>
      <c r="CF90" s="265"/>
      <c r="CG90" s="265"/>
      <c r="CH90" s="265"/>
      <c r="CI90" s="265"/>
      <c r="CJ90" s="265"/>
      <c r="CK90" s="543"/>
      <c r="CL90" s="543"/>
      <c r="CM90" s="543"/>
      <c r="CN90" s="543"/>
      <c r="CO90" s="543"/>
      <c r="CP90" s="543"/>
      <c r="CQ90" s="543"/>
      <c r="CR90" s="543"/>
      <c r="CS90" s="543"/>
    </row>
    <row r="91" s="61" customFormat="1" ht="16" customHeight="1" spans="1:97">
      <c r="A91" s="74"/>
      <c r="B91" s="74"/>
      <c r="C91" s="74"/>
      <c r="D91" s="74"/>
      <c r="E91" s="74"/>
      <c r="F91" s="74"/>
      <c r="G91" s="73"/>
      <c r="H91" s="74"/>
      <c r="I91" s="74"/>
      <c r="J91" s="74"/>
      <c r="K91" s="74"/>
      <c r="L91" s="74"/>
      <c r="M91" s="85"/>
      <c r="N91" s="151" t="s">
        <v>464</v>
      </c>
      <c r="O91" s="157" t="e">
        <f>IF(O20="","",AC23)</f>
        <v>#DIV/0!</v>
      </c>
      <c r="P91" s="157" t="e">
        <f t="shared" ref="P91:R91" si="73">IF(P20="","",AD23)</f>
        <v>#DIV/0!</v>
      </c>
      <c r="Q91" s="157" t="e">
        <f t="shared" si="73"/>
        <v>#DIV/0!</v>
      </c>
      <c r="R91" s="157" t="e">
        <f t="shared" si="73"/>
        <v>#DIV/0!</v>
      </c>
      <c r="S91" s="74"/>
      <c r="T91" s="120"/>
      <c r="U91" s="74"/>
      <c r="V91" s="74"/>
      <c r="W91" s="74"/>
      <c r="X91" s="74"/>
      <c r="Y91" s="74"/>
      <c r="Z91" s="74"/>
      <c r="AA91" s="73"/>
      <c r="AB91" s="74"/>
      <c r="AC91" s="74"/>
      <c r="AD91" s="74"/>
      <c r="AE91" s="74"/>
      <c r="AF91" s="74"/>
      <c r="AG91" s="74"/>
      <c r="AH91" s="73"/>
      <c r="AI91" s="535"/>
      <c r="AJ91" s="529"/>
      <c r="AK91" s="529"/>
      <c r="AL91" s="529"/>
      <c r="AM91" s="529"/>
      <c r="AN91" s="529"/>
      <c r="AO91" s="529"/>
      <c r="AP91" s="529"/>
      <c r="AQ91" s="529"/>
      <c r="AR91" s="529"/>
      <c r="AS91" s="529"/>
      <c r="AT91" s="529"/>
      <c r="AU91" s="261"/>
      <c r="AV91" s="261"/>
      <c r="AZ91" s="425"/>
      <c r="BA91" s="543"/>
      <c r="BB91" s="543"/>
      <c r="BC91" s="543"/>
      <c r="BD91" s="543"/>
      <c r="BE91" s="543"/>
      <c r="BF91" s="543"/>
      <c r="BG91" s="543"/>
      <c r="BH91" s="543"/>
      <c r="BI91" s="543"/>
      <c r="BJ91" s="543"/>
      <c r="BK91" s="543"/>
      <c r="BL91" s="543"/>
      <c r="BM91" s="543"/>
      <c r="BN91" s="543"/>
      <c r="BO91" s="543"/>
      <c r="BP91" s="543"/>
      <c r="BQ91" s="543"/>
      <c r="BR91" s="265"/>
      <c r="BS91" s="265"/>
      <c r="BT91" s="265"/>
      <c r="BU91" s="265"/>
      <c r="BV91" s="265"/>
      <c r="BW91" s="265"/>
      <c r="BX91" s="265"/>
      <c r="BY91" s="265"/>
      <c r="BZ91" s="265"/>
      <c r="CA91" s="265"/>
      <c r="CB91" s="265"/>
      <c r="CC91" s="265"/>
      <c r="CD91" s="265"/>
      <c r="CE91" s="265"/>
      <c r="CF91" s="265"/>
      <c r="CG91" s="265"/>
      <c r="CH91" s="265"/>
      <c r="CI91" s="265"/>
      <c r="CJ91" s="265"/>
      <c r="CK91" s="543"/>
      <c r="CL91" s="543"/>
      <c r="CM91" s="543"/>
      <c r="CN91" s="543"/>
      <c r="CO91" s="543"/>
      <c r="CP91" s="543"/>
      <c r="CQ91" s="543"/>
      <c r="CR91" s="543"/>
      <c r="CS91" s="543"/>
    </row>
    <row r="92" s="61" customFormat="1" ht="16" customHeight="1" spans="1:97">
      <c r="A92" s="74"/>
      <c r="B92" s="74"/>
      <c r="C92" s="74"/>
      <c r="D92" s="74"/>
      <c r="E92" s="74"/>
      <c r="F92" s="74"/>
      <c r="G92" s="73"/>
      <c r="H92" s="74"/>
      <c r="I92" s="74"/>
      <c r="J92" s="74"/>
      <c r="K92" s="74"/>
      <c r="L92" s="74"/>
      <c r="M92" s="85"/>
      <c r="N92" s="151" t="s">
        <v>465</v>
      </c>
      <c r="O92" s="157" t="e">
        <f t="shared" ref="O92:O94" si="74">IF(O21="","",AC24)</f>
        <v>#DIV/0!</v>
      </c>
      <c r="P92" s="157" t="e">
        <f t="shared" ref="P92:P94" si="75">IF(P21="","",AD24)</f>
        <v>#DIV/0!</v>
      </c>
      <c r="Q92" s="157" t="e">
        <f t="shared" ref="Q92:Q94" si="76">IF(Q21="","",AE24)</f>
        <v>#DIV/0!</v>
      </c>
      <c r="R92" s="157" t="e">
        <f t="shared" ref="R92:R94" si="77">IF(R21="","",AF24)</f>
        <v>#DIV/0!</v>
      </c>
      <c r="S92" s="74"/>
      <c r="T92" s="120"/>
      <c r="U92" s="74"/>
      <c r="V92" s="74"/>
      <c r="W92" s="74"/>
      <c r="X92" s="74"/>
      <c r="Y92" s="74"/>
      <c r="Z92" s="74"/>
      <c r="AA92" s="73"/>
      <c r="AB92" s="74"/>
      <c r="AC92" s="74"/>
      <c r="AD92" s="74"/>
      <c r="AE92" s="74"/>
      <c r="AF92" s="74"/>
      <c r="AG92" s="74"/>
      <c r="AH92" s="73"/>
      <c r="AI92" s="535"/>
      <c r="AJ92" s="529"/>
      <c r="AK92" s="529"/>
      <c r="AL92" s="529"/>
      <c r="AM92" s="529"/>
      <c r="AN92" s="529"/>
      <c r="AO92" s="529"/>
      <c r="AP92" s="529"/>
      <c r="AQ92" s="529"/>
      <c r="AR92" s="529"/>
      <c r="AS92" s="529"/>
      <c r="AT92" s="529"/>
      <c r="AU92" s="261"/>
      <c r="AV92" s="261"/>
      <c r="AZ92" s="425"/>
      <c r="BA92" s="543"/>
      <c r="BB92" s="543"/>
      <c r="BC92" s="543"/>
      <c r="BD92" s="543"/>
      <c r="BE92" s="543"/>
      <c r="BF92" s="543"/>
      <c r="BG92" s="543"/>
      <c r="BH92" s="543"/>
      <c r="BI92" s="543"/>
      <c r="BJ92" s="543"/>
      <c r="BK92" s="543"/>
      <c r="BL92" s="543"/>
      <c r="BM92" s="543"/>
      <c r="BN92" s="543"/>
      <c r="BO92" s="543"/>
      <c r="BP92" s="543"/>
      <c r="BQ92" s="543"/>
      <c r="BR92" s="265"/>
      <c r="BS92" s="265"/>
      <c r="BT92" s="265"/>
      <c r="BU92" s="265"/>
      <c r="BV92" s="265"/>
      <c r="BW92" s="265"/>
      <c r="BX92" s="265"/>
      <c r="BY92" s="265"/>
      <c r="BZ92" s="265"/>
      <c r="CA92" s="265"/>
      <c r="CB92" s="265"/>
      <c r="CC92" s="265"/>
      <c r="CD92" s="265"/>
      <c r="CE92" s="265"/>
      <c r="CF92" s="265"/>
      <c r="CG92" s="265"/>
      <c r="CH92" s="265"/>
      <c r="CI92" s="265"/>
      <c r="CJ92" s="265"/>
      <c r="CK92" s="543"/>
      <c r="CL92" s="543"/>
      <c r="CM92" s="543"/>
      <c r="CN92" s="543"/>
      <c r="CO92" s="543"/>
      <c r="CP92" s="543"/>
      <c r="CQ92" s="543"/>
      <c r="CR92" s="543"/>
      <c r="CS92" s="543"/>
    </row>
    <row r="93" s="61" customFormat="1" ht="16" customHeight="1" spans="1:97">
      <c r="A93" s="74"/>
      <c r="B93" s="74"/>
      <c r="C93" s="74"/>
      <c r="D93" s="74"/>
      <c r="E93" s="74"/>
      <c r="F93" s="74"/>
      <c r="G93" s="73"/>
      <c r="H93" s="74"/>
      <c r="I93" s="74"/>
      <c r="J93" s="74"/>
      <c r="K93" s="74"/>
      <c r="L93" s="74"/>
      <c r="M93" s="85"/>
      <c r="N93" s="151" t="s">
        <v>466</v>
      </c>
      <c r="O93" s="157" t="e">
        <f t="shared" si="74"/>
        <v>#DIV/0!</v>
      </c>
      <c r="P93" s="157" t="e">
        <f t="shared" si="75"/>
        <v>#DIV/0!</v>
      </c>
      <c r="Q93" s="157" t="e">
        <f t="shared" si="76"/>
        <v>#DIV/0!</v>
      </c>
      <c r="R93" s="157" t="e">
        <f t="shared" si="77"/>
        <v>#DIV/0!</v>
      </c>
      <c r="S93" s="74"/>
      <c r="T93" s="120"/>
      <c r="U93" s="74"/>
      <c r="V93" s="74"/>
      <c r="W93" s="74"/>
      <c r="X93" s="74"/>
      <c r="Y93" s="74"/>
      <c r="Z93" s="74"/>
      <c r="AA93" s="73"/>
      <c r="AB93" s="74"/>
      <c r="AC93" s="74"/>
      <c r="AD93" s="74"/>
      <c r="AE93" s="74"/>
      <c r="AF93" s="74"/>
      <c r="AG93" s="74"/>
      <c r="AH93" s="73"/>
      <c r="AI93" s="535"/>
      <c r="AJ93" s="529"/>
      <c r="AK93" s="529"/>
      <c r="AL93" s="529"/>
      <c r="AM93" s="529"/>
      <c r="AN93" s="529"/>
      <c r="AO93" s="529"/>
      <c r="AP93" s="529"/>
      <c r="AQ93" s="529"/>
      <c r="AR93" s="529"/>
      <c r="AS93" s="529"/>
      <c r="AT93" s="529"/>
      <c r="AU93" s="261"/>
      <c r="AV93" s="261"/>
      <c r="AZ93" s="425"/>
      <c r="BA93" s="543"/>
      <c r="BB93" s="543"/>
      <c r="BC93" s="543"/>
      <c r="BD93" s="543"/>
      <c r="BE93" s="543"/>
      <c r="BF93" s="543"/>
      <c r="BG93" s="543"/>
      <c r="BH93" s="543"/>
      <c r="BI93" s="543"/>
      <c r="BJ93" s="543"/>
      <c r="BK93" s="543"/>
      <c r="BL93" s="543"/>
      <c r="BM93" s="543"/>
      <c r="BN93" s="543"/>
      <c r="BO93" s="543"/>
      <c r="BP93" s="543"/>
      <c r="BQ93" s="543"/>
      <c r="BR93" s="265"/>
      <c r="BS93" s="265"/>
      <c r="BT93" s="265"/>
      <c r="BU93" s="265"/>
      <c r="BV93" s="265"/>
      <c r="BW93" s="265"/>
      <c r="BX93" s="265"/>
      <c r="BY93" s="265"/>
      <c r="BZ93" s="265"/>
      <c r="CA93" s="265"/>
      <c r="CB93" s="265"/>
      <c r="CC93" s="265"/>
      <c r="CD93" s="265"/>
      <c r="CE93" s="265"/>
      <c r="CF93" s="265"/>
      <c r="CG93" s="265"/>
      <c r="CH93" s="265"/>
      <c r="CI93" s="265"/>
      <c r="CJ93" s="265"/>
      <c r="CK93" s="543"/>
      <c r="CL93" s="543"/>
      <c r="CM93" s="543"/>
      <c r="CN93" s="543"/>
      <c r="CO93" s="543"/>
      <c r="CP93" s="543"/>
      <c r="CQ93" s="543"/>
      <c r="CR93" s="543"/>
      <c r="CS93" s="543"/>
    </row>
    <row r="94" s="61" customFormat="1" ht="16" customHeight="1" spans="1:97">
      <c r="A94" s="74"/>
      <c r="B94" s="74"/>
      <c r="C94" s="74"/>
      <c r="D94" s="74"/>
      <c r="E94" s="74"/>
      <c r="F94" s="74"/>
      <c r="G94" s="73"/>
      <c r="H94" s="74"/>
      <c r="I94" s="74"/>
      <c r="J94" s="74"/>
      <c r="K94" s="74"/>
      <c r="L94" s="74"/>
      <c r="M94" s="85"/>
      <c r="N94" s="151" t="s">
        <v>468</v>
      </c>
      <c r="O94" s="157" t="e">
        <f t="shared" si="74"/>
        <v>#DIV/0!</v>
      </c>
      <c r="P94" s="157" t="e">
        <f t="shared" si="75"/>
        <v>#DIV/0!</v>
      </c>
      <c r="Q94" s="157" t="e">
        <f t="shared" si="76"/>
        <v>#DIV/0!</v>
      </c>
      <c r="R94" s="157" t="e">
        <f t="shared" si="77"/>
        <v>#DIV/0!</v>
      </c>
      <c r="S94" s="74"/>
      <c r="T94" s="120"/>
      <c r="U94" s="74"/>
      <c r="V94" s="74"/>
      <c r="W94" s="74"/>
      <c r="X94" s="74"/>
      <c r="Y94" s="74"/>
      <c r="Z94" s="74"/>
      <c r="AA94" s="73"/>
      <c r="AB94" s="74"/>
      <c r="AC94" s="74"/>
      <c r="AD94" s="74"/>
      <c r="AE94" s="74"/>
      <c r="AF94" s="74"/>
      <c r="AG94" s="74"/>
      <c r="AH94" s="73"/>
      <c r="AI94" s="535"/>
      <c r="AJ94" s="529"/>
      <c r="AK94" s="529"/>
      <c r="AL94" s="529"/>
      <c r="AM94" s="529"/>
      <c r="AN94" s="529"/>
      <c r="AO94" s="529"/>
      <c r="AP94" s="529"/>
      <c r="AQ94" s="529"/>
      <c r="AR94" s="529"/>
      <c r="AS94" s="529"/>
      <c r="AT94" s="529"/>
      <c r="AU94" s="261"/>
      <c r="AV94" s="261"/>
      <c r="AZ94" s="425"/>
      <c r="BA94" s="543"/>
      <c r="BB94" s="543"/>
      <c r="BC94" s="543"/>
      <c r="BD94" s="543"/>
      <c r="BE94" s="543"/>
      <c r="BF94" s="543"/>
      <c r="BG94" s="543"/>
      <c r="BH94" s="543"/>
      <c r="BI94" s="543"/>
      <c r="BJ94" s="543"/>
      <c r="BK94" s="543"/>
      <c r="BL94" s="543"/>
      <c r="BM94" s="543"/>
      <c r="BN94" s="543"/>
      <c r="BO94" s="543"/>
      <c r="BP94" s="543"/>
      <c r="BQ94" s="543"/>
      <c r="BR94" s="265"/>
      <c r="BS94" s="265"/>
      <c r="BT94" s="265"/>
      <c r="BU94" s="265"/>
      <c r="BV94" s="265"/>
      <c r="BW94" s="265"/>
      <c r="BX94" s="265"/>
      <c r="BY94" s="265"/>
      <c r="BZ94" s="265"/>
      <c r="CA94" s="265"/>
      <c r="CB94" s="265"/>
      <c r="CC94" s="265"/>
      <c r="CD94" s="265"/>
      <c r="CE94" s="265"/>
      <c r="CF94" s="265"/>
      <c r="CG94" s="265"/>
      <c r="CH94" s="265"/>
      <c r="CI94" s="265"/>
      <c r="CJ94" s="265"/>
      <c r="CK94" s="543"/>
      <c r="CL94" s="543"/>
      <c r="CM94" s="543"/>
      <c r="CN94" s="543"/>
      <c r="CO94" s="543"/>
      <c r="CP94" s="543"/>
      <c r="CQ94" s="543"/>
      <c r="CR94" s="543"/>
      <c r="CS94" s="543"/>
    </row>
    <row r="95" s="61" customFormat="1" ht="16" customHeight="1" spans="1:97">
      <c r="A95" s="74"/>
      <c r="B95" s="74"/>
      <c r="C95" s="74"/>
      <c r="D95" s="74"/>
      <c r="E95" s="74"/>
      <c r="F95" s="74"/>
      <c r="G95" s="331"/>
      <c r="H95" s="74"/>
      <c r="I95" s="74"/>
      <c r="J95" s="74"/>
      <c r="K95" s="74"/>
      <c r="L95" s="74"/>
      <c r="M95" s="85"/>
      <c r="N95" s="74"/>
      <c r="O95" s="74"/>
      <c r="P95" s="74"/>
      <c r="Q95" s="74"/>
      <c r="R95" s="74"/>
      <c r="S95" s="74"/>
      <c r="T95" s="120"/>
      <c r="U95" s="74"/>
      <c r="V95" s="74"/>
      <c r="W95" s="74"/>
      <c r="X95" s="74"/>
      <c r="Y95" s="74"/>
      <c r="Z95" s="74"/>
      <c r="AA95" s="73"/>
      <c r="AB95" s="74"/>
      <c r="AC95" s="74"/>
      <c r="AD95" s="74"/>
      <c r="AE95" s="74"/>
      <c r="AF95" s="74"/>
      <c r="AG95" s="74"/>
      <c r="AH95" s="73"/>
      <c r="AI95" s="535"/>
      <c r="AJ95" s="529"/>
      <c r="AK95" s="529"/>
      <c r="AL95" s="529"/>
      <c r="AM95" s="529"/>
      <c r="AN95" s="529"/>
      <c r="AO95" s="529"/>
      <c r="AP95" s="529"/>
      <c r="AQ95" s="529"/>
      <c r="AR95" s="529"/>
      <c r="AS95" s="529"/>
      <c r="AT95" s="529"/>
      <c r="AU95" s="261"/>
      <c r="AV95" s="261"/>
      <c r="AZ95" s="425"/>
      <c r="BA95" s="543"/>
      <c r="BB95" s="543"/>
      <c r="BC95" s="543"/>
      <c r="BD95" s="543"/>
      <c r="BE95" s="543"/>
      <c r="BF95" s="543"/>
      <c r="BG95" s="543"/>
      <c r="BH95" s="543"/>
      <c r="BI95" s="543"/>
      <c r="BJ95" s="543"/>
      <c r="BK95" s="543"/>
      <c r="BL95" s="543"/>
      <c r="BM95" s="543"/>
      <c r="BN95" s="543"/>
      <c r="BO95" s="543"/>
      <c r="BP95" s="543"/>
      <c r="BQ95" s="543"/>
      <c r="BR95" s="265"/>
      <c r="BS95" s="265"/>
      <c r="BT95" s="265"/>
      <c r="BU95" s="265"/>
      <c r="BV95" s="265"/>
      <c r="BW95" s="265"/>
      <c r="BX95" s="265"/>
      <c r="BY95" s="265"/>
      <c r="BZ95" s="265"/>
      <c r="CA95" s="265"/>
      <c r="CB95" s="265"/>
      <c r="CC95" s="265"/>
      <c r="CD95" s="265"/>
      <c r="CE95" s="265"/>
      <c r="CF95" s="265"/>
      <c r="CG95" s="265"/>
      <c r="CH95" s="265"/>
      <c r="CI95" s="265"/>
      <c r="CJ95" s="265"/>
      <c r="CK95" s="543"/>
      <c r="CL95" s="543"/>
      <c r="CM95" s="543"/>
      <c r="CN95" s="543"/>
      <c r="CO95" s="543"/>
      <c r="CP95" s="543"/>
      <c r="CQ95" s="543"/>
      <c r="CR95" s="543"/>
      <c r="CS95" s="543"/>
    </row>
    <row r="96" s="61" customFormat="1" ht="16" customHeight="1" spans="7:97">
      <c r="G96" s="63"/>
      <c r="M96" s="247"/>
      <c r="T96" s="64"/>
      <c r="AA96" s="63"/>
      <c r="AH96" s="63"/>
      <c r="AI96" s="535"/>
      <c r="AJ96" s="529"/>
      <c r="AK96" s="529"/>
      <c r="AL96" s="529"/>
      <c r="AM96" s="529"/>
      <c r="AN96" s="529"/>
      <c r="AO96" s="529"/>
      <c r="AP96" s="529"/>
      <c r="AQ96" s="529"/>
      <c r="AR96" s="529"/>
      <c r="AS96" s="529"/>
      <c r="AT96" s="529"/>
      <c r="AU96" s="261"/>
      <c r="AV96" s="261"/>
      <c r="AZ96" s="425"/>
      <c r="BA96" s="543"/>
      <c r="BB96" s="543"/>
      <c r="BC96" s="543"/>
      <c r="BD96" s="543"/>
      <c r="BE96" s="543"/>
      <c r="BF96" s="543"/>
      <c r="BG96" s="543"/>
      <c r="BH96" s="543"/>
      <c r="BI96" s="543"/>
      <c r="BJ96" s="543"/>
      <c r="BK96" s="543"/>
      <c r="BL96" s="543"/>
      <c r="BM96" s="543"/>
      <c r="BN96" s="543"/>
      <c r="BO96" s="543"/>
      <c r="BP96" s="543"/>
      <c r="BQ96" s="543"/>
      <c r="BR96" s="265"/>
      <c r="BS96" s="265"/>
      <c r="BT96" s="265"/>
      <c r="BU96" s="265"/>
      <c r="BV96" s="265"/>
      <c r="BW96" s="265"/>
      <c r="BX96" s="265"/>
      <c r="BY96" s="265"/>
      <c r="BZ96" s="265"/>
      <c r="CA96" s="265"/>
      <c r="CB96" s="265"/>
      <c r="CC96" s="265"/>
      <c r="CD96" s="265"/>
      <c r="CE96" s="265"/>
      <c r="CF96" s="265"/>
      <c r="CG96" s="265"/>
      <c r="CH96" s="265"/>
      <c r="CI96" s="265"/>
      <c r="CJ96" s="265"/>
      <c r="CK96" s="543"/>
      <c r="CL96" s="543"/>
      <c r="CM96" s="543"/>
      <c r="CN96" s="543"/>
      <c r="CO96" s="543"/>
      <c r="CP96" s="543"/>
      <c r="CQ96" s="543"/>
      <c r="CR96" s="543"/>
      <c r="CS96" s="543"/>
    </row>
    <row r="97" s="61" customFormat="1" ht="16" customHeight="1" spans="7:97">
      <c r="G97" s="63"/>
      <c r="M97" s="247"/>
      <c r="T97" s="64"/>
      <c r="AA97" s="63"/>
      <c r="AH97" s="63"/>
      <c r="AI97" s="535"/>
      <c r="AJ97" s="529"/>
      <c r="AK97" s="529"/>
      <c r="AL97" s="529"/>
      <c r="AM97" s="529"/>
      <c r="AN97" s="529"/>
      <c r="AO97" s="529"/>
      <c r="AP97" s="529"/>
      <c r="AQ97" s="529"/>
      <c r="AR97" s="529"/>
      <c r="AS97" s="529"/>
      <c r="AT97" s="529"/>
      <c r="AU97" s="261"/>
      <c r="AV97" s="261"/>
      <c r="AZ97" s="425"/>
      <c r="BA97" s="543"/>
      <c r="BB97" s="543"/>
      <c r="BC97" s="543"/>
      <c r="BD97" s="543"/>
      <c r="BE97" s="543"/>
      <c r="BF97" s="543"/>
      <c r="BG97" s="543"/>
      <c r="BH97" s="543"/>
      <c r="BI97" s="543"/>
      <c r="BJ97" s="543"/>
      <c r="BK97" s="543"/>
      <c r="BL97" s="543"/>
      <c r="BM97" s="543"/>
      <c r="BN97" s="543"/>
      <c r="BO97" s="543"/>
      <c r="BP97" s="543"/>
      <c r="BQ97" s="543"/>
      <c r="BR97" s="265"/>
      <c r="BS97" s="265"/>
      <c r="BT97" s="265"/>
      <c r="BU97" s="265"/>
      <c r="BV97" s="265"/>
      <c r="BW97" s="265"/>
      <c r="BX97" s="265"/>
      <c r="BY97" s="265"/>
      <c r="BZ97" s="265"/>
      <c r="CA97" s="265"/>
      <c r="CB97" s="265"/>
      <c r="CC97" s="265"/>
      <c r="CD97" s="265"/>
      <c r="CE97" s="265"/>
      <c r="CF97" s="265"/>
      <c r="CG97" s="265"/>
      <c r="CH97" s="265"/>
      <c r="CI97" s="265"/>
      <c r="CJ97" s="265"/>
      <c r="CK97" s="543"/>
      <c r="CL97" s="543"/>
      <c r="CM97" s="543"/>
      <c r="CN97" s="543"/>
      <c r="CO97" s="543"/>
      <c r="CP97" s="543"/>
      <c r="CQ97" s="543"/>
      <c r="CR97" s="543"/>
      <c r="CS97" s="543"/>
    </row>
    <row r="98" s="61" customFormat="1" ht="16" customHeight="1" spans="7:97">
      <c r="G98" s="63"/>
      <c r="M98" s="247"/>
      <c r="T98" s="64"/>
      <c r="AA98" s="63"/>
      <c r="AH98" s="63"/>
      <c r="AI98" s="535"/>
      <c r="AJ98" s="529"/>
      <c r="AK98" s="529"/>
      <c r="AL98" s="529"/>
      <c r="AM98" s="529"/>
      <c r="AN98" s="529"/>
      <c r="AO98" s="529"/>
      <c r="AP98" s="529"/>
      <c r="AQ98" s="529"/>
      <c r="AR98" s="529"/>
      <c r="AS98" s="529"/>
      <c r="AT98" s="529"/>
      <c r="AU98" s="261"/>
      <c r="AV98" s="261"/>
      <c r="AZ98" s="425"/>
      <c r="BA98" s="543"/>
      <c r="BB98" s="543"/>
      <c r="BC98" s="543"/>
      <c r="BD98" s="543"/>
      <c r="BE98" s="543"/>
      <c r="BF98" s="543"/>
      <c r="BG98" s="543"/>
      <c r="BH98" s="543"/>
      <c r="BI98" s="543"/>
      <c r="BJ98" s="543"/>
      <c r="BK98" s="543"/>
      <c r="BL98" s="543"/>
      <c r="BM98" s="543"/>
      <c r="BN98" s="543"/>
      <c r="BO98" s="543"/>
      <c r="BP98" s="543"/>
      <c r="BQ98" s="543"/>
      <c r="BR98" s="265"/>
      <c r="BS98" s="265"/>
      <c r="BT98" s="265"/>
      <c r="BU98" s="265"/>
      <c r="BV98" s="265"/>
      <c r="BW98" s="265"/>
      <c r="BX98" s="265"/>
      <c r="BY98" s="265"/>
      <c r="BZ98" s="265"/>
      <c r="CA98" s="265"/>
      <c r="CB98" s="265"/>
      <c r="CC98" s="265"/>
      <c r="CD98" s="265"/>
      <c r="CE98" s="265"/>
      <c r="CF98" s="265"/>
      <c r="CG98" s="265"/>
      <c r="CH98" s="265"/>
      <c r="CI98" s="265"/>
      <c r="CJ98" s="265"/>
      <c r="CK98" s="543"/>
      <c r="CL98" s="543"/>
      <c r="CM98" s="543"/>
      <c r="CN98" s="543"/>
      <c r="CO98" s="543"/>
      <c r="CP98" s="543"/>
      <c r="CQ98" s="543"/>
      <c r="CR98" s="543"/>
      <c r="CS98" s="543"/>
    </row>
    <row r="99" s="61" customFormat="1" ht="16" customHeight="1" spans="7:97">
      <c r="G99" s="63"/>
      <c r="M99" s="247"/>
      <c r="T99" s="64"/>
      <c r="AA99" s="63"/>
      <c r="AH99" s="63"/>
      <c r="AI99" s="535"/>
      <c r="AJ99" s="529"/>
      <c r="AK99" s="529"/>
      <c r="AL99" s="529"/>
      <c r="AM99" s="529"/>
      <c r="AN99" s="529"/>
      <c r="AO99" s="529"/>
      <c r="AP99" s="529"/>
      <c r="AQ99" s="529"/>
      <c r="AR99" s="529"/>
      <c r="AS99" s="529"/>
      <c r="AT99" s="529"/>
      <c r="AU99" s="261"/>
      <c r="AV99" s="261"/>
      <c r="AZ99" s="425"/>
      <c r="BA99" s="543"/>
      <c r="BB99" s="543"/>
      <c r="BC99" s="543"/>
      <c r="BD99" s="543"/>
      <c r="BE99" s="543"/>
      <c r="BF99" s="543"/>
      <c r="BG99" s="543"/>
      <c r="BH99" s="543"/>
      <c r="BI99" s="543"/>
      <c r="BJ99" s="543"/>
      <c r="BK99" s="543"/>
      <c r="BL99" s="543"/>
      <c r="BM99" s="543"/>
      <c r="BN99" s="543"/>
      <c r="BO99" s="543"/>
      <c r="BP99" s="543"/>
      <c r="BQ99" s="543"/>
      <c r="BR99" s="265"/>
      <c r="BS99" s="265"/>
      <c r="BT99" s="265"/>
      <c r="BU99" s="265"/>
      <c r="BV99" s="265"/>
      <c r="BW99" s="265"/>
      <c r="BX99" s="265"/>
      <c r="BY99" s="265"/>
      <c r="BZ99" s="265"/>
      <c r="CA99" s="265"/>
      <c r="CB99" s="265"/>
      <c r="CC99" s="265"/>
      <c r="CD99" s="265"/>
      <c r="CE99" s="265"/>
      <c r="CF99" s="265"/>
      <c r="CG99" s="265"/>
      <c r="CH99" s="265"/>
      <c r="CI99" s="265"/>
      <c r="CJ99" s="265"/>
      <c r="CK99" s="543"/>
      <c r="CL99" s="543"/>
      <c r="CM99" s="543"/>
      <c r="CN99" s="543"/>
      <c r="CO99" s="543"/>
      <c r="CP99" s="543"/>
      <c r="CQ99" s="543"/>
      <c r="CR99" s="543"/>
      <c r="CS99" s="543"/>
    </row>
    <row r="100" s="61" customFormat="1" ht="16" customHeight="1" spans="7:96">
      <c r="G100" s="63"/>
      <c r="M100" s="247"/>
      <c r="T100" s="64"/>
      <c r="AA100" s="63"/>
      <c r="AH100" s="63"/>
      <c r="AI100" s="535"/>
      <c r="AJ100" s="529"/>
      <c r="AK100" s="529"/>
      <c r="AL100" s="529"/>
      <c r="AM100" s="529"/>
      <c r="AN100" s="529"/>
      <c r="AO100" s="529"/>
      <c r="AP100" s="529"/>
      <c r="AQ100" s="529"/>
      <c r="AR100" s="529"/>
      <c r="AS100" s="529"/>
      <c r="AT100" s="529"/>
      <c r="AU100" s="261"/>
      <c r="AV100" s="261"/>
      <c r="AZ100" s="63"/>
      <c r="BA100" s="543"/>
      <c r="BB100" s="543"/>
      <c r="BC100" s="543"/>
      <c r="BD100" s="543"/>
      <c r="BE100" s="543"/>
      <c r="BF100" s="543"/>
      <c r="BG100" s="543"/>
      <c r="BH100" s="543"/>
      <c r="BI100" s="543"/>
      <c r="BJ100" s="543"/>
      <c r="BK100" s="543"/>
      <c r="BL100" s="543"/>
      <c r="BM100" s="543"/>
      <c r="BN100" s="543"/>
      <c r="BO100" s="543"/>
      <c r="BP100" s="543"/>
      <c r="BQ100" s="543"/>
      <c r="BR100" s="265"/>
      <c r="BS100" s="265"/>
      <c r="BT100" s="265"/>
      <c r="BU100" s="265"/>
      <c r="BV100" s="265"/>
      <c r="BW100" s="265"/>
      <c r="BX100" s="265"/>
      <c r="BY100" s="265"/>
      <c r="BZ100" s="265"/>
      <c r="CA100" s="265"/>
      <c r="CB100" s="265"/>
      <c r="CC100" s="265"/>
      <c r="CD100" s="265"/>
      <c r="CE100" s="265"/>
      <c r="CF100" s="265"/>
      <c r="CG100" s="265"/>
      <c r="CH100" s="265"/>
      <c r="CI100" s="265"/>
      <c r="CJ100" s="265"/>
      <c r="CK100" s="543"/>
      <c r="CL100" s="543"/>
      <c r="CM100" s="543"/>
      <c r="CN100" s="543"/>
      <c r="CO100" s="543"/>
      <c r="CP100" s="543"/>
      <c r="CQ100" s="543"/>
      <c r="CR100" s="543"/>
    </row>
    <row r="101" s="61" customFormat="1" ht="16" customHeight="1" spans="7:96">
      <c r="G101" s="63"/>
      <c r="M101" s="247"/>
      <c r="T101" s="64"/>
      <c r="AA101" s="63"/>
      <c r="AH101" s="63"/>
      <c r="AI101" s="535"/>
      <c r="AJ101" s="529"/>
      <c r="AK101" s="529"/>
      <c r="AL101" s="529"/>
      <c r="AM101" s="529"/>
      <c r="AN101" s="529"/>
      <c r="AO101" s="529"/>
      <c r="AP101" s="529"/>
      <c r="AQ101" s="529"/>
      <c r="AR101" s="529"/>
      <c r="AS101" s="529"/>
      <c r="AT101" s="529"/>
      <c r="AU101" s="261"/>
      <c r="AV101" s="261"/>
      <c r="AZ101" s="63"/>
      <c r="BA101" s="543"/>
      <c r="BB101" s="543"/>
      <c r="BC101" s="543"/>
      <c r="BD101" s="543"/>
      <c r="BE101" s="543"/>
      <c r="BF101" s="543"/>
      <c r="BG101" s="543"/>
      <c r="BH101" s="543"/>
      <c r="BI101" s="543"/>
      <c r="BJ101" s="543"/>
      <c r="BK101" s="543"/>
      <c r="BL101" s="543"/>
      <c r="BM101" s="543"/>
      <c r="BN101" s="543"/>
      <c r="BO101" s="543"/>
      <c r="BP101" s="543"/>
      <c r="BQ101" s="543"/>
      <c r="BR101" s="265"/>
      <c r="BS101" s="265"/>
      <c r="BT101" s="265"/>
      <c r="BU101" s="265"/>
      <c r="BV101" s="265"/>
      <c r="BW101" s="265"/>
      <c r="BX101" s="265"/>
      <c r="BY101" s="265"/>
      <c r="BZ101" s="265"/>
      <c r="CA101" s="265"/>
      <c r="CB101" s="265"/>
      <c r="CC101" s="265"/>
      <c r="CD101" s="265"/>
      <c r="CE101" s="265"/>
      <c r="CF101" s="265"/>
      <c r="CG101" s="265"/>
      <c r="CH101" s="265"/>
      <c r="CI101" s="265"/>
      <c r="CJ101" s="265"/>
      <c r="CK101" s="543"/>
      <c r="CL101" s="543"/>
      <c r="CM101" s="543"/>
      <c r="CN101" s="543"/>
      <c r="CO101" s="543"/>
      <c r="CP101" s="543"/>
      <c r="CQ101" s="543"/>
      <c r="CR101" s="543"/>
    </row>
    <row r="102" s="61" customFormat="1" ht="16" customHeight="1" spans="7:96">
      <c r="G102" s="63"/>
      <c r="M102" s="247"/>
      <c r="T102" s="64"/>
      <c r="AA102" s="63"/>
      <c r="AH102" s="63"/>
      <c r="AI102" s="535"/>
      <c r="AJ102" s="529"/>
      <c r="AK102" s="529"/>
      <c r="AL102" s="529"/>
      <c r="AM102" s="529"/>
      <c r="AN102" s="529"/>
      <c r="AO102" s="529"/>
      <c r="AP102" s="529"/>
      <c r="AQ102" s="529"/>
      <c r="AR102" s="529"/>
      <c r="AS102" s="529"/>
      <c r="AT102" s="529"/>
      <c r="AU102" s="261"/>
      <c r="AV102" s="261"/>
      <c r="AZ102" s="63"/>
      <c r="BA102" s="543"/>
      <c r="BB102" s="543"/>
      <c r="BC102" s="543"/>
      <c r="BD102" s="543"/>
      <c r="BE102" s="543"/>
      <c r="BF102" s="543"/>
      <c r="BG102" s="543"/>
      <c r="BH102" s="543"/>
      <c r="BI102" s="543"/>
      <c r="BJ102" s="543"/>
      <c r="BK102" s="543"/>
      <c r="BL102" s="543"/>
      <c r="BM102" s="543"/>
      <c r="BN102" s="543"/>
      <c r="BO102" s="543"/>
      <c r="BP102" s="543"/>
      <c r="BQ102" s="543"/>
      <c r="BR102" s="265"/>
      <c r="BS102" s="265"/>
      <c r="BT102" s="265"/>
      <c r="BU102" s="265"/>
      <c r="BV102" s="265"/>
      <c r="BW102" s="265"/>
      <c r="BX102" s="265"/>
      <c r="BY102" s="265"/>
      <c r="BZ102" s="265"/>
      <c r="CA102" s="265"/>
      <c r="CB102" s="265"/>
      <c r="CC102" s="265"/>
      <c r="CD102" s="265"/>
      <c r="CE102" s="265"/>
      <c r="CF102" s="265"/>
      <c r="CG102" s="265"/>
      <c r="CH102" s="265"/>
      <c r="CI102" s="265"/>
      <c r="CJ102" s="265"/>
      <c r="CK102" s="543"/>
      <c r="CL102" s="543"/>
      <c r="CM102" s="543"/>
      <c r="CN102" s="543"/>
      <c r="CO102" s="543"/>
      <c r="CP102" s="543"/>
      <c r="CQ102" s="543"/>
      <c r="CR102" s="543"/>
    </row>
    <row r="103" s="61" customFormat="1" ht="16" customHeight="1" spans="7:96">
      <c r="G103" s="63"/>
      <c r="M103" s="247"/>
      <c r="T103" s="64"/>
      <c r="AA103" s="63"/>
      <c r="AH103" s="63"/>
      <c r="AI103" s="535"/>
      <c r="AJ103" s="529"/>
      <c r="AK103" s="529"/>
      <c r="AL103" s="529"/>
      <c r="AM103" s="529"/>
      <c r="AN103" s="529"/>
      <c r="AO103" s="529"/>
      <c r="AP103" s="529"/>
      <c r="AQ103" s="529"/>
      <c r="AR103" s="529"/>
      <c r="AS103" s="529"/>
      <c r="AT103" s="529"/>
      <c r="AU103" s="261"/>
      <c r="AV103" s="261"/>
      <c r="AZ103" s="63"/>
      <c r="BA103" s="543"/>
      <c r="BB103" s="543"/>
      <c r="BC103" s="543"/>
      <c r="BD103" s="543"/>
      <c r="BE103" s="543"/>
      <c r="BF103" s="543"/>
      <c r="BG103" s="543"/>
      <c r="BH103" s="543"/>
      <c r="BI103" s="543"/>
      <c r="BJ103" s="543"/>
      <c r="BK103" s="543"/>
      <c r="BL103" s="543"/>
      <c r="BM103" s="543"/>
      <c r="BN103" s="543"/>
      <c r="BO103" s="543"/>
      <c r="BP103" s="543"/>
      <c r="BQ103" s="543"/>
      <c r="BR103" s="265"/>
      <c r="BS103" s="265"/>
      <c r="BT103" s="265"/>
      <c r="BU103" s="265"/>
      <c r="BV103" s="265"/>
      <c r="BW103" s="265"/>
      <c r="BX103" s="265"/>
      <c r="BY103" s="265"/>
      <c r="BZ103" s="265"/>
      <c r="CA103" s="265"/>
      <c r="CB103" s="265"/>
      <c r="CC103" s="265"/>
      <c r="CD103" s="265"/>
      <c r="CE103" s="265"/>
      <c r="CF103" s="265"/>
      <c r="CG103" s="265"/>
      <c r="CH103" s="265"/>
      <c r="CI103" s="265"/>
      <c r="CJ103" s="265"/>
      <c r="CK103" s="543"/>
      <c r="CL103" s="543"/>
      <c r="CM103" s="543"/>
      <c r="CN103" s="543"/>
      <c r="CO103" s="543"/>
      <c r="CP103" s="543"/>
      <c r="CQ103" s="543"/>
      <c r="CR103" s="543"/>
    </row>
    <row r="104" s="61" customFormat="1" ht="16" customHeight="1" spans="7:96">
      <c r="G104" s="63"/>
      <c r="M104" s="247"/>
      <c r="T104" s="64"/>
      <c r="AA104" s="63"/>
      <c r="AH104" s="63"/>
      <c r="AZ104" s="63"/>
      <c r="BA104" s="543"/>
      <c r="BB104" s="543"/>
      <c r="BC104" s="543"/>
      <c r="BD104" s="543"/>
      <c r="BE104" s="543"/>
      <c r="BF104" s="543"/>
      <c r="BG104" s="543"/>
      <c r="BH104" s="543"/>
      <c r="BI104" s="543"/>
      <c r="BJ104" s="543"/>
      <c r="BK104" s="543"/>
      <c r="BL104" s="543"/>
      <c r="BM104" s="543"/>
      <c r="BN104" s="543"/>
      <c r="BO104" s="543"/>
      <c r="BP104" s="543"/>
      <c r="BQ104" s="543"/>
      <c r="BR104" s="265"/>
      <c r="BS104" s="265"/>
      <c r="BT104" s="265"/>
      <c r="BU104" s="265"/>
      <c r="BV104" s="265"/>
      <c r="BW104" s="265"/>
      <c r="BX104" s="265"/>
      <c r="BY104" s="265"/>
      <c r="BZ104" s="265"/>
      <c r="CA104" s="265"/>
      <c r="CB104" s="265"/>
      <c r="CC104" s="265"/>
      <c r="CD104" s="265"/>
      <c r="CE104" s="265"/>
      <c r="CF104" s="265"/>
      <c r="CG104" s="265"/>
      <c r="CH104" s="265"/>
      <c r="CI104" s="265"/>
      <c r="CJ104" s="265"/>
      <c r="CK104" s="543"/>
      <c r="CL104" s="543"/>
      <c r="CM104" s="543"/>
      <c r="CN104" s="543"/>
      <c r="CO104" s="543"/>
      <c r="CP104" s="543"/>
      <c r="CQ104" s="543"/>
      <c r="CR104" s="543"/>
    </row>
    <row r="105" s="61" customFormat="1" ht="16" customHeight="1" spans="7:96">
      <c r="G105" s="63"/>
      <c r="M105" s="247"/>
      <c r="T105" s="64"/>
      <c r="AA105" s="63"/>
      <c r="AH105" s="63"/>
      <c r="AZ105" s="63"/>
      <c r="BA105" s="543"/>
      <c r="BB105" s="543"/>
      <c r="BC105" s="543"/>
      <c r="BD105" s="543"/>
      <c r="BE105" s="543"/>
      <c r="BF105" s="543"/>
      <c r="BG105" s="543"/>
      <c r="BH105" s="543"/>
      <c r="BI105" s="543"/>
      <c r="BJ105" s="543"/>
      <c r="BK105" s="543"/>
      <c r="BL105" s="543"/>
      <c r="BM105" s="543"/>
      <c r="BN105" s="543"/>
      <c r="BO105" s="543"/>
      <c r="BP105" s="543"/>
      <c r="BQ105" s="543"/>
      <c r="BR105" s="265"/>
      <c r="BS105" s="265"/>
      <c r="BT105" s="265"/>
      <c r="BU105" s="265"/>
      <c r="BV105" s="265"/>
      <c r="BW105" s="265"/>
      <c r="BX105" s="265"/>
      <c r="BY105" s="265"/>
      <c r="BZ105" s="265"/>
      <c r="CA105" s="265"/>
      <c r="CB105" s="265"/>
      <c r="CC105" s="265"/>
      <c r="CD105" s="265"/>
      <c r="CE105" s="265"/>
      <c r="CF105" s="265"/>
      <c r="CG105" s="265"/>
      <c r="CH105" s="265"/>
      <c r="CI105" s="265"/>
      <c r="CJ105" s="265"/>
      <c r="CK105" s="543"/>
      <c r="CL105" s="543"/>
      <c r="CM105" s="543"/>
      <c r="CN105" s="543"/>
      <c r="CO105" s="543"/>
      <c r="CP105" s="543"/>
      <c r="CQ105" s="543"/>
      <c r="CR105" s="543"/>
    </row>
    <row r="106" s="61" customFormat="1" ht="16" customHeight="1" spans="7:96">
      <c r="G106" s="63"/>
      <c r="M106" s="247"/>
      <c r="T106" s="64"/>
      <c r="AA106" s="63"/>
      <c r="AH106" s="63"/>
      <c r="AI106" s="526" t="s">
        <v>37</v>
      </c>
      <c r="AJ106" s="526" t="s">
        <v>348</v>
      </c>
      <c r="AK106" s="526" t="s">
        <v>349</v>
      </c>
      <c r="AL106" s="526" t="s">
        <v>350</v>
      </c>
      <c r="AM106" s="526" t="s">
        <v>351</v>
      </c>
      <c r="AN106" s="526" t="s">
        <v>352</v>
      </c>
      <c r="AO106" s="526" t="s">
        <v>353</v>
      </c>
      <c r="AP106" s="526" t="s">
        <v>354</v>
      </c>
      <c r="AQ106" s="526" t="s">
        <v>355</v>
      </c>
      <c r="AR106" s="241" t="s">
        <v>708</v>
      </c>
      <c r="AS106" s="68" t="s">
        <v>709</v>
      </c>
      <c r="AT106" s="68" t="s">
        <v>710</v>
      </c>
      <c r="AU106" s="241" t="s">
        <v>711</v>
      </c>
      <c r="AV106" s="68" t="s">
        <v>712</v>
      </c>
      <c r="AW106" s="384" t="s">
        <v>713</v>
      </c>
      <c r="AX106" s="68" t="s">
        <v>714</v>
      </c>
      <c r="AY106" s="69"/>
      <c r="AZ106" s="63"/>
      <c r="BA106" s="543"/>
      <c r="BB106" s="543"/>
      <c r="BC106" s="543"/>
      <c r="BD106" s="543"/>
      <c r="BE106" s="543"/>
      <c r="BF106" s="543"/>
      <c r="BG106" s="543"/>
      <c r="BH106" s="543"/>
      <c r="BI106" s="543"/>
      <c r="BJ106" s="543"/>
      <c r="BK106" s="543"/>
      <c r="BL106" s="543"/>
      <c r="BM106" s="543"/>
      <c r="BN106" s="543"/>
      <c r="BO106" s="543"/>
      <c r="BP106" s="543"/>
      <c r="BQ106" s="543"/>
      <c r="BR106" s="265"/>
      <c r="BS106" s="265"/>
      <c r="BT106" s="265"/>
      <c r="BU106" s="265"/>
      <c r="BV106" s="265"/>
      <c r="BW106" s="265"/>
      <c r="BX106" s="265"/>
      <c r="BY106" s="265"/>
      <c r="BZ106" s="265"/>
      <c r="CA106" s="265"/>
      <c r="CB106" s="265"/>
      <c r="CC106" s="265"/>
      <c r="CD106" s="265"/>
      <c r="CE106" s="265"/>
      <c r="CF106" s="265"/>
      <c r="CG106" s="265"/>
      <c r="CH106" s="265"/>
      <c r="CI106" s="265"/>
      <c r="CJ106" s="265"/>
      <c r="CK106" s="543"/>
      <c r="CL106" s="543"/>
      <c r="CM106" s="543"/>
      <c r="CN106" s="543"/>
      <c r="CO106" s="543"/>
      <c r="CP106" s="543"/>
      <c r="CQ106" s="543"/>
      <c r="CR106" s="543"/>
    </row>
    <row r="107" s="61" customFormat="1" ht="16" customHeight="1" spans="7:96">
      <c r="G107" s="63"/>
      <c r="M107" s="247"/>
      <c r="T107" s="64"/>
      <c r="AA107" s="63"/>
      <c r="AH107" s="63"/>
      <c r="AI107" s="576"/>
      <c r="AJ107" s="577"/>
      <c r="AK107" s="577"/>
      <c r="AL107" s="577"/>
      <c r="AM107" s="577"/>
      <c r="AN107" s="577"/>
      <c r="AO107" s="577"/>
      <c r="AP107" s="577"/>
      <c r="AQ107" s="578"/>
      <c r="AR107" s="262">
        <f>-AT107*5%</f>
        <v>0</v>
      </c>
      <c r="AS107" s="262">
        <f>第1期!AS107+第1期!AR107+第1期!AU107</f>
        <v>0</v>
      </c>
      <c r="AT107" s="411">
        <f>第1期!AU107+第1期!AT107</f>
        <v>0</v>
      </c>
      <c r="AU107" s="262">
        <f>0.5*第1期!AP107-AS107</f>
        <v>0</v>
      </c>
      <c r="AV107" s="262">
        <f>AU107+AS107+AR107</f>
        <v>0</v>
      </c>
      <c r="AW107" s="412" t="e">
        <f>AL107/(AP107+AV107)</f>
        <v>#DIV/0!</v>
      </c>
      <c r="AX107" s="456">
        <f>MAX(AK107,第1期!AO107)</f>
        <v>0</v>
      </c>
      <c r="AY107" s="261"/>
      <c r="AZ107" s="63"/>
      <c r="BA107" s="543"/>
      <c r="BB107" s="543"/>
      <c r="BC107" s="543"/>
      <c r="BD107" s="543"/>
      <c r="BE107" s="543"/>
      <c r="BF107" s="543"/>
      <c r="BG107" s="543"/>
      <c r="BH107" s="543"/>
      <c r="BI107" s="543"/>
      <c r="BJ107" s="543"/>
      <c r="BK107" s="543"/>
      <c r="BL107" s="543"/>
      <c r="BM107" s="543"/>
      <c r="BN107" s="543"/>
      <c r="BO107" s="543"/>
      <c r="BP107" s="543"/>
      <c r="BQ107" s="543"/>
      <c r="BR107" s="265"/>
      <c r="BS107" s="265"/>
      <c r="BT107" s="265"/>
      <c r="BU107" s="265"/>
      <c r="BV107" s="265"/>
      <c r="BW107" s="265"/>
      <c r="BX107" s="265"/>
      <c r="BY107" s="265"/>
      <c r="BZ107" s="265"/>
      <c r="CA107" s="265"/>
      <c r="CB107" s="265"/>
      <c r="CC107" s="265"/>
      <c r="CD107" s="265"/>
      <c r="CE107" s="265"/>
      <c r="CF107" s="265"/>
      <c r="CG107" s="265"/>
      <c r="CH107" s="265"/>
      <c r="CI107" s="265"/>
      <c r="CJ107" s="265"/>
      <c r="CK107" s="543"/>
      <c r="CL107" s="543"/>
      <c r="CM107" s="543"/>
      <c r="CN107" s="543"/>
      <c r="CO107" s="543"/>
      <c r="CP107" s="543"/>
      <c r="CQ107" s="543"/>
      <c r="CR107" s="543"/>
    </row>
    <row r="108" s="61" customFormat="1" ht="16" customHeight="1" spans="7:96">
      <c r="G108" s="63"/>
      <c r="M108" s="247"/>
      <c r="T108" s="64"/>
      <c r="AA108" s="63"/>
      <c r="AH108" s="63"/>
      <c r="AI108" s="576"/>
      <c r="AJ108" s="577"/>
      <c r="AK108" s="577"/>
      <c r="AL108" s="577"/>
      <c r="AM108" s="577"/>
      <c r="AN108" s="577"/>
      <c r="AO108" s="577"/>
      <c r="AP108" s="577"/>
      <c r="AQ108" s="578"/>
      <c r="AR108" s="262">
        <f t="shared" ref="AR108:AR126" si="78">-AT108*5%</f>
        <v>0</v>
      </c>
      <c r="AS108" s="262">
        <f>第1期!AS108+第1期!AR108+第1期!AU108</f>
        <v>0</v>
      </c>
      <c r="AT108" s="411">
        <f>第1期!AU108+第1期!AT108</f>
        <v>0</v>
      </c>
      <c r="AU108" s="262">
        <f>0.5*第1期!AP108-AS108</f>
        <v>0</v>
      </c>
      <c r="AV108" s="262">
        <f t="shared" ref="AV108:AV126" si="79">AU108+AS108+AR108</f>
        <v>0</v>
      </c>
      <c r="AW108" s="412" t="e">
        <f t="shared" ref="AW108:AW126" si="80">AL108/(AP108+AV108)</f>
        <v>#DIV/0!</v>
      </c>
      <c r="AX108" s="456">
        <f>MAX(AK108,第1期!AO108)</f>
        <v>0</v>
      </c>
      <c r="AY108" s="261"/>
      <c r="AZ108" s="63"/>
      <c r="BA108" s="543"/>
      <c r="BB108" s="543"/>
      <c r="BC108" s="543"/>
      <c r="BD108" s="543"/>
      <c r="BE108" s="543"/>
      <c r="BF108" s="543"/>
      <c r="BG108" s="543"/>
      <c r="BH108" s="543"/>
      <c r="BI108" s="543"/>
      <c r="BJ108" s="543"/>
      <c r="BK108" s="543"/>
      <c r="BL108" s="543"/>
      <c r="BM108" s="543"/>
      <c r="BN108" s="543"/>
      <c r="BO108" s="543"/>
      <c r="BP108" s="543"/>
      <c r="BQ108" s="543"/>
      <c r="BR108" s="265"/>
      <c r="BS108" s="265"/>
      <c r="BT108" s="265"/>
      <c r="BU108" s="265"/>
      <c r="BV108" s="265"/>
      <c r="BW108" s="265"/>
      <c r="BX108" s="265"/>
      <c r="BY108" s="265"/>
      <c r="BZ108" s="265"/>
      <c r="CA108" s="265"/>
      <c r="CB108" s="265"/>
      <c r="CC108" s="265"/>
      <c r="CD108" s="265"/>
      <c r="CE108" s="265"/>
      <c r="CF108" s="265"/>
      <c r="CG108" s="265"/>
      <c r="CH108" s="265"/>
      <c r="CI108" s="265"/>
      <c r="CJ108" s="265"/>
      <c r="CK108" s="543"/>
      <c r="CL108" s="543"/>
      <c r="CM108" s="543"/>
      <c r="CN108" s="543"/>
      <c r="CO108" s="543"/>
      <c r="CP108" s="543"/>
      <c r="CQ108" s="543"/>
      <c r="CR108" s="543"/>
    </row>
    <row r="109" s="61" customFormat="1" ht="16" customHeight="1" spans="7:96">
      <c r="G109" s="63"/>
      <c r="M109" s="247"/>
      <c r="T109" s="64"/>
      <c r="AA109" s="63"/>
      <c r="AH109" s="63"/>
      <c r="AI109" s="576"/>
      <c r="AJ109" s="577"/>
      <c r="AK109" s="577"/>
      <c r="AL109" s="577"/>
      <c r="AM109" s="577"/>
      <c r="AN109" s="577"/>
      <c r="AO109" s="577"/>
      <c r="AP109" s="577"/>
      <c r="AQ109" s="578"/>
      <c r="AR109" s="262">
        <f t="shared" si="78"/>
        <v>0</v>
      </c>
      <c r="AS109" s="262">
        <f>第1期!AS109+第1期!AR109+第1期!AU109</f>
        <v>0</v>
      </c>
      <c r="AT109" s="411">
        <f>第1期!AU109+第1期!AT109</f>
        <v>0</v>
      </c>
      <c r="AU109" s="262">
        <f>0.5*第1期!AP109-AS109</f>
        <v>0</v>
      </c>
      <c r="AV109" s="262">
        <f t="shared" si="79"/>
        <v>0</v>
      </c>
      <c r="AW109" s="412" t="e">
        <f t="shared" si="80"/>
        <v>#DIV/0!</v>
      </c>
      <c r="AX109" s="456">
        <f>MAX(AK109,第1期!AO109)</f>
        <v>0</v>
      </c>
      <c r="AY109" s="261"/>
      <c r="AZ109" s="63"/>
      <c r="BA109" s="543"/>
      <c r="BB109" s="543"/>
      <c r="BC109" s="543"/>
      <c r="BD109" s="543"/>
      <c r="BE109" s="543"/>
      <c r="BF109" s="543"/>
      <c r="BG109" s="543"/>
      <c r="BH109" s="543"/>
      <c r="BI109" s="543"/>
      <c r="BJ109" s="543"/>
      <c r="BK109" s="543"/>
      <c r="BL109" s="543"/>
      <c r="BM109" s="543"/>
      <c r="BN109" s="543"/>
      <c r="BO109" s="543"/>
      <c r="BP109" s="543"/>
      <c r="BQ109" s="543"/>
      <c r="BR109" s="265"/>
      <c r="BS109" s="265"/>
      <c r="BT109" s="265"/>
      <c r="BU109" s="265"/>
      <c r="BV109" s="265"/>
      <c r="BW109" s="265"/>
      <c r="BX109" s="265"/>
      <c r="BY109" s="265"/>
      <c r="BZ109" s="265"/>
      <c r="CA109" s="265"/>
      <c r="CB109" s="265"/>
      <c r="CC109" s="265"/>
      <c r="CD109" s="265"/>
      <c r="CE109" s="265"/>
      <c r="CF109" s="265"/>
      <c r="CG109" s="265"/>
      <c r="CH109" s="265"/>
      <c r="CI109" s="265"/>
      <c r="CJ109" s="265"/>
      <c r="CK109" s="543"/>
      <c r="CL109" s="543"/>
      <c r="CM109" s="543"/>
      <c r="CN109" s="543"/>
      <c r="CO109" s="543"/>
      <c r="CP109" s="543"/>
      <c r="CQ109" s="543"/>
      <c r="CR109" s="543"/>
    </row>
    <row r="110" s="61" customFormat="1" ht="16" customHeight="1" spans="7:96">
      <c r="G110" s="63"/>
      <c r="M110" s="247"/>
      <c r="T110" s="64"/>
      <c r="AA110" s="63"/>
      <c r="AH110" s="63"/>
      <c r="AI110" s="576"/>
      <c r="AJ110" s="577"/>
      <c r="AK110" s="577"/>
      <c r="AL110" s="577"/>
      <c r="AM110" s="577"/>
      <c r="AN110" s="577"/>
      <c r="AO110" s="577"/>
      <c r="AP110" s="577"/>
      <c r="AQ110" s="578"/>
      <c r="AR110" s="262">
        <f t="shared" si="78"/>
        <v>0</v>
      </c>
      <c r="AS110" s="262">
        <f>第1期!AS110+第1期!AR110+第1期!AU110</f>
        <v>0</v>
      </c>
      <c r="AT110" s="411">
        <f>第1期!AU110+第1期!AT110</f>
        <v>0</v>
      </c>
      <c r="AU110" s="262">
        <f>0.5*第1期!AP110-AS110</f>
        <v>0</v>
      </c>
      <c r="AV110" s="262">
        <f t="shared" si="79"/>
        <v>0</v>
      </c>
      <c r="AW110" s="412" t="e">
        <f t="shared" si="80"/>
        <v>#DIV/0!</v>
      </c>
      <c r="AX110" s="456">
        <f>MAX(AK110,第1期!AO110)</f>
        <v>0</v>
      </c>
      <c r="AY110" s="261"/>
      <c r="AZ110" s="63"/>
      <c r="BA110" s="543"/>
      <c r="BB110" s="543"/>
      <c r="BC110" s="543"/>
      <c r="BD110" s="543"/>
      <c r="BE110" s="543"/>
      <c r="BF110" s="543"/>
      <c r="BG110" s="543"/>
      <c r="BH110" s="543"/>
      <c r="BI110" s="543"/>
      <c r="BJ110" s="543"/>
      <c r="BK110" s="543"/>
      <c r="BL110" s="543"/>
      <c r="BM110" s="543"/>
      <c r="BN110" s="543"/>
      <c r="BO110" s="543"/>
      <c r="BP110" s="543"/>
      <c r="BQ110" s="543"/>
      <c r="BR110" s="265"/>
      <c r="BS110" s="265"/>
      <c r="BT110" s="265"/>
      <c r="BU110" s="265"/>
      <c r="BV110" s="265"/>
      <c r="BW110" s="265"/>
      <c r="BX110" s="265"/>
      <c r="BY110" s="265"/>
      <c r="BZ110" s="265"/>
      <c r="CA110" s="265"/>
      <c r="CB110" s="265"/>
      <c r="CC110" s="265"/>
      <c r="CD110" s="265"/>
      <c r="CE110" s="265"/>
      <c r="CF110" s="265"/>
      <c r="CG110" s="265"/>
      <c r="CH110" s="265"/>
      <c r="CI110" s="265"/>
      <c r="CJ110" s="265"/>
      <c r="CK110" s="543"/>
      <c r="CL110" s="543"/>
      <c r="CM110" s="543"/>
      <c r="CN110" s="543"/>
      <c r="CO110" s="543"/>
      <c r="CP110" s="543"/>
      <c r="CQ110" s="543"/>
      <c r="CR110" s="543"/>
    </row>
    <row r="111" s="61" customFormat="1" ht="16" customHeight="1" spans="7:96">
      <c r="G111" s="63"/>
      <c r="M111" s="247"/>
      <c r="T111" s="64"/>
      <c r="AA111" s="63"/>
      <c r="AH111" s="63"/>
      <c r="AI111" s="576"/>
      <c r="AJ111" s="577"/>
      <c r="AK111" s="577"/>
      <c r="AL111" s="577"/>
      <c r="AM111" s="577"/>
      <c r="AN111" s="577"/>
      <c r="AO111" s="577"/>
      <c r="AP111" s="577"/>
      <c r="AQ111" s="578"/>
      <c r="AR111" s="262">
        <f t="shared" si="78"/>
        <v>0</v>
      </c>
      <c r="AS111" s="262">
        <f>第1期!AS111+第1期!AR111+第1期!AU111</f>
        <v>0</v>
      </c>
      <c r="AT111" s="411">
        <f>第1期!AU111+第1期!AT111</f>
        <v>0</v>
      </c>
      <c r="AU111" s="262">
        <f>0.5*第1期!AP111-AS111</f>
        <v>0</v>
      </c>
      <c r="AV111" s="262">
        <f t="shared" si="79"/>
        <v>0</v>
      </c>
      <c r="AW111" s="412" t="e">
        <f t="shared" si="80"/>
        <v>#DIV/0!</v>
      </c>
      <c r="AX111" s="456">
        <f>MAX(AK111,第1期!AO111)</f>
        <v>0</v>
      </c>
      <c r="AY111" s="261"/>
      <c r="AZ111" s="63"/>
      <c r="BA111" s="543"/>
      <c r="BB111" s="543"/>
      <c r="BC111" s="543"/>
      <c r="BD111" s="543"/>
      <c r="BE111" s="543"/>
      <c r="BF111" s="543"/>
      <c r="BG111" s="543"/>
      <c r="BH111" s="543"/>
      <c r="BI111" s="543"/>
      <c r="BJ111" s="543"/>
      <c r="BK111" s="543"/>
      <c r="BL111" s="543"/>
      <c r="BM111" s="543"/>
      <c r="BN111" s="543"/>
      <c r="BO111" s="543"/>
      <c r="BP111" s="543"/>
      <c r="BQ111" s="543"/>
      <c r="BR111" s="265"/>
      <c r="BS111" s="265"/>
      <c r="BT111" s="265"/>
      <c r="BU111" s="265"/>
      <c r="BV111" s="265"/>
      <c r="BW111" s="265"/>
      <c r="BX111" s="265"/>
      <c r="BY111" s="265"/>
      <c r="BZ111" s="265"/>
      <c r="CA111" s="265"/>
      <c r="CB111" s="265"/>
      <c r="CC111" s="265"/>
      <c r="CD111" s="265"/>
      <c r="CE111" s="265"/>
      <c r="CF111" s="265"/>
      <c r="CG111" s="265"/>
      <c r="CH111" s="265"/>
      <c r="CI111" s="265"/>
      <c r="CJ111" s="265"/>
      <c r="CK111" s="543"/>
      <c r="CL111" s="543"/>
      <c r="CM111" s="543"/>
      <c r="CN111" s="543"/>
      <c r="CO111" s="543"/>
      <c r="CP111" s="543"/>
      <c r="CQ111" s="543"/>
      <c r="CR111" s="543"/>
    </row>
    <row r="112" s="61" customFormat="1" ht="16" customHeight="1" spans="7:96">
      <c r="G112" s="63"/>
      <c r="M112" s="247"/>
      <c r="T112" s="64"/>
      <c r="AA112" s="63"/>
      <c r="AH112" s="63"/>
      <c r="AI112" s="576"/>
      <c r="AJ112" s="577"/>
      <c r="AK112" s="577"/>
      <c r="AL112" s="577"/>
      <c r="AM112" s="577"/>
      <c r="AN112" s="577"/>
      <c r="AO112" s="577"/>
      <c r="AP112" s="577"/>
      <c r="AQ112" s="578"/>
      <c r="AR112" s="262">
        <f t="shared" si="78"/>
        <v>0</v>
      </c>
      <c r="AS112" s="262">
        <f>第1期!AS112+第1期!AR112+第1期!AU112</f>
        <v>0</v>
      </c>
      <c r="AT112" s="411">
        <f>第1期!AU112+第1期!AT112</f>
        <v>0</v>
      </c>
      <c r="AU112" s="262">
        <f>0.5*第1期!AP112-AS112</f>
        <v>0</v>
      </c>
      <c r="AV112" s="262">
        <f t="shared" si="79"/>
        <v>0</v>
      </c>
      <c r="AW112" s="412" t="e">
        <f t="shared" si="80"/>
        <v>#DIV/0!</v>
      </c>
      <c r="AX112" s="456">
        <f>MAX(AK112,第1期!AO112)</f>
        <v>0</v>
      </c>
      <c r="AY112" s="261"/>
      <c r="AZ112" s="63"/>
      <c r="BA112" s="543"/>
      <c r="BB112" s="543"/>
      <c r="BC112" s="543"/>
      <c r="BD112" s="543"/>
      <c r="BE112" s="543"/>
      <c r="BF112" s="543"/>
      <c r="BG112" s="543"/>
      <c r="BH112" s="543"/>
      <c r="BI112" s="543"/>
      <c r="BJ112" s="543"/>
      <c r="BK112" s="543"/>
      <c r="BL112" s="543"/>
      <c r="BM112" s="543"/>
      <c r="BN112" s="543"/>
      <c r="BO112" s="543"/>
      <c r="BP112" s="543"/>
      <c r="BQ112" s="543"/>
      <c r="BR112" s="265"/>
      <c r="BS112" s="265"/>
      <c r="BT112" s="265"/>
      <c r="BU112" s="265"/>
      <c r="BV112" s="265"/>
      <c r="BW112" s="265"/>
      <c r="BX112" s="265"/>
      <c r="BY112" s="265"/>
      <c r="BZ112" s="265"/>
      <c r="CA112" s="265"/>
      <c r="CB112" s="265"/>
      <c r="CC112" s="265"/>
      <c r="CD112" s="265"/>
      <c r="CE112" s="265"/>
      <c r="CF112" s="265"/>
      <c r="CG112" s="265"/>
      <c r="CH112" s="265"/>
      <c r="CI112" s="265"/>
      <c r="CJ112" s="265"/>
      <c r="CK112" s="543"/>
      <c r="CL112" s="543"/>
      <c r="CM112" s="543"/>
      <c r="CN112" s="543"/>
      <c r="CO112" s="543"/>
      <c r="CP112" s="543"/>
      <c r="CQ112" s="543"/>
      <c r="CR112" s="543"/>
    </row>
    <row r="113" s="61" customFormat="1" ht="16" customHeight="1" spans="7:96">
      <c r="G113" s="63"/>
      <c r="M113" s="247"/>
      <c r="T113" s="64"/>
      <c r="AA113" s="63"/>
      <c r="AH113" s="63"/>
      <c r="AI113" s="576"/>
      <c r="AJ113" s="577"/>
      <c r="AK113" s="577"/>
      <c r="AL113" s="577"/>
      <c r="AM113" s="577"/>
      <c r="AN113" s="577"/>
      <c r="AO113" s="577"/>
      <c r="AP113" s="577"/>
      <c r="AQ113" s="578"/>
      <c r="AR113" s="262">
        <f t="shared" si="78"/>
        <v>0</v>
      </c>
      <c r="AS113" s="262">
        <f>第1期!AS113+第1期!AR113+第1期!AU113</f>
        <v>0</v>
      </c>
      <c r="AT113" s="411">
        <f>第1期!AU113+第1期!AT113</f>
        <v>0</v>
      </c>
      <c r="AU113" s="262">
        <f>0.5*第1期!AP113-AS113</f>
        <v>0</v>
      </c>
      <c r="AV113" s="262">
        <f t="shared" si="79"/>
        <v>0</v>
      </c>
      <c r="AW113" s="412" t="e">
        <f t="shared" si="80"/>
        <v>#DIV/0!</v>
      </c>
      <c r="AX113" s="456">
        <f>MAX(AK113,第1期!AO113)</f>
        <v>0</v>
      </c>
      <c r="AY113" s="261"/>
      <c r="AZ113" s="63"/>
      <c r="BA113" s="543"/>
      <c r="BB113" s="543"/>
      <c r="BC113" s="543"/>
      <c r="BD113" s="543"/>
      <c r="BE113" s="543"/>
      <c r="BF113" s="543"/>
      <c r="BG113" s="543"/>
      <c r="BH113" s="543"/>
      <c r="BI113" s="543"/>
      <c r="BJ113" s="543"/>
      <c r="BK113" s="543"/>
      <c r="BL113" s="543"/>
      <c r="BM113" s="543"/>
      <c r="BN113" s="543"/>
      <c r="BO113" s="543"/>
      <c r="BP113" s="543"/>
      <c r="BQ113" s="543"/>
      <c r="BR113" s="265"/>
      <c r="BS113" s="265"/>
      <c r="BT113" s="265"/>
      <c r="BU113" s="265"/>
      <c r="BV113" s="265"/>
      <c r="BW113" s="265"/>
      <c r="BX113" s="265"/>
      <c r="BY113" s="265"/>
      <c r="BZ113" s="265"/>
      <c r="CA113" s="265"/>
      <c r="CB113" s="265"/>
      <c r="CC113" s="265"/>
      <c r="CD113" s="265"/>
      <c r="CE113" s="265"/>
      <c r="CF113" s="265"/>
      <c r="CG113" s="265"/>
      <c r="CH113" s="265"/>
      <c r="CI113" s="265"/>
      <c r="CJ113" s="265"/>
      <c r="CK113" s="543"/>
      <c r="CL113" s="543"/>
      <c r="CM113" s="543"/>
      <c r="CN113" s="543"/>
      <c r="CO113" s="543"/>
      <c r="CP113" s="543"/>
      <c r="CQ113" s="543"/>
      <c r="CR113" s="543"/>
    </row>
    <row r="114" s="61" customFormat="1" ht="16" customHeight="1" spans="7:96">
      <c r="G114" s="63"/>
      <c r="M114" s="247"/>
      <c r="T114" s="64"/>
      <c r="AA114" s="63"/>
      <c r="AH114" s="63"/>
      <c r="AI114" s="576"/>
      <c r="AJ114" s="577"/>
      <c r="AK114" s="577"/>
      <c r="AL114" s="577"/>
      <c r="AM114" s="577"/>
      <c r="AN114" s="577"/>
      <c r="AO114" s="577"/>
      <c r="AP114" s="577"/>
      <c r="AQ114" s="578"/>
      <c r="AR114" s="262">
        <f t="shared" si="78"/>
        <v>0</v>
      </c>
      <c r="AS114" s="262">
        <f>第1期!AS114+第1期!AR114+第1期!AU114</f>
        <v>0</v>
      </c>
      <c r="AT114" s="411">
        <f>第1期!AU114+第1期!AT114</f>
        <v>0</v>
      </c>
      <c r="AU114" s="262">
        <f>0.5*第1期!AP114-AS114</f>
        <v>0</v>
      </c>
      <c r="AV114" s="262">
        <f t="shared" si="79"/>
        <v>0</v>
      </c>
      <c r="AW114" s="412" t="e">
        <f t="shared" si="80"/>
        <v>#DIV/0!</v>
      </c>
      <c r="AX114" s="456">
        <f>MAX(AK114,第1期!AO114)</f>
        <v>0</v>
      </c>
      <c r="AY114" s="261"/>
      <c r="AZ114" s="63"/>
      <c r="BA114" s="543"/>
      <c r="BB114" s="543"/>
      <c r="BC114" s="543"/>
      <c r="BD114" s="543"/>
      <c r="BE114" s="543"/>
      <c r="BF114" s="543"/>
      <c r="BG114" s="543"/>
      <c r="BH114" s="543"/>
      <c r="BI114" s="543"/>
      <c r="BJ114" s="543"/>
      <c r="BK114" s="543"/>
      <c r="BL114" s="543"/>
      <c r="BM114" s="543"/>
      <c r="BN114" s="543"/>
      <c r="BO114" s="543"/>
      <c r="BP114" s="543"/>
      <c r="BQ114" s="543"/>
      <c r="BR114" s="265"/>
      <c r="BS114" s="265"/>
      <c r="BT114" s="265"/>
      <c r="BU114" s="265"/>
      <c r="BV114" s="265"/>
      <c r="BW114" s="265"/>
      <c r="BX114" s="265"/>
      <c r="BY114" s="265"/>
      <c r="BZ114" s="265"/>
      <c r="CA114" s="265"/>
      <c r="CB114" s="265"/>
      <c r="CC114" s="265"/>
      <c r="CD114" s="265"/>
      <c r="CE114" s="265"/>
      <c r="CF114" s="265"/>
      <c r="CG114" s="265"/>
      <c r="CH114" s="265"/>
      <c r="CI114" s="265"/>
      <c r="CJ114" s="265"/>
      <c r="CK114" s="543"/>
      <c r="CL114" s="543"/>
      <c r="CM114" s="543"/>
      <c r="CN114" s="543"/>
      <c r="CO114" s="543"/>
      <c r="CP114" s="543"/>
      <c r="CQ114" s="543"/>
      <c r="CR114" s="543"/>
    </row>
    <row r="115" s="61" customFormat="1" ht="16" customHeight="1" spans="7:96">
      <c r="G115" s="63"/>
      <c r="M115" s="247"/>
      <c r="T115" s="64"/>
      <c r="AA115" s="63"/>
      <c r="AH115" s="63"/>
      <c r="AI115" s="576"/>
      <c r="AJ115" s="577"/>
      <c r="AK115" s="577"/>
      <c r="AL115" s="577"/>
      <c r="AM115" s="577"/>
      <c r="AN115" s="577"/>
      <c r="AO115" s="577"/>
      <c r="AP115" s="577"/>
      <c r="AQ115" s="578"/>
      <c r="AR115" s="262">
        <f t="shared" si="78"/>
        <v>0</v>
      </c>
      <c r="AS115" s="262">
        <f>第1期!AS115+第1期!AR115+第1期!AU115</f>
        <v>0</v>
      </c>
      <c r="AT115" s="411">
        <f>第1期!AU115+第1期!AT115</f>
        <v>0</v>
      </c>
      <c r="AU115" s="262">
        <f>0.5*第1期!AP115-AS115</f>
        <v>0</v>
      </c>
      <c r="AV115" s="262">
        <f t="shared" si="79"/>
        <v>0</v>
      </c>
      <c r="AW115" s="412" t="e">
        <f t="shared" si="80"/>
        <v>#DIV/0!</v>
      </c>
      <c r="AX115" s="456">
        <f>MAX(AK115,第1期!AO115)</f>
        <v>0</v>
      </c>
      <c r="AY115" s="261"/>
      <c r="AZ115" s="63"/>
      <c r="BA115" s="543"/>
      <c r="BB115" s="543"/>
      <c r="BC115" s="543"/>
      <c r="BD115" s="543"/>
      <c r="BE115" s="543"/>
      <c r="BF115" s="543"/>
      <c r="BG115" s="543"/>
      <c r="BH115" s="543"/>
      <c r="BI115" s="543"/>
      <c r="BJ115" s="543"/>
      <c r="BK115" s="543"/>
      <c r="BL115" s="543"/>
      <c r="BM115" s="543"/>
      <c r="BN115" s="543"/>
      <c r="BO115" s="543"/>
      <c r="BP115" s="543"/>
      <c r="BQ115" s="543"/>
      <c r="BR115" s="265"/>
      <c r="BS115" s="265"/>
      <c r="BT115" s="265"/>
      <c r="BU115" s="265"/>
      <c r="BV115" s="265"/>
      <c r="BW115" s="265"/>
      <c r="BX115" s="265"/>
      <c r="BY115" s="265"/>
      <c r="BZ115" s="265"/>
      <c r="CA115" s="265"/>
      <c r="CB115" s="265"/>
      <c r="CC115" s="265"/>
      <c r="CD115" s="265"/>
      <c r="CE115" s="265"/>
      <c r="CF115" s="265"/>
      <c r="CG115" s="265"/>
      <c r="CH115" s="265"/>
      <c r="CI115" s="265"/>
      <c r="CJ115" s="265"/>
      <c r="CK115" s="543"/>
      <c r="CL115" s="543"/>
      <c r="CM115" s="543"/>
      <c r="CN115" s="543"/>
      <c r="CO115" s="543"/>
      <c r="CP115" s="543"/>
      <c r="CQ115" s="543"/>
      <c r="CR115" s="543"/>
    </row>
    <row r="116" s="61" customFormat="1" ht="16" customHeight="1" spans="7:96">
      <c r="G116" s="63"/>
      <c r="M116" s="247"/>
      <c r="T116" s="64"/>
      <c r="AA116" s="63"/>
      <c r="AH116" s="63"/>
      <c r="AI116" s="576"/>
      <c r="AJ116" s="577"/>
      <c r="AK116" s="577"/>
      <c r="AL116" s="577"/>
      <c r="AM116" s="577"/>
      <c r="AN116" s="577"/>
      <c r="AO116" s="577"/>
      <c r="AP116" s="577"/>
      <c r="AQ116" s="578"/>
      <c r="AR116" s="262">
        <f t="shared" si="78"/>
        <v>0</v>
      </c>
      <c r="AS116" s="262">
        <f>第1期!AS116+第1期!AR116+第1期!AU116</f>
        <v>0</v>
      </c>
      <c r="AT116" s="411">
        <f>第1期!AU116+第1期!AT116</f>
        <v>0</v>
      </c>
      <c r="AU116" s="262">
        <f>0.5*第1期!AP116-AS116</f>
        <v>0</v>
      </c>
      <c r="AV116" s="262">
        <f t="shared" si="79"/>
        <v>0</v>
      </c>
      <c r="AW116" s="412" t="e">
        <f t="shared" si="80"/>
        <v>#DIV/0!</v>
      </c>
      <c r="AX116" s="456">
        <f>MAX(AK116,第1期!AO116)</f>
        <v>0</v>
      </c>
      <c r="AY116" s="261"/>
      <c r="AZ116" s="63"/>
      <c r="BA116" s="543"/>
      <c r="BB116" s="543"/>
      <c r="BC116" s="543"/>
      <c r="BD116" s="543"/>
      <c r="BE116" s="543"/>
      <c r="BF116" s="543"/>
      <c r="BG116" s="543"/>
      <c r="BH116" s="543"/>
      <c r="BI116" s="543"/>
      <c r="BJ116" s="543"/>
      <c r="BK116" s="543"/>
      <c r="BL116" s="543"/>
      <c r="BM116" s="543"/>
      <c r="BN116" s="543"/>
      <c r="BO116" s="543"/>
      <c r="BP116" s="543"/>
      <c r="BQ116" s="543"/>
      <c r="BR116" s="265"/>
      <c r="BS116" s="265"/>
      <c r="BT116" s="265"/>
      <c r="BU116" s="265"/>
      <c r="BV116" s="265"/>
      <c r="BW116" s="265"/>
      <c r="BX116" s="265"/>
      <c r="BY116" s="265"/>
      <c r="BZ116" s="265"/>
      <c r="CA116" s="265"/>
      <c r="CB116" s="265"/>
      <c r="CC116" s="265"/>
      <c r="CD116" s="265"/>
      <c r="CE116" s="265"/>
      <c r="CF116" s="265"/>
      <c r="CG116" s="265"/>
      <c r="CH116" s="265"/>
      <c r="CI116" s="265"/>
      <c r="CJ116" s="265"/>
      <c r="CK116" s="543"/>
      <c r="CL116" s="543"/>
      <c r="CM116" s="543"/>
      <c r="CN116" s="543"/>
      <c r="CO116" s="543"/>
      <c r="CP116" s="543"/>
      <c r="CQ116" s="543"/>
      <c r="CR116" s="543"/>
    </row>
    <row r="117" s="61" customFormat="1" ht="16" customHeight="1" spans="7:96">
      <c r="G117" s="63"/>
      <c r="M117" s="247"/>
      <c r="T117" s="64"/>
      <c r="AA117" s="63"/>
      <c r="AH117" s="63"/>
      <c r="AI117" s="576"/>
      <c r="AJ117" s="577"/>
      <c r="AK117" s="577"/>
      <c r="AL117" s="577"/>
      <c r="AM117" s="577"/>
      <c r="AN117" s="577"/>
      <c r="AO117" s="577"/>
      <c r="AP117" s="577"/>
      <c r="AQ117" s="578"/>
      <c r="AR117" s="262">
        <f t="shared" si="78"/>
        <v>0</v>
      </c>
      <c r="AS117" s="262">
        <f>第1期!AS117+第1期!AR117+第1期!AU117</f>
        <v>0</v>
      </c>
      <c r="AT117" s="411">
        <f>第1期!AU117+第1期!AT117</f>
        <v>0</v>
      </c>
      <c r="AU117" s="262">
        <f>0.5*第1期!AP117-AS117</f>
        <v>0</v>
      </c>
      <c r="AV117" s="262">
        <f t="shared" si="79"/>
        <v>0</v>
      </c>
      <c r="AW117" s="412" t="e">
        <f t="shared" si="80"/>
        <v>#DIV/0!</v>
      </c>
      <c r="AX117" s="456">
        <f>MAX(AK117,第1期!AO117)</f>
        <v>0</v>
      </c>
      <c r="AY117" s="261"/>
      <c r="AZ117" s="63"/>
      <c r="BA117" s="543"/>
      <c r="BB117" s="543"/>
      <c r="BC117" s="543"/>
      <c r="BD117" s="543"/>
      <c r="BE117" s="543"/>
      <c r="BF117" s="543"/>
      <c r="BG117" s="543"/>
      <c r="BH117" s="543"/>
      <c r="BI117" s="543"/>
      <c r="BJ117" s="543"/>
      <c r="BK117" s="543"/>
      <c r="BL117" s="543"/>
      <c r="BM117" s="543"/>
      <c r="BN117" s="543"/>
      <c r="BO117" s="543"/>
      <c r="BP117" s="543"/>
      <c r="BQ117" s="543"/>
      <c r="BR117" s="265"/>
      <c r="BS117" s="265"/>
      <c r="BT117" s="265"/>
      <c r="BU117" s="265"/>
      <c r="BV117" s="265"/>
      <c r="BW117" s="265"/>
      <c r="BX117" s="265"/>
      <c r="BY117" s="265"/>
      <c r="BZ117" s="265"/>
      <c r="CA117" s="265"/>
      <c r="CB117" s="265"/>
      <c r="CC117" s="265"/>
      <c r="CD117" s="265"/>
      <c r="CE117" s="265"/>
      <c r="CF117" s="265"/>
      <c r="CG117" s="265"/>
      <c r="CH117" s="265"/>
      <c r="CI117" s="265"/>
      <c r="CJ117" s="265"/>
      <c r="CK117" s="543"/>
      <c r="CL117" s="543"/>
      <c r="CM117" s="543"/>
      <c r="CN117" s="543"/>
      <c r="CO117" s="543"/>
      <c r="CP117" s="543"/>
      <c r="CQ117" s="543"/>
      <c r="CR117" s="543"/>
    </row>
    <row r="118" s="61" customFormat="1" ht="16" customHeight="1" spans="7:96">
      <c r="G118" s="63"/>
      <c r="M118" s="247"/>
      <c r="T118" s="64"/>
      <c r="AA118" s="63"/>
      <c r="AH118" s="63"/>
      <c r="AI118" s="576"/>
      <c r="AJ118" s="577"/>
      <c r="AK118" s="577"/>
      <c r="AL118" s="577"/>
      <c r="AM118" s="577"/>
      <c r="AN118" s="577"/>
      <c r="AO118" s="577"/>
      <c r="AP118" s="577"/>
      <c r="AQ118" s="578"/>
      <c r="AR118" s="262">
        <f t="shared" si="78"/>
        <v>0</v>
      </c>
      <c r="AS118" s="262">
        <f>第1期!AS118+第1期!AR118+第1期!AU118</f>
        <v>0</v>
      </c>
      <c r="AT118" s="411">
        <f>第1期!AU118+第1期!AT118</f>
        <v>0</v>
      </c>
      <c r="AU118" s="262">
        <f>0.5*第1期!AP118-AS118</f>
        <v>0</v>
      </c>
      <c r="AV118" s="262">
        <f t="shared" si="79"/>
        <v>0</v>
      </c>
      <c r="AW118" s="412" t="e">
        <f t="shared" si="80"/>
        <v>#DIV/0!</v>
      </c>
      <c r="AX118" s="456">
        <f>MAX(AK118,第1期!AO118)</f>
        <v>0</v>
      </c>
      <c r="AY118" s="261"/>
      <c r="AZ118" s="63"/>
      <c r="BA118" s="543"/>
      <c r="BB118" s="543"/>
      <c r="BC118" s="543"/>
      <c r="BD118" s="543"/>
      <c r="BE118" s="543"/>
      <c r="BF118" s="543"/>
      <c r="BG118" s="543"/>
      <c r="BH118" s="543"/>
      <c r="BI118" s="543"/>
      <c r="BJ118" s="543"/>
      <c r="BK118" s="543"/>
      <c r="BL118" s="543"/>
      <c r="BM118" s="543"/>
      <c r="BN118" s="543"/>
      <c r="BO118" s="543"/>
      <c r="BP118" s="543"/>
      <c r="BQ118" s="543"/>
      <c r="BR118" s="265"/>
      <c r="BS118" s="265"/>
      <c r="BT118" s="265"/>
      <c r="BU118" s="265"/>
      <c r="BV118" s="265"/>
      <c r="BW118" s="265"/>
      <c r="BX118" s="265"/>
      <c r="BY118" s="265"/>
      <c r="BZ118" s="265"/>
      <c r="CA118" s="265"/>
      <c r="CB118" s="265"/>
      <c r="CC118" s="265"/>
      <c r="CD118" s="265"/>
      <c r="CE118" s="265"/>
      <c r="CF118" s="265"/>
      <c r="CG118" s="265"/>
      <c r="CH118" s="265"/>
      <c r="CI118" s="265"/>
      <c r="CJ118" s="265"/>
      <c r="CK118" s="543"/>
      <c r="CL118" s="543"/>
      <c r="CM118" s="543"/>
      <c r="CN118" s="543"/>
      <c r="CO118" s="543"/>
      <c r="CP118" s="543"/>
      <c r="CQ118" s="543"/>
      <c r="CR118" s="543"/>
    </row>
    <row r="119" s="61" customFormat="1" ht="16" customHeight="1" spans="7:96">
      <c r="G119" s="63"/>
      <c r="M119" s="247"/>
      <c r="T119" s="64"/>
      <c r="AA119" s="63"/>
      <c r="AH119" s="63"/>
      <c r="AI119" s="576"/>
      <c r="AJ119" s="577"/>
      <c r="AK119" s="577"/>
      <c r="AL119" s="577"/>
      <c r="AM119" s="577"/>
      <c r="AN119" s="577"/>
      <c r="AO119" s="577"/>
      <c r="AP119" s="577"/>
      <c r="AQ119" s="578"/>
      <c r="AR119" s="262">
        <f t="shared" si="78"/>
        <v>0</v>
      </c>
      <c r="AS119" s="262">
        <f>第1期!AS119+第1期!AR119+第1期!AU119</f>
        <v>0</v>
      </c>
      <c r="AT119" s="411">
        <f>第1期!AU119+第1期!AT119</f>
        <v>0</v>
      </c>
      <c r="AU119" s="262">
        <f>0.5*第1期!AP119-AS119</f>
        <v>0</v>
      </c>
      <c r="AV119" s="262">
        <f t="shared" si="79"/>
        <v>0</v>
      </c>
      <c r="AW119" s="412" t="e">
        <f t="shared" si="80"/>
        <v>#DIV/0!</v>
      </c>
      <c r="AX119" s="456">
        <f>MAX(AK119,第1期!AO119)</f>
        <v>0</v>
      </c>
      <c r="AY119" s="261"/>
      <c r="AZ119" s="63"/>
      <c r="BA119" s="543"/>
      <c r="BB119" s="543"/>
      <c r="BC119" s="543"/>
      <c r="BD119" s="543"/>
      <c r="BE119" s="543"/>
      <c r="BF119" s="543"/>
      <c r="BG119" s="543"/>
      <c r="BH119" s="543"/>
      <c r="BI119" s="543"/>
      <c r="BJ119" s="543"/>
      <c r="BK119" s="543"/>
      <c r="BL119" s="543"/>
      <c r="BM119" s="543"/>
      <c r="BN119" s="543"/>
      <c r="BO119" s="543"/>
      <c r="BP119" s="543"/>
      <c r="BQ119" s="543"/>
      <c r="BR119" s="265"/>
      <c r="BS119" s="265"/>
      <c r="BT119" s="265"/>
      <c r="BU119" s="265"/>
      <c r="BV119" s="265"/>
      <c r="BW119" s="265"/>
      <c r="BX119" s="265"/>
      <c r="BY119" s="265"/>
      <c r="BZ119" s="265"/>
      <c r="CA119" s="265"/>
      <c r="CB119" s="265"/>
      <c r="CC119" s="265"/>
      <c r="CD119" s="265"/>
      <c r="CE119" s="265"/>
      <c r="CF119" s="265"/>
      <c r="CG119" s="265"/>
      <c r="CH119" s="265"/>
      <c r="CI119" s="265"/>
      <c r="CJ119" s="265"/>
      <c r="CK119" s="543"/>
      <c r="CL119" s="543"/>
      <c r="CM119" s="543"/>
      <c r="CN119" s="543"/>
      <c r="CO119" s="543"/>
      <c r="CP119" s="543"/>
      <c r="CQ119" s="543"/>
      <c r="CR119" s="543"/>
    </row>
    <row r="120" s="61" customFormat="1" ht="16" customHeight="1" spans="7:96">
      <c r="G120" s="63"/>
      <c r="M120" s="247"/>
      <c r="T120" s="64"/>
      <c r="AA120" s="63"/>
      <c r="AH120" s="63"/>
      <c r="AI120" s="576"/>
      <c r="AJ120" s="577"/>
      <c r="AK120" s="577"/>
      <c r="AL120" s="577"/>
      <c r="AM120" s="577"/>
      <c r="AN120" s="577"/>
      <c r="AO120" s="577"/>
      <c r="AP120" s="577"/>
      <c r="AQ120" s="578"/>
      <c r="AR120" s="262">
        <f t="shared" si="78"/>
        <v>0</v>
      </c>
      <c r="AS120" s="262">
        <f>第1期!AS120+第1期!AR120+第1期!AU120</f>
        <v>0</v>
      </c>
      <c r="AT120" s="411">
        <f>第1期!AU120+第1期!AT120</f>
        <v>0</v>
      </c>
      <c r="AU120" s="262">
        <f>0.5*第1期!AP120-AS120</f>
        <v>0</v>
      </c>
      <c r="AV120" s="262">
        <f t="shared" si="79"/>
        <v>0</v>
      </c>
      <c r="AW120" s="412" t="e">
        <f t="shared" si="80"/>
        <v>#DIV/0!</v>
      </c>
      <c r="AX120" s="456">
        <f>MAX(AK120,第1期!AO120)</f>
        <v>0</v>
      </c>
      <c r="AY120" s="261"/>
      <c r="AZ120" s="63"/>
      <c r="BA120" s="543"/>
      <c r="BB120" s="543"/>
      <c r="BC120" s="543"/>
      <c r="BD120" s="543"/>
      <c r="BE120" s="543"/>
      <c r="BF120" s="543"/>
      <c r="BG120" s="543"/>
      <c r="BH120" s="543"/>
      <c r="BI120" s="543"/>
      <c r="BJ120" s="543"/>
      <c r="BK120" s="543"/>
      <c r="BL120" s="543"/>
      <c r="BM120" s="543"/>
      <c r="BN120" s="543"/>
      <c r="BO120" s="543"/>
      <c r="BP120" s="543"/>
      <c r="BQ120" s="543"/>
      <c r="BR120" s="265"/>
      <c r="BS120" s="265"/>
      <c r="BT120" s="265"/>
      <c r="BU120" s="265"/>
      <c r="BV120" s="265"/>
      <c r="BW120" s="265"/>
      <c r="BX120" s="265"/>
      <c r="BY120" s="265"/>
      <c r="BZ120" s="265"/>
      <c r="CA120" s="265"/>
      <c r="CB120" s="265"/>
      <c r="CC120" s="265"/>
      <c r="CD120" s="265"/>
      <c r="CE120" s="265"/>
      <c r="CF120" s="265"/>
      <c r="CG120" s="265"/>
      <c r="CH120" s="265"/>
      <c r="CI120" s="265"/>
      <c r="CJ120" s="265"/>
      <c r="CK120" s="543"/>
      <c r="CL120" s="543"/>
      <c r="CM120" s="543"/>
      <c r="CN120" s="543"/>
      <c r="CO120" s="543"/>
      <c r="CP120" s="543"/>
      <c r="CQ120" s="543"/>
      <c r="CR120" s="543"/>
    </row>
    <row r="121" s="61" customFormat="1" ht="16" customHeight="1" spans="7:96">
      <c r="G121" s="63"/>
      <c r="M121" s="247"/>
      <c r="T121" s="64"/>
      <c r="AA121" s="63"/>
      <c r="AH121" s="63"/>
      <c r="AI121" s="576"/>
      <c r="AJ121" s="577"/>
      <c r="AK121" s="577"/>
      <c r="AL121" s="577"/>
      <c r="AM121" s="577"/>
      <c r="AN121" s="577"/>
      <c r="AO121" s="577"/>
      <c r="AP121" s="577"/>
      <c r="AQ121" s="578"/>
      <c r="AR121" s="262">
        <f t="shared" si="78"/>
        <v>0</v>
      </c>
      <c r="AS121" s="262">
        <f>第1期!AS121+第1期!AR121+第1期!AU121</f>
        <v>0</v>
      </c>
      <c r="AT121" s="411">
        <f>第1期!AU121+第1期!AT121</f>
        <v>0</v>
      </c>
      <c r="AU121" s="262">
        <f>0.5*第1期!AP121-AS121</f>
        <v>0</v>
      </c>
      <c r="AV121" s="262">
        <f t="shared" si="79"/>
        <v>0</v>
      </c>
      <c r="AW121" s="412" t="e">
        <f t="shared" si="80"/>
        <v>#DIV/0!</v>
      </c>
      <c r="AX121" s="456">
        <f>MAX(AK121,第1期!AO121)</f>
        <v>0</v>
      </c>
      <c r="AY121" s="261"/>
      <c r="AZ121" s="63"/>
      <c r="BA121" s="543"/>
      <c r="BB121" s="543"/>
      <c r="BC121" s="543"/>
      <c r="BD121" s="543"/>
      <c r="BE121" s="543"/>
      <c r="BF121" s="543"/>
      <c r="BG121" s="543"/>
      <c r="BH121" s="543"/>
      <c r="BI121" s="543"/>
      <c r="BJ121" s="543"/>
      <c r="BK121" s="543"/>
      <c r="BL121" s="543"/>
      <c r="BM121" s="543"/>
      <c r="BN121" s="543"/>
      <c r="BO121" s="543"/>
      <c r="BP121" s="543"/>
      <c r="BQ121" s="543"/>
      <c r="BR121" s="265"/>
      <c r="BS121" s="265"/>
      <c r="BT121" s="265"/>
      <c r="BU121" s="265"/>
      <c r="BV121" s="265"/>
      <c r="BW121" s="265"/>
      <c r="BX121" s="265"/>
      <c r="BY121" s="265"/>
      <c r="BZ121" s="265"/>
      <c r="CA121" s="265"/>
      <c r="CB121" s="265"/>
      <c r="CC121" s="265"/>
      <c r="CD121" s="265"/>
      <c r="CE121" s="265"/>
      <c r="CF121" s="265"/>
      <c r="CG121" s="265"/>
      <c r="CH121" s="265"/>
      <c r="CI121" s="265"/>
      <c r="CJ121" s="265"/>
      <c r="CK121" s="543"/>
      <c r="CL121" s="543"/>
      <c r="CM121" s="543"/>
      <c r="CN121" s="543"/>
      <c r="CO121" s="543"/>
      <c r="CP121" s="543"/>
      <c r="CQ121" s="543"/>
      <c r="CR121" s="543"/>
    </row>
    <row r="122" s="61" customFormat="1" ht="16" customHeight="1" spans="7:96">
      <c r="G122" s="63"/>
      <c r="M122" s="247"/>
      <c r="T122" s="64"/>
      <c r="AA122" s="63"/>
      <c r="AH122" s="63"/>
      <c r="AI122" s="576"/>
      <c r="AJ122" s="577"/>
      <c r="AK122" s="577"/>
      <c r="AL122" s="577"/>
      <c r="AM122" s="577"/>
      <c r="AN122" s="577"/>
      <c r="AO122" s="577"/>
      <c r="AP122" s="577"/>
      <c r="AQ122" s="578"/>
      <c r="AR122" s="262">
        <f t="shared" si="78"/>
        <v>0</v>
      </c>
      <c r="AS122" s="262">
        <f>第1期!AS122+第1期!AR122+第1期!AU122</f>
        <v>0</v>
      </c>
      <c r="AT122" s="411">
        <f>第1期!AU122+第1期!AT122</f>
        <v>0</v>
      </c>
      <c r="AU122" s="262">
        <f>0.5*第1期!AP122-AS122</f>
        <v>0</v>
      </c>
      <c r="AV122" s="262">
        <f t="shared" si="79"/>
        <v>0</v>
      </c>
      <c r="AW122" s="412" t="e">
        <f t="shared" si="80"/>
        <v>#DIV/0!</v>
      </c>
      <c r="AX122" s="456">
        <f>MAX(AK122,第1期!AO122)</f>
        <v>0</v>
      </c>
      <c r="AY122" s="261"/>
      <c r="AZ122" s="63"/>
      <c r="BA122" s="543"/>
      <c r="BB122" s="543"/>
      <c r="BC122" s="543"/>
      <c r="BD122" s="543"/>
      <c r="BE122" s="543"/>
      <c r="BF122" s="543"/>
      <c r="BG122" s="543"/>
      <c r="BH122" s="543"/>
      <c r="BI122" s="543"/>
      <c r="BJ122" s="543"/>
      <c r="BK122" s="543"/>
      <c r="BL122" s="543"/>
      <c r="BM122" s="543"/>
      <c r="BN122" s="543"/>
      <c r="BO122" s="543"/>
      <c r="BP122" s="543"/>
      <c r="BQ122" s="543"/>
      <c r="BR122" s="265"/>
      <c r="BS122" s="265"/>
      <c r="BT122" s="265"/>
      <c r="BU122" s="265"/>
      <c r="BV122" s="265"/>
      <c r="BW122" s="265"/>
      <c r="BX122" s="265"/>
      <c r="BY122" s="265"/>
      <c r="BZ122" s="265"/>
      <c r="CA122" s="265"/>
      <c r="CB122" s="265"/>
      <c r="CC122" s="265"/>
      <c r="CD122" s="265"/>
      <c r="CE122" s="265"/>
      <c r="CF122" s="265"/>
      <c r="CG122" s="265"/>
      <c r="CH122" s="265"/>
      <c r="CI122" s="265"/>
      <c r="CJ122" s="265"/>
      <c r="CK122" s="543"/>
      <c r="CL122" s="543"/>
      <c r="CM122" s="543"/>
      <c r="CN122" s="543"/>
      <c r="CO122" s="543"/>
      <c r="CP122" s="543"/>
      <c r="CQ122" s="543"/>
      <c r="CR122" s="543"/>
    </row>
    <row r="123" s="61" customFormat="1" ht="16" customHeight="1" spans="7:96">
      <c r="G123" s="63"/>
      <c r="M123" s="247"/>
      <c r="T123" s="64"/>
      <c r="AA123" s="63"/>
      <c r="AH123" s="63"/>
      <c r="AI123" s="576"/>
      <c r="AJ123" s="577"/>
      <c r="AK123" s="577"/>
      <c r="AL123" s="577"/>
      <c r="AM123" s="577"/>
      <c r="AN123" s="577"/>
      <c r="AO123" s="577"/>
      <c r="AP123" s="577"/>
      <c r="AQ123" s="578"/>
      <c r="AR123" s="262">
        <f t="shared" si="78"/>
        <v>0</v>
      </c>
      <c r="AS123" s="262">
        <f>第1期!AS123+第1期!AR123+第1期!AU123</f>
        <v>0</v>
      </c>
      <c r="AT123" s="411">
        <f>第1期!AU123+第1期!AT123</f>
        <v>0</v>
      </c>
      <c r="AU123" s="262">
        <f>0.5*第1期!AP123-AS123</f>
        <v>0</v>
      </c>
      <c r="AV123" s="262">
        <f t="shared" si="79"/>
        <v>0</v>
      </c>
      <c r="AW123" s="412" t="e">
        <f t="shared" si="80"/>
        <v>#DIV/0!</v>
      </c>
      <c r="AX123" s="456">
        <f>MAX(AK123,第1期!AO123)</f>
        <v>0</v>
      </c>
      <c r="AY123" s="261"/>
      <c r="AZ123" s="63"/>
      <c r="BA123" s="543"/>
      <c r="BB123" s="543"/>
      <c r="BC123" s="543"/>
      <c r="BD123" s="543"/>
      <c r="BE123" s="543"/>
      <c r="BF123" s="543"/>
      <c r="BG123" s="543"/>
      <c r="BH123" s="543"/>
      <c r="BI123" s="543"/>
      <c r="BJ123" s="543"/>
      <c r="BK123" s="543"/>
      <c r="BL123" s="543"/>
      <c r="BM123" s="543"/>
      <c r="BN123" s="543"/>
      <c r="BO123" s="543"/>
      <c r="BP123" s="543"/>
      <c r="BQ123" s="543"/>
      <c r="BR123" s="265"/>
      <c r="BS123" s="265"/>
      <c r="BT123" s="265"/>
      <c r="BU123" s="265"/>
      <c r="BV123" s="265"/>
      <c r="BW123" s="265"/>
      <c r="BX123" s="265"/>
      <c r="BY123" s="265"/>
      <c r="BZ123" s="265"/>
      <c r="CA123" s="265"/>
      <c r="CB123" s="265"/>
      <c r="CC123" s="265"/>
      <c r="CD123" s="265"/>
      <c r="CE123" s="265"/>
      <c r="CF123" s="265"/>
      <c r="CG123" s="265"/>
      <c r="CH123" s="265"/>
      <c r="CI123" s="265"/>
      <c r="CJ123" s="265"/>
      <c r="CK123" s="543"/>
      <c r="CL123" s="543"/>
      <c r="CM123" s="543"/>
      <c r="CN123" s="543"/>
      <c r="CO123" s="543"/>
      <c r="CP123" s="543"/>
      <c r="CQ123" s="543"/>
      <c r="CR123" s="543"/>
    </row>
    <row r="124" s="61" customFormat="1" ht="16" customHeight="1" spans="7:96">
      <c r="G124" s="63"/>
      <c r="M124" s="247"/>
      <c r="T124" s="64"/>
      <c r="AA124" s="63"/>
      <c r="AH124" s="63"/>
      <c r="AI124" s="576"/>
      <c r="AJ124" s="577"/>
      <c r="AK124" s="577"/>
      <c r="AL124" s="577"/>
      <c r="AM124" s="577"/>
      <c r="AN124" s="577"/>
      <c r="AO124" s="577"/>
      <c r="AP124" s="577"/>
      <c r="AQ124" s="578"/>
      <c r="AR124" s="262">
        <f t="shared" si="78"/>
        <v>0</v>
      </c>
      <c r="AS124" s="262">
        <f>第1期!AS124+第1期!AR124+第1期!AU124</f>
        <v>0</v>
      </c>
      <c r="AT124" s="411">
        <f>第1期!AU124+第1期!AT124</f>
        <v>0</v>
      </c>
      <c r="AU124" s="262">
        <f>0.5*第1期!AP124-AS124</f>
        <v>0</v>
      </c>
      <c r="AV124" s="262">
        <f t="shared" si="79"/>
        <v>0</v>
      </c>
      <c r="AW124" s="412" t="e">
        <f t="shared" si="80"/>
        <v>#DIV/0!</v>
      </c>
      <c r="AX124" s="456">
        <f>MAX(AK124,第1期!AO124)</f>
        <v>0</v>
      </c>
      <c r="AY124" s="261"/>
      <c r="AZ124" s="63"/>
      <c r="BA124" s="543"/>
      <c r="BB124" s="543"/>
      <c r="BC124" s="543"/>
      <c r="BD124" s="543"/>
      <c r="BE124" s="543"/>
      <c r="BF124" s="543"/>
      <c r="BG124" s="543"/>
      <c r="BH124" s="543"/>
      <c r="BI124" s="543"/>
      <c r="BJ124" s="543"/>
      <c r="BK124" s="543"/>
      <c r="BL124" s="543"/>
      <c r="BM124" s="543"/>
      <c r="BN124" s="543"/>
      <c r="BO124" s="543"/>
      <c r="BP124" s="543"/>
      <c r="BQ124" s="543"/>
      <c r="BR124" s="265"/>
      <c r="BS124" s="265"/>
      <c r="BT124" s="265"/>
      <c r="BU124" s="265"/>
      <c r="BV124" s="265"/>
      <c r="BW124" s="265"/>
      <c r="BX124" s="265"/>
      <c r="BY124" s="265"/>
      <c r="BZ124" s="265"/>
      <c r="CA124" s="265"/>
      <c r="CB124" s="265"/>
      <c r="CC124" s="265"/>
      <c r="CD124" s="265"/>
      <c r="CE124" s="265"/>
      <c r="CF124" s="265"/>
      <c r="CG124" s="265"/>
      <c r="CH124" s="265"/>
      <c r="CI124" s="265"/>
      <c r="CJ124" s="265"/>
      <c r="CK124" s="543"/>
      <c r="CL124" s="543"/>
      <c r="CM124" s="543"/>
      <c r="CN124" s="543"/>
      <c r="CO124" s="543"/>
      <c r="CP124" s="543"/>
      <c r="CQ124" s="543"/>
      <c r="CR124" s="543"/>
    </row>
    <row r="125" s="61" customFormat="1" ht="16" customHeight="1" spans="7:96">
      <c r="G125" s="63"/>
      <c r="M125" s="247"/>
      <c r="T125" s="64"/>
      <c r="AA125" s="63"/>
      <c r="AH125" s="63"/>
      <c r="AI125" s="576"/>
      <c r="AJ125" s="577"/>
      <c r="AK125" s="577"/>
      <c r="AL125" s="577"/>
      <c r="AM125" s="577"/>
      <c r="AN125" s="577"/>
      <c r="AO125" s="577"/>
      <c r="AP125" s="577"/>
      <c r="AQ125" s="578"/>
      <c r="AR125" s="262">
        <f t="shared" si="78"/>
        <v>0</v>
      </c>
      <c r="AS125" s="262">
        <f>第1期!AS125+第1期!AR125+第1期!AU125</f>
        <v>0</v>
      </c>
      <c r="AT125" s="411">
        <f>第1期!AU125+第1期!AT125</f>
        <v>0</v>
      </c>
      <c r="AU125" s="262">
        <f>0.5*第1期!AP125-AS125</f>
        <v>0</v>
      </c>
      <c r="AV125" s="262">
        <f t="shared" si="79"/>
        <v>0</v>
      </c>
      <c r="AW125" s="412" t="e">
        <f t="shared" si="80"/>
        <v>#DIV/0!</v>
      </c>
      <c r="AX125" s="456">
        <f>MAX(AK125,第1期!AO125)</f>
        <v>0</v>
      </c>
      <c r="AY125" s="261"/>
      <c r="AZ125" s="63"/>
      <c r="BA125" s="543"/>
      <c r="BB125" s="543"/>
      <c r="BC125" s="543"/>
      <c r="BD125" s="543"/>
      <c r="BE125" s="543"/>
      <c r="BF125" s="543"/>
      <c r="BG125" s="543"/>
      <c r="BH125" s="543"/>
      <c r="BI125" s="543"/>
      <c r="BJ125" s="543"/>
      <c r="BK125" s="543"/>
      <c r="BL125" s="543"/>
      <c r="BM125" s="543"/>
      <c r="BN125" s="543"/>
      <c r="BO125" s="543"/>
      <c r="BP125" s="543"/>
      <c r="BQ125" s="543"/>
      <c r="BR125" s="265"/>
      <c r="BS125" s="265"/>
      <c r="BT125" s="265"/>
      <c r="BU125" s="265"/>
      <c r="BV125" s="265"/>
      <c r="BW125" s="265"/>
      <c r="BX125" s="265"/>
      <c r="BY125" s="265"/>
      <c r="BZ125" s="265"/>
      <c r="CA125" s="265"/>
      <c r="CB125" s="265"/>
      <c r="CC125" s="265"/>
      <c r="CD125" s="265"/>
      <c r="CE125" s="265"/>
      <c r="CF125" s="265"/>
      <c r="CG125" s="265"/>
      <c r="CH125" s="265"/>
      <c r="CI125" s="265"/>
      <c r="CJ125" s="265"/>
      <c r="CK125" s="543"/>
      <c r="CL125" s="543"/>
      <c r="CM125" s="543"/>
      <c r="CN125" s="543"/>
      <c r="CO125" s="543"/>
      <c r="CP125" s="543"/>
      <c r="CQ125" s="543"/>
      <c r="CR125" s="543"/>
    </row>
    <row r="126" s="61" customFormat="1" ht="16" customHeight="1" spans="7:96">
      <c r="G126" s="63"/>
      <c r="M126" s="247"/>
      <c r="T126" s="64"/>
      <c r="AA126" s="63"/>
      <c r="AH126" s="63"/>
      <c r="AI126" s="576"/>
      <c r="AJ126" s="577"/>
      <c r="AK126" s="577"/>
      <c r="AL126" s="577"/>
      <c r="AM126" s="577"/>
      <c r="AN126" s="577"/>
      <c r="AO126" s="577"/>
      <c r="AP126" s="577"/>
      <c r="AQ126" s="578"/>
      <c r="AR126" s="262">
        <f t="shared" si="78"/>
        <v>0</v>
      </c>
      <c r="AS126" s="262">
        <f>第1期!AS126+第1期!AR126+第1期!AU126</f>
        <v>0</v>
      </c>
      <c r="AT126" s="411">
        <f>第1期!AU126+第1期!AT126</f>
        <v>0</v>
      </c>
      <c r="AU126" s="262">
        <f>0.5*第1期!AP126-AS126</f>
        <v>0</v>
      </c>
      <c r="AV126" s="262">
        <f t="shared" si="79"/>
        <v>0</v>
      </c>
      <c r="AW126" s="412" t="e">
        <f t="shared" si="80"/>
        <v>#DIV/0!</v>
      </c>
      <c r="AX126" s="456">
        <f>MAX(AK126,第1期!AO126)</f>
        <v>0</v>
      </c>
      <c r="AY126" s="261"/>
      <c r="AZ126" s="63"/>
      <c r="BA126" s="543"/>
      <c r="BB126" s="543"/>
      <c r="BC126" s="543"/>
      <c r="BD126" s="543"/>
      <c r="BE126" s="543"/>
      <c r="BF126" s="543"/>
      <c r="BG126" s="543"/>
      <c r="BH126" s="543"/>
      <c r="BI126" s="543"/>
      <c r="BJ126" s="543"/>
      <c r="BK126" s="543"/>
      <c r="BL126" s="543"/>
      <c r="BM126" s="543"/>
      <c r="BN126" s="543"/>
      <c r="BO126" s="543"/>
      <c r="BP126" s="543"/>
      <c r="BQ126" s="543"/>
      <c r="BR126" s="265"/>
      <c r="BS126" s="265"/>
      <c r="BT126" s="265"/>
      <c r="BU126" s="265"/>
      <c r="BV126" s="265"/>
      <c r="BW126" s="265"/>
      <c r="BX126" s="265"/>
      <c r="BY126" s="265"/>
      <c r="BZ126" s="265"/>
      <c r="CA126" s="265"/>
      <c r="CB126" s="265"/>
      <c r="CC126" s="265"/>
      <c r="CD126" s="265"/>
      <c r="CE126" s="265"/>
      <c r="CF126" s="265"/>
      <c r="CG126" s="265"/>
      <c r="CH126" s="265"/>
      <c r="CI126" s="265"/>
      <c r="CJ126" s="265"/>
      <c r="CK126" s="543"/>
      <c r="CL126" s="543"/>
      <c r="CM126" s="543"/>
      <c r="CN126" s="543"/>
      <c r="CO126" s="543"/>
      <c r="CP126" s="543"/>
      <c r="CQ126" s="543"/>
      <c r="CR126" s="543"/>
    </row>
    <row r="127" s="61" customFormat="1" ht="16" customHeight="1" spans="7:96">
      <c r="G127" s="63"/>
      <c r="M127" s="247"/>
      <c r="T127" s="64"/>
      <c r="AA127" s="63"/>
      <c r="AH127" s="63"/>
      <c r="AZ127" s="63"/>
      <c r="BA127" s="543"/>
      <c r="BB127" s="543"/>
      <c r="BC127" s="543"/>
      <c r="BD127" s="543"/>
      <c r="BE127" s="543"/>
      <c r="BF127" s="543"/>
      <c r="BG127" s="543"/>
      <c r="BH127" s="543"/>
      <c r="BI127" s="543"/>
      <c r="BJ127" s="543"/>
      <c r="BK127" s="543"/>
      <c r="BL127" s="543"/>
      <c r="BM127" s="543"/>
      <c r="BN127" s="543"/>
      <c r="BO127" s="543"/>
      <c r="BP127" s="543"/>
      <c r="BQ127" s="543"/>
      <c r="BR127" s="265"/>
      <c r="BS127" s="265"/>
      <c r="BT127" s="265"/>
      <c r="BU127" s="265"/>
      <c r="BV127" s="265"/>
      <c r="BW127" s="265"/>
      <c r="BX127" s="265"/>
      <c r="BY127" s="265"/>
      <c r="BZ127" s="265"/>
      <c r="CA127" s="265"/>
      <c r="CB127" s="265"/>
      <c r="CC127" s="265"/>
      <c r="CD127" s="265"/>
      <c r="CE127" s="265"/>
      <c r="CF127" s="265"/>
      <c r="CG127" s="265"/>
      <c r="CH127" s="265"/>
      <c r="CI127" s="265"/>
      <c r="CJ127" s="265"/>
      <c r="CK127" s="543"/>
      <c r="CL127" s="543"/>
      <c r="CM127" s="543"/>
      <c r="CN127" s="543"/>
      <c r="CO127" s="543"/>
      <c r="CP127" s="543"/>
      <c r="CQ127" s="543"/>
      <c r="CR127" s="543"/>
    </row>
    <row r="128" s="61" customFormat="1" ht="16" customHeight="1" spans="7:96">
      <c r="G128" s="63"/>
      <c r="M128" s="247"/>
      <c r="T128" s="64"/>
      <c r="AA128" s="63"/>
      <c r="AH128" s="63"/>
      <c r="AZ128" s="63"/>
      <c r="BA128" s="543"/>
      <c r="BB128" s="543"/>
      <c r="BC128" s="543"/>
      <c r="BD128" s="543"/>
      <c r="BE128" s="543"/>
      <c r="BF128" s="543"/>
      <c r="BG128" s="543"/>
      <c r="BH128" s="543"/>
      <c r="BI128" s="543"/>
      <c r="BJ128" s="543"/>
      <c r="BK128" s="543"/>
      <c r="BL128" s="543"/>
      <c r="BM128" s="543"/>
      <c r="BN128" s="543"/>
      <c r="BO128" s="543"/>
      <c r="BP128" s="543"/>
      <c r="BQ128" s="543"/>
      <c r="BR128" s="265"/>
      <c r="BS128" s="265"/>
      <c r="BT128" s="265"/>
      <c r="BU128" s="265"/>
      <c r="BV128" s="265"/>
      <c r="BW128" s="265"/>
      <c r="BX128" s="265"/>
      <c r="BY128" s="265"/>
      <c r="BZ128" s="265"/>
      <c r="CA128" s="265"/>
      <c r="CB128" s="265"/>
      <c r="CC128" s="265"/>
      <c r="CD128" s="265"/>
      <c r="CE128" s="265"/>
      <c r="CF128" s="265"/>
      <c r="CG128" s="265"/>
      <c r="CH128" s="265"/>
      <c r="CI128" s="265"/>
      <c r="CJ128" s="265"/>
      <c r="CK128" s="543"/>
      <c r="CL128" s="543"/>
      <c r="CM128" s="543"/>
      <c r="CN128" s="543"/>
      <c r="CO128" s="543"/>
      <c r="CP128" s="543"/>
      <c r="CQ128" s="543"/>
      <c r="CR128" s="543"/>
    </row>
    <row r="129" s="61" customFormat="1" ht="16" customHeight="1" spans="7:96">
      <c r="G129" s="63"/>
      <c r="M129" s="247"/>
      <c r="T129" s="64"/>
      <c r="AA129" s="63"/>
      <c r="AH129" s="63"/>
      <c r="AZ129" s="63"/>
      <c r="BA129" s="543"/>
      <c r="BB129" s="543"/>
      <c r="BC129" s="543"/>
      <c r="BD129" s="543"/>
      <c r="BE129" s="543"/>
      <c r="BF129" s="543"/>
      <c r="BG129" s="543"/>
      <c r="BH129" s="543"/>
      <c r="BI129" s="543"/>
      <c r="BJ129" s="543"/>
      <c r="BK129" s="543"/>
      <c r="BL129" s="543"/>
      <c r="BM129" s="543"/>
      <c r="BN129" s="543"/>
      <c r="BO129" s="543"/>
      <c r="BP129" s="543"/>
      <c r="BQ129" s="543"/>
      <c r="BR129" s="265"/>
      <c r="BS129" s="265"/>
      <c r="BT129" s="265"/>
      <c r="BU129" s="265"/>
      <c r="BV129" s="265"/>
      <c r="BW129" s="265"/>
      <c r="BX129" s="265"/>
      <c r="BY129" s="265"/>
      <c r="BZ129" s="265"/>
      <c r="CA129" s="265"/>
      <c r="CB129" s="265"/>
      <c r="CC129" s="265"/>
      <c r="CD129" s="265"/>
      <c r="CE129" s="265"/>
      <c r="CF129" s="265"/>
      <c r="CG129" s="265"/>
      <c r="CH129" s="265"/>
      <c r="CI129" s="265"/>
      <c r="CJ129" s="265"/>
      <c r="CK129" s="543"/>
      <c r="CL129" s="543"/>
      <c r="CM129" s="543"/>
      <c r="CN129" s="543"/>
      <c r="CO129" s="543"/>
      <c r="CP129" s="543"/>
      <c r="CQ129" s="543"/>
      <c r="CR129" s="543"/>
    </row>
    <row r="130" s="61" customFormat="1" ht="16" customHeight="1" spans="7:96">
      <c r="G130" s="63"/>
      <c r="M130" s="247"/>
      <c r="T130" s="64"/>
      <c r="AA130" s="63"/>
      <c r="AH130" s="63"/>
      <c r="AZ130" s="63"/>
      <c r="BA130" s="543"/>
      <c r="BB130" s="543"/>
      <c r="BC130" s="543"/>
      <c r="BD130" s="543"/>
      <c r="BE130" s="543"/>
      <c r="BF130" s="543"/>
      <c r="BG130" s="543"/>
      <c r="BH130" s="543"/>
      <c r="BI130" s="543"/>
      <c r="BJ130" s="543"/>
      <c r="BK130" s="543"/>
      <c r="BL130" s="543"/>
      <c r="BM130" s="543"/>
      <c r="BN130" s="543"/>
      <c r="BO130" s="543"/>
      <c r="BP130" s="543"/>
      <c r="BQ130" s="543"/>
      <c r="BR130" s="265"/>
      <c r="BS130" s="265"/>
      <c r="BT130" s="265"/>
      <c r="BU130" s="265"/>
      <c r="BV130" s="265"/>
      <c r="BW130" s="265"/>
      <c r="BX130" s="265"/>
      <c r="BY130" s="265"/>
      <c r="BZ130" s="265"/>
      <c r="CA130" s="265"/>
      <c r="CB130" s="265"/>
      <c r="CC130" s="265"/>
      <c r="CD130" s="265"/>
      <c r="CE130" s="265"/>
      <c r="CF130" s="265"/>
      <c r="CG130" s="265"/>
      <c r="CH130" s="265"/>
      <c r="CI130" s="265"/>
      <c r="CJ130" s="265"/>
      <c r="CK130" s="543"/>
      <c r="CL130" s="543"/>
      <c r="CM130" s="543"/>
      <c r="CN130" s="543"/>
      <c r="CO130" s="543"/>
      <c r="CP130" s="543"/>
      <c r="CQ130" s="543"/>
      <c r="CR130" s="543"/>
    </row>
    <row r="131" s="61" customFormat="1" ht="16" customHeight="1" spans="7:96">
      <c r="G131" s="63"/>
      <c r="M131" s="247"/>
      <c r="T131" s="64"/>
      <c r="AA131" s="63"/>
      <c r="AH131" s="63"/>
      <c r="AZ131" s="63"/>
      <c r="BA131" s="543"/>
      <c r="BB131" s="543"/>
      <c r="BC131" s="543"/>
      <c r="BD131" s="543"/>
      <c r="BE131" s="543"/>
      <c r="BF131" s="543"/>
      <c r="BG131" s="543"/>
      <c r="BH131" s="543"/>
      <c r="BI131" s="543"/>
      <c r="BJ131" s="543"/>
      <c r="BK131" s="543"/>
      <c r="BL131" s="543"/>
      <c r="BM131" s="543"/>
      <c r="BN131" s="543"/>
      <c r="BO131" s="543"/>
      <c r="BP131" s="543"/>
      <c r="BQ131" s="543"/>
      <c r="BR131" s="265"/>
      <c r="BS131" s="265"/>
      <c r="BT131" s="265"/>
      <c r="BU131" s="265"/>
      <c r="BV131" s="265"/>
      <c r="BW131" s="265"/>
      <c r="BX131" s="265"/>
      <c r="BY131" s="265"/>
      <c r="BZ131" s="265"/>
      <c r="CA131" s="265"/>
      <c r="CB131" s="265"/>
      <c r="CC131" s="265"/>
      <c r="CD131" s="265"/>
      <c r="CE131" s="265"/>
      <c r="CF131" s="265"/>
      <c r="CG131" s="265"/>
      <c r="CH131" s="265"/>
      <c r="CI131" s="265"/>
      <c r="CJ131" s="265"/>
      <c r="CK131" s="543"/>
      <c r="CL131" s="543"/>
      <c r="CM131" s="543"/>
      <c r="CN131" s="543"/>
      <c r="CO131" s="543"/>
      <c r="CP131" s="543"/>
      <c r="CQ131" s="543"/>
      <c r="CR131" s="543"/>
    </row>
    <row r="132" s="61" customFormat="1" ht="16" customHeight="1" spans="7:96">
      <c r="G132" s="63"/>
      <c r="M132" s="247"/>
      <c r="T132" s="64"/>
      <c r="AA132" s="63"/>
      <c r="AH132" s="63"/>
      <c r="AZ132" s="63"/>
      <c r="BA132" s="543"/>
      <c r="BB132" s="543"/>
      <c r="BC132" s="543"/>
      <c r="BD132" s="543"/>
      <c r="BE132" s="543"/>
      <c r="BF132" s="543"/>
      <c r="BG132" s="543"/>
      <c r="BH132" s="543"/>
      <c r="BI132" s="543"/>
      <c r="BJ132" s="543"/>
      <c r="BK132" s="543"/>
      <c r="BL132" s="543"/>
      <c r="BM132" s="543"/>
      <c r="BN132" s="543"/>
      <c r="BO132" s="543"/>
      <c r="BP132" s="543"/>
      <c r="BQ132" s="543"/>
      <c r="BR132" s="265"/>
      <c r="BS132" s="265"/>
      <c r="BT132" s="265"/>
      <c r="BU132" s="265"/>
      <c r="BV132" s="265"/>
      <c r="BW132" s="265"/>
      <c r="BX132" s="265"/>
      <c r="BY132" s="265"/>
      <c r="BZ132" s="265"/>
      <c r="CA132" s="265"/>
      <c r="CB132" s="265"/>
      <c r="CC132" s="265"/>
      <c r="CD132" s="265"/>
      <c r="CE132" s="265"/>
      <c r="CF132" s="265"/>
      <c r="CG132" s="265"/>
      <c r="CH132" s="265"/>
      <c r="CI132" s="265"/>
      <c r="CJ132" s="265"/>
      <c r="CK132" s="543"/>
      <c r="CL132" s="543"/>
      <c r="CM132" s="543"/>
      <c r="CN132" s="543"/>
      <c r="CO132" s="543"/>
      <c r="CP132" s="543"/>
      <c r="CQ132" s="543"/>
      <c r="CR132" s="543"/>
    </row>
    <row r="133" s="61" customFormat="1" ht="16" customHeight="1" spans="7:96">
      <c r="G133" s="63"/>
      <c r="M133" s="247"/>
      <c r="T133" s="64"/>
      <c r="AA133" s="63"/>
      <c r="AH133" s="63"/>
      <c r="AZ133" s="63"/>
      <c r="BA133" s="543"/>
      <c r="BB133" s="543"/>
      <c r="BC133" s="543"/>
      <c r="BD133" s="543"/>
      <c r="BE133" s="543"/>
      <c r="BF133" s="543"/>
      <c r="BG133" s="543"/>
      <c r="BH133" s="543"/>
      <c r="BI133" s="543"/>
      <c r="BJ133" s="543"/>
      <c r="BK133" s="543"/>
      <c r="BL133" s="543"/>
      <c r="BM133" s="543"/>
      <c r="BN133" s="543"/>
      <c r="BO133" s="543"/>
      <c r="BP133" s="543"/>
      <c r="BQ133" s="543"/>
      <c r="BR133" s="265"/>
      <c r="BS133" s="265"/>
      <c r="BT133" s="265"/>
      <c r="BU133" s="265"/>
      <c r="BV133" s="265"/>
      <c r="BW133" s="265"/>
      <c r="BX133" s="265"/>
      <c r="BY133" s="265"/>
      <c r="BZ133" s="265"/>
      <c r="CA133" s="265"/>
      <c r="CB133" s="265"/>
      <c r="CC133" s="265"/>
      <c r="CD133" s="265"/>
      <c r="CE133" s="265"/>
      <c r="CF133" s="265"/>
      <c r="CG133" s="265"/>
      <c r="CH133" s="265"/>
      <c r="CI133" s="265"/>
      <c r="CJ133" s="265"/>
      <c r="CK133" s="543"/>
      <c r="CL133" s="543"/>
      <c r="CM133" s="543"/>
      <c r="CN133" s="543"/>
      <c r="CO133" s="543"/>
      <c r="CP133" s="543"/>
      <c r="CQ133" s="543"/>
      <c r="CR133" s="543"/>
    </row>
    <row r="134" s="61" customFormat="1" ht="16" customHeight="1" spans="7:96">
      <c r="G134" s="63"/>
      <c r="M134" s="247"/>
      <c r="T134" s="64"/>
      <c r="AA134" s="63"/>
      <c r="AH134" s="63"/>
      <c r="AZ134" s="63"/>
      <c r="BA134" s="543"/>
      <c r="BB134" s="543"/>
      <c r="BC134" s="543"/>
      <c r="BD134" s="543"/>
      <c r="BE134" s="543"/>
      <c r="BF134" s="543"/>
      <c r="BG134" s="543"/>
      <c r="BH134" s="543"/>
      <c r="BI134" s="543"/>
      <c r="BJ134" s="543"/>
      <c r="BK134" s="543"/>
      <c r="BL134" s="543"/>
      <c r="BM134" s="543"/>
      <c r="BN134" s="543"/>
      <c r="BO134" s="543"/>
      <c r="BP134" s="543"/>
      <c r="BQ134" s="543"/>
      <c r="BR134" s="265"/>
      <c r="BS134" s="265"/>
      <c r="BT134" s="265"/>
      <c r="BU134" s="265"/>
      <c r="BV134" s="265"/>
      <c r="BW134" s="265"/>
      <c r="BX134" s="265"/>
      <c r="BY134" s="265"/>
      <c r="BZ134" s="265"/>
      <c r="CA134" s="265"/>
      <c r="CB134" s="265"/>
      <c r="CC134" s="265"/>
      <c r="CD134" s="265"/>
      <c r="CE134" s="265"/>
      <c r="CF134" s="265"/>
      <c r="CG134" s="265"/>
      <c r="CH134" s="265"/>
      <c r="CI134" s="265"/>
      <c r="CJ134" s="265"/>
      <c r="CK134" s="543"/>
      <c r="CL134" s="543"/>
      <c r="CM134" s="543"/>
      <c r="CN134" s="543"/>
      <c r="CO134" s="543"/>
      <c r="CP134" s="543"/>
      <c r="CQ134" s="543"/>
      <c r="CR134" s="543"/>
    </row>
    <row r="135" s="61" customFormat="1" ht="16" customHeight="1" spans="7:96">
      <c r="G135" s="63"/>
      <c r="M135" s="247"/>
      <c r="T135" s="64"/>
      <c r="AA135" s="63"/>
      <c r="AH135" s="63"/>
      <c r="AZ135" s="63"/>
      <c r="BA135" s="543"/>
      <c r="BB135" s="543"/>
      <c r="BC135" s="543"/>
      <c r="BD135" s="543"/>
      <c r="BE135" s="543"/>
      <c r="BF135" s="543"/>
      <c r="BG135" s="543"/>
      <c r="BH135" s="543"/>
      <c r="BI135" s="543"/>
      <c r="BJ135" s="543"/>
      <c r="BK135" s="543"/>
      <c r="BL135" s="543"/>
      <c r="BM135" s="543"/>
      <c r="BN135" s="543"/>
      <c r="BO135" s="543"/>
      <c r="BP135" s="543"/>
      <c r="BQ135" s="543"/>
      <c r="BR135" s="265"/>
      <c r="BS135" s="265"/>
      <c r="BT135" s="265"/>
      <c r="BU135" s="265"/>
      <c r="BV135" s="265"/>
      <c r="BW135" s="265"/>
      <c r="BX135" s="265"/>
      <c r="BY135" s="265"/>
      <c r="BZ135" s="265"/>
      <c r="CA135" s="265"/>
      <c r="CB135" s="265"/>
      <c r="CC135" s="265"/>
      <c r="CD135" s="265"/>
      <c r="CE135" s="265"/>
      <c r="CF135" s="265"/>
      <c r="CG135" s="265"/>
      <c r="CH135" s="265"/>
      <c r="CI135" s="265"/>
      <c r="CJ135" s="265"/>
      <c r="CK135" s="543"/>
      <c r="CL135" s="543"/>
      <c r="CM135" s="543"/>
      <c r="CN135" s="543"/>
      <c r="CO135" s="543"/>
      <c r="CP135" s="543"/>
      <c r="CQ135" s="543"/>
      <c r="CR135" s="543"/>
    </row>
    <row r="136" s="61" customFormat="1" ht="16" customHeight="1" spans="7:96">
      <c r="G136" s="63"/>
      <c r="M136" s="247"/>
      <c r="T136" s="64"/>
      <c r="AA136" s="63"/>
      <c r="AH136" s="63"/>
      <c r="AZ136" s="63"/>
      <c r="BA136" s="543"/>
      <c r="BB136" s="543"/>
      <c r="BC136" s="543"/>
      <c r="BD136" s="543"/>
      <c r="BE136" s="543"/>
      <c r="BF136" s="543"/>
      <c r="BG136" s="543"/>
      <c r="BH136" s="543"/>
      <c r="BI136" s="543"/>
      <c r="BJ136" s="543"/>
      <c r="BK136" s="543"/>
      <c r="BL136" s="543"/>
      <c r="BM136" s="543"/>
      <c r="BN136" s="543"/>
      <c r="BO136" s="543"/>
      <c r="BP136" s="543"/>
      <c r="BQ136" s="543"/>
      <c r="BR136" s="265"/>
      <c r="BS136" s="265"/>
      <c r="BT136" s="265"/>
      <c r="BU136" s="265"/>
      <c r="BV136" s="265"/>
      <c r="BW136" s="265"/>
      <c r="BX136" s="265"/>
      <c r="BY136" s="265"/>
      <c r="BZ136" s="265"/>
      <c r="CA136" s="265"/>
      <c r="CB136" s="265"/>
      <c r="CC136" s="265"/>
      <c r="CD136" s="265"/>
      <c r="CE136" s="265"/>
      <c r="CF136" s="265"/>
      <c r="CG136" s="265"/>
      <c r="CH136" s="265"/>
      <c r="CI136" s="265"/>
      <c r="CJ136" s="265"/>
      <c r="CK136" s="543"/>
      <c r="CL136" s="543"/>
      <c r="CM136" s="543"/>
      <c r="CN136" s="543"/>
      <c r="CO136" s="543"/>
      <c r="CP136" s="543"/>
      <c r="CQ136" s="543"/>
      <c r="CR136" s="543"/>
    </row>
    <row r="137" s="61" customFormat="1" ht="16" customHeight="1" spans="7:96">
      <c r="G137" s="63"/>
      <c r="M137" s="247"/>
      <c r="T137" s="64"/>
      <c r="AA137" s="63"/>
      <c r="AH137" s="63"/>
      <c r="AZ137" s="63"/>
      <c r="BA137" s="543"/>
      <c r="BB137" s="543"/>
      <c r="BC137" s="543"/>
      <c r="BD137" s="543"/>
      <c r="BE137" s="543"/>
      <c r="BF137" s="543"/>
      <c r="BG137" s="543"/>
      <c r="BH137" s="543"/>
      <c r="BI137" s="543"/>
      <c r="BJ137" s="543"/>
      <c r="BK137" s="543"/>
      <c r="BL137" s="543"/>
      <c r="BM137" s="543"/>
      <c r="BN137" s="543"/>
      <c r="BO137" s="543"/>
      <c r="BP137" s="543"/>
      <c r="BQ137" s="543"/>
      <c r="BR137" s="265"/>
      <c r="BS137" s="265"/>
      <c r="BT137" s="265"/>
      <c r="BU137" s="265"/>
      <c r="BV137" s="265"/>
      <c r="BW137" s="265"/>
      <c r="BX137" s="265"/>
      <c r="BY137" s="265"/>
      <c r="BZ137" s="265"/>
      <c r="CA137" s="265"/>
      <c r="CB137" s="265"/>
      <c r="CC137" s="265"/>
      <c r="CD137" s="265"/>
      <c r="CE137" s="265"/>
      <c r="CF137" s="265"/>
      <c r="CG137" s="265"/>
      <c r="CH137" s="265"/>
      <c r="CI137" s="265"/>
      <c r="CJ137" s="265"/>
      <c r="CK137" s="543"/>
      <c r="CL137" s="543"/>
      <c r="CM137" s="543"/>
      <c r="CN137" s="543"/>
      <c r="CO137" s="543"/>
      <c r="CP137" s="543"/>
      <c r="CQ137" s="543"/>
      <c r="CR137" s="543"/>
    </row>
    <row r="138" s="61" customFormat="1" ht="16" customHeight="1" spans="7:96">
      <c r="G138" s="63"/>
      <c r="M138" s="247"/>
      <c r="T138" s="64"/>
      <c r="AA138" s="63"/>
      <c r="AH138" s="63"/>
      <c r="AZ138" s="63"/>
      <c r="BA138" s="543"/>
      <c r="BB138" s="543"/>
      <c r="BC138" s="543"/>
      <c r="BD138" s="543"/>
      <c r="BE138" s="543"/>
      <c r="BF138" s="543"/>
      <c r="BG138" s="543"/>
      <c r="BH138" s="543"/>
      <c r="BI138" s="543"/>
      <c r="BJ138" s="543"/>
      <c r="BK138" s="543"/>
      <c r="BL138" s="543"/>
      <c r="BM138" s="543"/>
      <c r="BN138" s="543"/>
      <c r="BO138" s="543"/>
      <c r="BP138" s="543"/>
      <c r="BQ138" s="543"/>
      <c r="BR138" s="265"/>
      <c r="BS138" s="265"/>
      <c r="BT138" s="265"/>
      <c r="BU138" s="265"/>
      <c r="BV138" s="265"/>
      <c r="BW138" s="265"/>
      <c r="BX138" s="265"/>
      <c r="BY138" s="265"/>
      <c r="BZ138" s="265"/>
      <c r="CA138" s="265"/>
      <c r="CB138" s="265"/>
      <c r="CC138" s="265"/>
      <c r="CD138" s="265"/>
      <c r="CE138" s="265"/>
      <c r="CF138" s="265"/>
      <c r="CG138" s="265"/>
      <c r="CH138" s="265"/>
      <c r="CI138" s="265"/>
      <c r="CJ138" s="265"/>
      <c r="CK138" s="543"/>
      <c r="CL138" s="543"/>
      <c r="CM138" s="543"/>
      <c r="CN138" s="543"/>
      <c r="CO138" s="543"/>
      <c r="CP138" s="543"/>
      <c r="CQ138" s="543"/>
      <c r="CR138" s="543"/>
    </row>
    <row r="139" s="61" customFormat="1" ht="16" customHeight="1" spans="7:96">
      <c r="G139" s="63"/>
      <c r="M139" s="247"/>
      <c r="T139" s="64"/>
      <c r="AA139" s="63"/>
      <c r="AH139" s="63"/>
      <c r="AZ139" s="63"/>
      <c r="BA139" s="543"/>
      <c r="BB139" s="543"/>
      <c r="BC139" s="543"/>
      <c r="BD139" s="543"/>
      <c r="BE139" s="543"/>
      <c r="BF139" s="543"/>
      <c r="BG139" s="543"/>
      <c r="BH139" s="543"/>
      <c r="BI139" s="543"/>
      <c r="BJ139" s="543"/>
      <c r="BK139" s="543"/>
      <c r="BL139" s="543"/>
      <c r="BM139" s="543"/>
      <c r="BN139" s="543"/>
      <c r="BO139" s="543"/>
      <c r="BP139" s="543"/>
      <c r="BQ139" s="543"/>
      <c r="BR139" s="265"/>
      <c r="BS139" s="265"/>
      <c r="BT139" s="265"/>
      <c r="BU139" s="265"/>
      <c r="BV139" s="265"/>
      <c r="BW139" s="265"/>
      <c r="BX139" s="265"/>
      <c r="BY139" s="265"/>
      <c r="BZ139" s="265"/>
      <c r="CA139" s="265"/>
      <c r="CB139" s="265"/>
      <c r="CC139" s="265"/>
      <c r="CD139" s="265"/>
      <c r="CE139" s="265"/>
      <c r="CF139" s="265"/>
      <c r="CG139" s="265"/>
      <c r="CH139" s="265"/>
      <c r="CI139" s="265"/>
      <c r="CJ139" s="265"/>
      <c r="CK139" s="543"/>
      <c r="CL139" s="543"/>
      <c r="CM139" s="543"/>
      <c r="CN139" s="543"/>
      <c r="CO139" s="543"/>
      <c r="CP139" s="543"/>
      <c r="CQ139" s="543"/>
      <c r="CR139" s="543"/>
    </row>
    <row r="140" s="61" customFormat="1" ht="16" customHeight="1" spans="7:96">
      <c r="G140" s="63"/>
      <c r="M140" s="247"/>
      <c r="T140" s="64"/>
      <c r="AA140" s="63"/>
      <c r="AH140" s="63"/>
      <c r="AZ140" s="63"/>
      <c r="BA140" s="543"/>
      <c r="BB140" s="543"/>
      <c r="BC140" s="543"/>
      <c r="BD140" s="543"/>
      <c r="BE140" s="543"/>
      <c r="BF140" s="543"/>
      <c r="BG140" s="543"/>
      <c r="BH140" s="543"/>
      <c r="BI140" s="543"/>
      <c r="BJ140" s="543"/>
      <c r="BK140" s="543"/>
      <c r="BL140" s="543"/>
      <c r="BM140" s="543"/>
      <c r="BN140" s="543"/>
      <c r="BO140" s="543"/>
      <c r="BP140" s="543"/>
      <c r="BQ140" s="543"/>
      <c r="BR140" s="265"/>
      <c r="BS140" s="265"/>
      <c r="BT140" s="265"/>
      <c r="BU140" s="265"/>
      <c r="BV140" s="265"/>
      <c r="BW140" s="265"/>
      <c r="BX140" s="265"/>
      <c r="BY140" s="265"/>
      <c r="BZ140" s="265"/>
      <c r="CA140" s="265"/>
      <c r="CB140" s="265"/>
      <c r="CC140" s="265"/>
      <c r="CD140" s="265"/>
      <c r="CE140" s="265"/>
      <c r="CF140" s="265"/>
      <c r="CG140" s="265"/>
      <c r="CH140" s="265"/>
      <c r="CI140" s="265"/>
      <c r="CJ140" s="265"/>
      <c r="CK140" s="543"/>
      <c r="CL140" s="543"/>
      <c r="CM140" s="543"/>
      <c r="CN140" s="543"/>
      <c r="CO140" s="543"/>
      <c r="CP140" s="543"/>
      <c r="CQ140" s="543"/>
      <c r="CR140" s="543"/>
    </row>
    <row r="141" s="61" customFormat="1" ht="16" customHeight="1" spans="7:96">
      <c r="G141" s="63"/>
      <c r="M141" s="247"/>
      <c r="T141" s="64"/>
      <c r="AA141" s="63"/>
      <c r="AH141" s="63"/>
      <c r="AZ141" s="63"/>
      <c r="BA141" s="543"/>
      <c r="BB141" s="543"/>
      <c r="BC141" s="543"/>
      <c r="BD141" s="543"/>
      <c r="BE141" s="543"/>
      <c r="BF141" s="543"/>
      <c r="BG141" s="543"/>
      <c r="BH141" s="543"/>
      <c r="BI141" s="543"/>
      <c r="BJ141" s="543"/>
      <c r="BK141" s="543"/>
      <c r="BL141" s="543"/>
      <c r="BM141" s="543"/>
      <c r="BN141" s="543"/>
      <c r="BO141" s="543"/>
      <c r="BP141" s="543"/>
      <c r="BQ141" s="543"/>
      <c r="BR141" s="265"/>
      <c r="BS141" s="265"/>
      <c r="BT141" s="265"/>
      <c r="BU141" s="265"/>
      <c r="BV141" s="265"/>
      <c r="BW141" s="265"/>
      <c r="BX141" s="265"/>
      <c r="BY141" s="265"/>
      <c r="BZ141" s="265"/>
      <c r="CA141" s="265"/>
      <c r="CB141" s="265"/>
      <c r="CC141" s="265"/>
      <c r="CD141" s="265"/>
      <c r="CE141" s="265"/>
      <c r="CF141" s="265"/>
      <c r="CG141" s="265"/>
      <c r="CH141" s="265"/>
      <c r="CI141" s="265"/>
      <c r="CJ141" s="265"/>
      <c r="CK141" s="543"/>
      <c r="CL141" s="543"/>
      <c r="CM141" s="543"/>
      <c r="CN141" s="543"/>
      <c r="CO141" s="543"/>
      <c r="CP141" s="543"/>
      <c r="CQ141" s="543"/>
      <c r="CR141" s="543"/>
    </row>
    <row r="142" s="61" customFormat="1" ht="16" customHeight="1" spans="7:96">
      <c r="G142" s="63"/>
      <c r="M142" s="247"/>
      <c r="T142" s="64"/>
      <c r="AA142" s="63"/>
      <c r="AH142" s="63"/>
      <c r="AZ142" s="63"/>
      <c r="BA142" s="543"/>
      <c r="BB142" s="543"/>
      <c r="BC142" s="543"/>
      <c r="BD142" s="543"/>
      <c r="BE142" s="543"/>
      <c r="BF142" s="543"/>
      <c r="BG142" s="543"/>
      <c r="BH142" s="543"/>
      <c r="BI142" s="543"/>
      <c r="BJ142" s="543"/>
      <c r="BK142" s="543"/>
      <c r="BL142" s="543"/>
      <c r="BM142" s="543"/>
      <c r="BN142" s="543"/>
      <c r="BO142" s="543"/>
      <c r="BP142" s="543"/>
      <c r="BQ142" s="543"/>
      <c r="BR142" s="265"/>
      <c r="BS142" s="265"/>
      <c r="BT142" s="265"/>
      <c r="BU142" s="265"/>
      <c r="BV142" s="265"/>
      <c r="BW142" s="265"/>
      <c r="BX142" s="265"/>
      <c r="BY142" s="265"/>
      <c r="BZ142" s="265"/>
      <c r="CA142" s="265"/>
      <c r="CB142" s="265"/>
      <c r="CC142" s="265"/>
      <c r="CD142" s="265"/>
      <c r="CE142" s="265"/>
      <c r="CF142" s="265"/>
      <c r="CG142" s="265"/>
      <c r="CH142" s="265"/>
      <c r="CI142" s="265"/>
      <c r="CJ142" s="265"/>
      <c r="CK142" s="543"/>
      <c r="CL142" s="543"/>
      <c r="CM142" s="543"/>
      <c r="CN142" s="543"/>
      <c r="CO142" s="543"/>
      <c r="CP142" s="543"/>
      <c r="CQ142" s="543"/>
      <c r="CR142" s="543"/>
    </row>
    <row r="143" s="61" customFormat="1" ht="16" customHeight="1" spans="7:96">
      <c r="G143" s="63"/>
      <c r="M143" s="247"/>
      <c r="T143" s="64"/>
      <c r="AA143" s="63"/>
      <c r="AH143" s="63"/>
      <c r="AZ143" s="63"/>
      <c r="BA143" s="543"/>
      <c r="BB143" s="543"/>
      <c r="BC143" s="543"/>
      <c r="BD143" s="543"/>
      <c r="BE143" s="543"/>
      <c r="BF143" s="543"/>
      <c r="BG143" s="543"/>
      <c r="BH143" s="543"/>
      <c r="BI143" s="543"/>
      <c r="BJ143" s="543"/>
      <c r="BK143" s="543"/>
      <c r="BL143" s="543"/>
      <c r="BM143" s="543"/>
      <c r="BN143" s="543"/>
      <c r="BO143" s="543"/>
      <c r="BP143" s="543"/>
      <c r="BQ143" s="543"/>
      <c r="BR143" s="265"/>
      <c r="BS143" s="265"/>
      <c r="BT143" s="265"/>
      <c r="BU143" s="265"/>
      <c r="BV143" s="265"/>
      <c r="BW143" s="265"/>
      <c r="BX143" s="265"/>
      <c r="BY143" s="265"/>
      <c r="BZ143" s="265"/>
      <c r="CA143" s="265"/>
      <c r="CB143" s="265"/>
      <c r="CC143" s="265"/>
      <c r="CD143" s="265"/>
      <c r="CE143" s="265"/>
      <c r="CF143" s="265"/>
      <c r="CG143" s="265"/>
      <c r="CH143" s="265"/>
      <c r="CI143" s="265"/>
      <c r="CJ143" s="265"/>
      <c r="CK143" s="543"/>
      <c r="CL143" s="543"/>
      <c r="CM143" s="543"/>
      <c r="CN143" s="543"/>
      <c r="CO143" s="543"/>
      <c r="CP143" s="543"/>
      <c r="CQ143" s="543"/>
      <c r="CR143" s="543"/>
    </row>
    <row r="144" s="61" customFormat="1" ht="16" customHeight="1" spans="7:96">
      <c r="G144" s="63"/>
      <c r="M144" s="247"/>
      <c r="T144" s="64"/>
      <c r="AA144" s="63"/>
      <c r="AH144" s="63"/>
      <c r="AZ144" s="63"/>
      <c r="BA144" s="543"/>
      <c r="BB144" s="543"/>
      <c r="BC144" s="543"/>
      <c r="BD144" s="543"/>
      <c r="BE144" s="543"/>
      <c r="BF144" s="543"/>
      <c r="BG144" s="543"/>
      <c r="BH144" s="543"/>
      <c r="BI144" s="543"/>
      <c r="BJ144" s="543"/>
      <c r="BK144" s="543"/>
      <c r="BL144" s="543"/>
      <c r="BM144" s="543"/>
      <c r="BN144" s="543"/>
      <c r="BO144" s="543"/>
      <c r="BP144" s="543"/>
      <c r="BQ144" s="543"/>
      <c r="BR144" s="265"/>
      <c r="BS144" s="265"/>
      <c r="BT144" s="265"/>
      <c r="BU144" s="265"/>
      <c r="BV144" s="265"/>
      <c r="BW144" s="265"/>
      <c r="BX144" s="265"/>
      <c r="BY144" s="265"/>
      <c r="BZ144" s="265"/>
      <c r="CA144" s="265"/>
      <c r="CB144" s="265"/>
      <c r="CC144" s="265"/>
      <c r="CD144" s="265"/>
      <c r="CE144" s="265"/>
      <c r="CF144" s="265"/>
      <c r="CG144" s="265"/>
      <c r="CH144" s="265"/>
      <c r="CI144" s="265"/>
      <c r="CJ144" s="265"/>
      <c r="CK144" s="543"/>
      <c r="CL144" s="543"/>
      <c r="CM144" s="543"/>
      <c r="CN144" s="543"/>
      <c r="CO144" s="543"/>
      <c r="CP144" s="543"/>
      <c r="CQ144" s="543"/>
      <c r="CR144" s="543"/>
    </row>
    <row r="145" s="61" customFormat="1" ht="16" customHeight="1" spans="7:96">
      <c r="G145" s="63"/>
      <c r="M145" s="247"/>
      <c r="T145" s="64"/>
      <c r="AA145" s="63"/>
      <c r="AH145" s="63"/>
      <c r="AZ145" s="63"/>
      <c r="BA145" s="543"/>
      <c r="BB145" s="543"/>
      <c r="BC145" s="543"/>
      <c r="BD145" s="543"/>
      <c r="BE145" s="543"/>
      <c r="BF145" s="543"/>
      <c r="BG145" s="543"/>
      <c r="BH145" s="543"/>
      <c r="BI145" s="543"/>
      <c r="BJ145" s="543"/>
      <c r="BK145" s="543"/>
      <c r="BL145" s="543"/>
      <c r="BM145" s="543"/>
      <c r="BN145" s="543"/>
      <c r="BO145" s="543"/>
      <c r="BP145" s="543"/>
      <c r="BQ145" s="543"/>
      <c r="BR145" s="265"/>
      <c r="BS145" s="265"/>
      <c r="BT145" s="265"/>
      <c r="BU145" s="265"/>
      <c r="BV145" s="265"/>
      <c r="BW145" s="265"/>
      <c r="BX145" s="265"/>
      <c r="BY145" s="265"/>
      <c r="BZ145" s="265"/>
      <c r="CA145" s="265"/>
      <c r="CB145" s="265"/>
      <c r="CC145" s="265"/>
      <c r="CD145" s="265"/>
      <c r="CE145" s="265"/>
      <c r="CF145" s="265"/>
      <c r="CG145" s="265"/>
      <c r="CH145" s="265"/>
      <c r="CI145" s="265"/>
      <c r="CJ145" s="265"/>
      <c r="CK145" s="543"/>
      <c r="CL145" s="543"/>
      <c r="CM145" s="543"/>
      <c r="CN145" s="543"/>
      <c r="CO145" s="543"/>
      <c r="CP145" s="543"/>
      <c r="CQ145" s="543"/>
      <c r="CR145" s="543"/>
    </row>
    <row r="146" s="61" customFormat="1" ht="16" customHeight="1" spans="7:96">
      <c r="G146" s="63"/>
      <c r="M146" s="247"/>
      <c r="T146" s="64"/>
      <c r="AA146" s="63"/>
      <c r="AH146" s="63"/>
      <c r="AZ146" s="63"/>
      <c r="BA146" s="543"/>
      <c r="BB146" s="543"/>
      <c r="BC146" s="543"/>
      <c r="BD146" s="543"/>
      <c r="BE146" s="543"/>
      <c r="BF146" s="543"/>
      <c r="BG146" s="543"/>
      <c r="BH146" s="543"/>
      <c r="BI146" s="543"/>
      <c r="BJ146" s="543"/>
      <c r="BK146" s="543"/>
      <c r="BL146" s="543"/>
      <c r="BM146" s="543"/>
      <c r="BN146" s="543"/>
      <c r="BO146" s="543"/>
      <c r="BP146" s="543"/>
      <c r="BQ146" s="543"/>
      <c r="BR146" s="265"/>
      <c r="BS146" s="265"/>
      <c r="BT146" s="265"/>
      <c r="BU146" s="265"/>
      <c r="BV146" s="265"/>
      <c r="BW146" s="265"/>
      <c r="BX146" s="265"/>
      <c r="BY146" s="265"/>
      <c r="BZ146" s="265"/>
      <c r="CA146" s="265"/>
      <c r="CB146" s="265"/>
      <c r="CC146" s="265"/>
      <c r="CD146" s="265"/>
      <c r="CE146" s="265"/>
      <c r="CF146" s="265"/>
      <c r="CG146" s="265"/>
      <c r="CH146" s="265"/>
      <c r="CI146" s="265"/>
      <c r="CJ146" s="265"/>
      <c r="CK146" s="543"/>
      <c r="CL146" s="543"/>
      <c r="CM146" s="543"/>
      <c r="CN146" s="543"/>
      <c r="CO146" s="543"/>
      <c r="CP146" s="543"/>
      <c r="CQ146" s="543"/>
      <c r="CR146" s="543"/>
    </row>
    <row r="147" s="61" customFormat="1" ht="16" customHeight="1" spans="7:96">
      <c r="G147" s="63"/>
      <c r="M147" s="247"/>
      <c r="T147" s="64"/>
      <c r="AA147" s="63"/>
      <c r="AH147" s="63"/>
      <c r="AZ147" s="63"/>
      <c r="BA147" s="543"/>
      <c r="BB147" s="543"/>
      <c r="BC147" s="543"/>
      <c r="BD147" s="543"/>
      <c r="BE147" s="543"/>
      <c r="BF147" s="543"/>
      <c r="BG147" s="543"/>
      <c r="BH147" s="543"/>
      <c r="BI147" s="543"/>
      <c r="BJ147" s="543"/>
      <c r="BK147" s="543"/>
      <c r="BL147" s="543"/>
      <c r="BM147" s="543"/>
      <c r="BN147" s="543"/>
      <c r="BO147" s="543"/>
      <c r="BP147" s="543"/>
      <c r="BQ147" s="543"/>
      <c r="BR147" s="265"/>
      <c r="BS147" s="265"/>
      <c r="BT147" s="265"/>
      <c r="BU147" s="265"/>
      <c r="BV147" s="265"/>
      <c r="BW147" s="265"/>
      <c r="BX147" s="265"/>
      <c r="BY147" s="265"/>
      <c r="BZ147" s="265"/>
      <c r="CA147" s="265"/>
      <c r="CB147" s="265"/>
      <c r="CC147" s="265"/>
      <c r="CD147" s="265"/>
      <c r="CE147" s="265"/>
      <c r="CF147" s="265"/>
      <c r="CG147" s="265"/>
      <c r="CH147" s="265"/>
      <c r="CI147" s="265"/>
      <c r="CJ147" s="265"/>
      <c r="CK147" s="543"/>
      <c r="CL147" s="543"/>
      <c r="CM147" s="543"/>
      <c r="CN147" s="543"/>
      <c r="CO147" s="543"/>
      <c r="CP147" s="543"/>
      <c r="CQ147" s="543"/>
      <c r="CR147" s="543"/>
    </row>
    <row r="148" s="61" customFormat="1" ht="16" customHeight="1" spans="7:96">
      <c r="G148" s="63"/>
      <c r="M148" s="247"/>
      <c r="T148" s="64"/>
      <c r="AA148" s="63"/>
      <c r="AH148" s="63"/>
      <c r="AZ148" s="63"/>
      <c r="BA148" s="543"/>
      <c r="BB148" s="543"/>
      <c r="BC148" s="543"/>
      <c r="BD148" s="543"/>
      <c r="BE148" s="543"/>
      <c r="BF148" s="543"/>
      <c r="BG148" s="543"/>
      <c r="BH148" s="543"/>
      <c r="BI148" s="543"/>
      <c r="BJ148" s="543"/>
      <c r="BK148" s="543"/>
      <c r="BL148" s="543"/>
      <c r="BM148" s="543"/>
      <c r="BN148" s="543"/>
      <c r="BO148" s="543"/>
      <c r="BP148" s="543"/>
      <c r="BQ148" s="543"/>
      <c r="BR148" s="265"/>
      <c r="BS148" s="265"/>
      <c r="BT148" s="265"/>
      <c r="BU148" s="265"/>
      <c r="BV148" s="265"/>
      <c r="BW148" s="265"/>
      <c r="BX148" s="265"/>
      <c r="BY148" s="265"/>
      <c r="BZ148" s="265"/>
      <c r="CA148" s="265"/>
      <c r="CB148" s="265"/>
      <c r="CC148" s="265"/>
      <c r="CD148" s="265"/>
      <c r="CE148" s="265"/>
      <c r="CF148" s="265"/>
      <c r="CG148" s="265"/>
      <c r="CH148" s="265"/>
      <c r="CI148" s="265"/>
      <c r="CJ148" s="265"/>
      <c r="CK148" s="543"/>
      <c r="CL148" s="543"/>
      <c r="CM148" s="543"/>
      <c r="CN148" s="543"/>
      <c r="CO148" s="543"/>
      <c r="CP148" s="543"/>
      <c r="CQ148" s="543"/>
      <c r="CR148" s="543"/>
    </row>
    <row r="149" s="61" customFormat="1" ht="16" customHeight="1" spans="7:96">
      <c r="G149" s="63"/>
      <c r="M149" s="247"/>
      <c r="T149" s="64"/>
      <c r="AA149" s="63"/>
      <c r="AH149" s="63"/>
      <c r="AZ149" s="63"/>
      <c r="BA149" s="543"/>
      <c r="BB149" s="543"/>
      <c r="BC149" s="543"/>
      <c r="BD149" s="543"/>
      <c r="BE149" s="543"/>
      <c r="BF149" s="543"/>
      <c r="BG149" s="543"/>
      <c r="BH149" s="543"/>
      <c r="BI149" s="543"/>
      <c r="BJ149" s="543"/>
      <c r="BK149" s="543"/>
      <c r="BL149" s="543"/>
      <c r="BM149" s="543"/>
      <c r="BN149" s="543"/>
      <c r="BO149" s="543"/>
      <c r="BP149" s="543"/>
      <c r="BQ149" s="543"/>
      <c r="BR149" s="265"/>
      <c r="BS149" s="265"/>
      <c r="BT149" s="265"/>
      <c r="BU149" s="265"/>
      <c r="BV149" s="265"/>
      <c r="BW149" s="265"/>
      <c r="BX149" s="265"/>
      <c r="BY149" s="265"/>
      <c r="BZ149" s="265"/>
      <c r="CA149" s="265"/>
      <c r="CB149" s="265"/>
      <c r="CC149" s="265"/>
      <c r="CD149" s="265"/>
      <c r="CE149" s="265"/>
      <c r="CF149" s="265"/>
      <c r="CG149" s="265"/>
      <c r="CH149" s="265"/>
      <c r="CI149" s="265"/>
      <c r="CJ149" s="265"/>
      <c r="CK149" s="543"/>
      <c r="CL149" s="543"/>
      <c r="CM149" s="543"/>
      <c r="CN149" s="543"/>
      <c r="CO149" s="543"/>
      <c r="CP149" s="543"/>
      <c r="CQ149" s="543"/>
      <c r="CR149" s="543"/>
    </row>
    <row r="150" s="61" customFormat="1" ht="16" customHeight="1" spans="7:96">
      <c r="G150" s="63"/>
      <c r="M150" s="247"/>
      <c r="T150" s="64"/>
      <c r="AA150" s="63"/>
      <c r="AH150" s="63"/>
      <c r="AZ150" s="63"/>
      <c r="BA150" s="543"/>
      <c r="BB150" s="543"/>
      <c r="BC150" s="543"/>
      <c r="BD150" s="543"/>
      <c r="BE150" s="543"/>
      <c r="BF150" s="543"/>
      <c r="BG150" s="543"/>
      <c r="BH150" s="543"/>
      <c r="BI150" s="543"/>
      <c r="BJ150" s="543"/>
      <c r="BK150" s="543"/>
      <c r="BL150" s="543"/>
      <c r="BM150" s="543"/>
      <c r="BN150" s="543"/>
      <c r="BO150" s="543"/>
      <c r="BP150" s="543"/>
      <c r="BQ150" s="543"/>
      <c r="BR150" s="265"/>
      <c r="BS150" s="265"/>
      <c r="BT150" s="265"/>
      <c r="BU150" s="265"/>
      <c r="BV150" s="265"/>
      <c r="BW150" s="265"/>
      <c r="BX150" s="265"/>
      <c r="BY150" s="265"/>
      <c r="BZ150" s="265"/>
      <c r="CA150" s="265"/>
      <c r="CB150" s="265"/>
      <c r="CC150" s="265"/>
      <c r="CD150" s="265"/>
      <c r="CE150" s="265"/>
      <c r="CF150" s="265"/>
      <c r="CG150" s="265"/>
      <c r="CH150" s="265"/>
      <c r="CI150" s="265"/>
      <c r="CJ150" s="265"/>
      <c r="CK150" s="543"/>
      <c r="CL150" s="543"/>
      <c r="CM150" s="543"/>
      <c r="CN150" s="543"/>
      <c r="CO150" s="543"/>
      <c r="CP150" s="543"/>
      <c r="CQ150" s="543"/>
      <c r="CR150" s="543"/>
    </row>
    <row r="151" s="61" customFormat="1" ht="13.5" customHeight="1" spans="7:96">
      <c r="G151" s="63"/>
      <c r="M151" s="247"/>
      <c r="T151" s="64"/>
      <c r="AA151" s="63"/>
      <c r="AH151" s="63"/>
      <c r="AZ151" s="63"/>
      <c r="BA151" s="543"/>
      <c r="BB151" s="543"/>
      <c r="BC151" s="543"/>
      <c r="BD151" s="543"/>
      <c r="BE151" s="543"/>
      <c r="BF151" s="543"/>
      <c r="BG151" s="543"/>
      <c r="BH151" s="543"/>
      <c r="BI151" s="543"/>
      <c r="BJ151" s="543"/>
      <c r="BK151" s="543"/>
      <c r="BL151" s="543"/>
      <c r="BM151" s="543"/>
      <c r="BN151" s="543"/>
      <c r="BO151" s="543"/>
      <c r="BP151" s="543"/>
      <c r="BQ151" s="543"/>
      <c r="BR151" s="265"/>
      <c r="BS151" s="265"/>
      <c r="BT151" s="265"/>
      <c r="BU151" s="265"/>
      <c r="BV151" s="265"/>
      <c r="BW151" s="265"/>
      <c r="BX151" s="265"/>
      <c r="BY151" s="265"/>
      <c r="BZ151" s="265"/>
      <c r="CA151" s="265"/>
      <c r="CB151" s="265"/>
      <c r="CC151" s="265"/>
      <c r="CD151" s="265"/>
      <c r="CE151" s="265"/>
      <c r="CF151" s="265"/>
      <c r="CG151" s="265"/>
      <c r="CH151" s="265"/>
      <c r="CI151" s="265"/>
      <c r="CJ151" s="265"/>
      <c r="CK151" s="543"/>
      <c r="CL151" s="543"/>
      <c r="CM151" s="543"/>
      <c r="CN151" s="543"/>
      <c r="CO151" s="543"/>
      <c r="CP151" s="543"/>
      <c r="CQ151" s="543"/>
      <c r="CR151" s="543"/>
    </row>
    <row r="152" s="61" customFormat="1" ht="13.5" customHeight="1" spans="7:96">
      <c r="G152" s="63"/>
      <c r="M152" s="247"/>
      <c r="T152" s="64"/>
      <c r="AA152" s="63"/>
      <c r="AH152" s="63"/>
      <c r="AZ152" s="63"/>
      <c r="BA152" s="543"/>
      <c r="BB152" s="543"/>
      <c r="BC152" s="543"/>
      <c r="BD152" s="543"/>
      <c r="BE152" s="543"/>
      <c r="BF152" s="543"/>
      <c r="BG152" s="543"/>
      <c r="BH152" s="543"/>
      <c r="BI152" s="543"/>
      <c r="BJ152" s="543"/>
      <c r="BK152" s="543"/>
      <c r="BL152" s="543"/>
      <c r="BM152" s="543"/>
      <c r="BN152" s="543"/>
      <c r="BO152" s="543"/>
      <c r="BP152" s="543"/>
      <c r="BQ152" s="543"/>
      <c r="BR152" s="265"/>
      <c r="BS152" s="265"/>
      <c r="BT152" s="265"/>
      <c r="BU152" s="265"/>
      <c r="BV152" s="265"/>
      <c r="BW152" s="265"/>
      <c r="BX152" s="265"/>
      <c r="BY152" s="265"/>
      <c r="BZ152" s="265"/>
      <c r="CA152" s="265"/>
      <c r="CB152" s="265"/>
      <c r="CC152" s="265"/>
      <c r="CD152" s="265"/>
      <c r="CE152" s="265"/>
      <c r="CF152" s="265"/>
      <c r="CG152" s="265"/>
      <c r="CH152" s="265"/>
      <c r="CI152" s="265"/>
      <c r="CJ152" s="265"/>
      <c r="CK152" s="543"/>
      <c r="CL152" s="543"/>
      <c r="CM152" s="543"/>
      <c r="CN152" s="543"/>
      <c r="CO152" s="543"/>
      <c r="CP152" s="543"/>
      <c r="CQ152" s="543"/>
      <c r="CR152" s="543"/>
    </row>
    <row r="153" s="61" customFormat="1" ht="13.5" customHeight="1" spans="7:96">
      <c r="G153" s="63"/>
      <c r="M153" s="247"/>
      <c r="T153" s="64"/>
      <c r="AA153" s="63"/>
      <c r="AH153" s="63"/>
      <c r="AZ153" s="63"/>
      <c r="BA153" s="543"/>
      <c r="BB153" s="543"/>
      <c r="BC153" s="543"/>
      <c r="BD153" s="543"/>
      <c r="BE153" s="543"/>
      <c r="BF153" s="543"/>
      <c r="BG153" s="543"/>
      <c r="BH153" s="543"/>
      <c r="BI153" s="543"/>
      <c r="BJ153" s="543"/>
      <c r="BK153" s="543"/>
      <c r="BL153" s="543"/>
      <c r="BM153" s="543"/>
      <c r="BN153" s="543"/>
      <c r="BO153" s="543"/>
      <c r="BP153" s="543"/>
      <c r="BQ153" s="543"/>
      <c r="BR153" s="265"/>
      <c r="BS153" s="265"/>
      <c r="BT153" s="265"/>
      <c r="BU153" s="265"/>
      <c r="BV153" s="265"/>
      <c r="BW153" s="265"/>
      <c r="BX153" s="265"/>
      <c r="BY153" s="265"/>
      <c r="BZ153" s="265"/>
      <c r="CA153" s="265"/>
      <c r="CB153" s="265"/>
      <c r="CC153" s="265"/>
      <c r="CD153" s="265"/>
      <c r="CE153" s="265"/>
      <c r="CF153" s="265"/>
      <c r="CG153" s="265"/>
      <c r="CH153" s="265"/>
      <c r="CI153" s="265"/>
      <c r="CJ153" s="265"/>
      <c r="CK153" s="543"/>
      <c r="CL153" s="543"/>
      <c r="CM153" s="543"/>
      <c r="CN153" s="543"/>
      <c r="CO153" s="543"/>
      <c r="CP153" s="543"/>
      <c r="CQ153" s="543"/>
      <c r="CR153" s="543"/>
    </row>
    <row r="154" s="61" customFormat="1" ht="13.5" customHeight="1" spans="7:96">
      <c r="G154" s="63"/>
      <c r="M154" s="247"/>
      <c r="T154" s="64"/>
      <c r="AA154" s="63"/>
      <c r="AH154" s="63"/>
      <c r="AZ154" s="63"/>
      <c r="BA154" s="543"/>
      <c r="BB154" s="543"/>
      <c r="BC154" s="543"/>
      <c r="BD154" s="543"/>
      <c r="BE154" s="543"/>
      <c r="BF154" s="543"/>
      <c r="BG154" s="543"/>
      <c r="BH154" s="543"/>
      <c r="BI154" s="543"/>
      <c r="BJ154" s="543"/>
      <c r="BK154" s="543"/>
      <c r="BL154" s="543"/>
      <c r="BM154" s="543"/>
      <c r="BN154" s="543"/>
      <c r="BO154" s="543"/>
      <c r="BP154" s="543"/>
      <c r="BQ154" s="543"/>
      <c r="BR154" s="265"/>
      <c r="BS154" s="265"/>
      <c r="BT154" s="265"/>
      <c r="BU154" s="265"/>
      <c r="BV154" s="265"/>
      <c r="BW154" s="265"/>
      <c r="BX154" s="265"/>
      <c r="BY154" s="265"/>
      <c r="BZ154" s="265"/>
      <c r="CA154" s="265"/>
      <c r="CB154" s="265"/>
      <c r="CC154" s="265"/>
      <c r="CD154" s="265"/>
      <c r="CE154" s="265"/>
      <c r="CF154" s="265"/>
      <c r="CG154" s="265"/>
      <c r="CH154" s="265"/>
      <c r="CI154" s="265"/>
      <c r="CJ154" s="265"/>
      <c r="CK154" s="543"/>
      <c r="CL154" s="543"/>
      <c r="CM154" s="543"/>
      <c r="CN154" s="543"/>
      <c r="CO154" s="543"/>
      <c r="CP154" s="543"/>
      <c r="CQ154" s="543"/>
      <c r="CR154" s="543"/>
    </row>
    <row r="155" s="61" customFormat="1" ht="13.5" customHeight="1" spans="7:96">
      <c r="G155" s="63"/>
      <c r="M155" s="247"/>
      <c r="T155" s="64"/>
      <c r="AA155" s="63"/>
      <c r="AH155" s="63"/>
      <c r="AZ155" s="63"/>
      <c r="BA155" s="543"/>
      <c r="BB155" s="543"/>
      <c r="BC155" s="543"/>
      <c r="BD155" s="543"/>
      <c r="BE155" s="543"/>
      <c r="BF155" s="543"/>
      <c r="BG155" s="543"/>
      <c r="BH155" s="543"/>
      <c r="BI155" s="543"/>
      <c r="BJ155" s="543"/>
      <c r="BK155" s="543"/>
      <c r="BL155" s="543"/>
      <c r="BM155" s="543"/>
      <c r="BN155" s="543"/>
      <c r="BO155" s="543"/>
      <c r="BP155" s="543"/>
      <c r="BQ155" s="543"/>
      <c r="BR155" s="265"/>
      <c r="BS155" s="265"/>
      <c r="BT155" s="265"/>
      <c r="BU155" s="265"/>
      <c r="BV155" s="265"/>
      <c r="BW155" s="265"/>
      <c r="BX155" s="265"/>
      <c r="BY155" s="265"/>
      <c r="BZ155" s="265"/>
      <c r="CA155" s="265"/>
      <c r="CB155" s="265"/>
      <c r="CC155" s="265"/>
      <c r="CD155" s="265"/>
      <c r="CE155" s="265"/>
      <c r="CF155" s="265"/>
      <c r="CG155" s="265"/>
      <c r="CH155" s="265"/>
      <c r="CI155" s="265"/>
      <c r="CJ155" s="265"/>
      <c r="CK155" s="543"/>
      <c r="CL155" s="543"/>
      <c r="CM155" s="543"/>
      <c r="CN155" s="543"/>
      <c r="CO155" s="543"/>
      <c r="CP155" s="543"/>
      <c r="CQ155" s="543"/>
      <c r="CR155" s="543"/>
    </row>
    <row r="156" s="61" customFormat="1" ht="13.5" customHeight="1" spans="7:96">
      <c r="G156" s="63"/>
      <c r="M156" s="247"/>
      <c r="N156" s="62"/>
      <c r="O156" s="62"/>
      <c r="P156" s="62"/>
      <c r="Q156" s="62"/>
      <c r="R156" s="62"/>
      <c r="T156" s="64"/>
      <c r="AA156" s="63"/>
      <c r="AH156" s="63"/>
      <c r="AZ156" s="63"/>
      <c r="BA156" s="543"/>
      <c r="BB156" s="543"/>
      <c r="BC156" s="543"/>
      <c r="BD156" s="543"/>
      <c r="BE156" s="543"/>
      <c r="BF156" s="543"/>
      <c r="BG156" s="543"/>
      <c r="BH156" s="543"/>
      <c r="BI156" s="543"/>
      <c r="BJ156" s="543"/>
      <c r="BK156" s="543"/>
      <c r="BL156" s="543"/>
      <c r="BM156" s="543"/>
      <c r="BN156" s="543"/>
      <c r="BO156" s="543"/>
      <c r="BP156" s="543"/>
      <c r="BQ156" s="543"/>
      <c r="BR156" s="265"/>
      <c r="BS156" s="265"/>
      <c r="BT156" s="265"/>
      <c r="BU156" s="265"/>
      <c r="BV156" s="265"/>
      <c r="BW156" s="265"/>
      <c r="BX156" s="265"/>
      <c r="BY156" s="265"/>
      <c r="BZ156" s="265"/>
      <c r="CA156" s="265"/>
      <c r="CB156" s="265"/>
      <c r="CC156" s="265"/>
      <c r="CD156" s="265"/>
      <c r="CE156" s="265"/>
      <c r="CF156" s="265"/>
      <c r="CG156" s="265"/>
      <c r="CH156" s="265"/>
      <c r="CI156" s="265"/>
      <c r="CJ156" s="265"/>
      <c r="CK156" s="543"/>
      <c r="CL156" s="543"/>
      <c r="CM156" s="543"/>
      <c r="CN156" s="543"/>
      <c r="CO156" s="543"/>
      <c r="CP156" s="543"/>
      <c r="CQ156" s="543"/>
      <c r="CR156" s="543"/>
    </row>
    <row r="157" s="61" customFormat="1" ht="13.5" customHeight="1" spans="7:96">
      <c r="G157" s="63"/>
      <c r="M157" s="247"/>
      <c r="N157" s="62"/>
      <c r="O157" s="62"/>
      <c r="P157" s="62"/>
      <c r="Q157" s="62"/>
      <c r="R157" s="62"/>
      <c r="T157" s="64"/>
      <c r="AA157" s="63"/>
      <c r="AH157" s="63"/>
      <c r="AZ157" s="63"/>
      <c r="BA157" s="543"/>
      <c r="BB157" s="543"/>
      <c r="BC157" s="543"/>
      <c r="BD157" s="543"/>
      <c r="BE157" s="543"/>
      <c r="BF157" s="543"/>
      <c r="BG157" s="543"/>
      <c r="BH157" s="543"/>
      <c r="BI157" s="543"/>
      <c r="BJ157" s="543"/>
      <c r="BK157" s="543"/>
      <c r="BL157" s="543"/>
      <c r="BM157" s="543"/>
      <c r="BN157" s="543"/>
      <c r="BO157" s="543"/>
      <c r="BP157" s="543"/>
      <c r="BQ157" s="543"/>
      <c r="BR157" s="265"/>
      <c r="BS157" s="265"/>
      <c r="BT157" s="265"/>
      <c r="BU157" s="265"/>
      <c r="BV157" s="265"/>
      <c r="BW157" s="265"/>
      <c r="BX157" s="265"/>
      <c r="BY157" s="265"/>
      <c r="BZ157" s="265"/>
      <c r="CA157" s="265"/>
      <c r="CB157" s="265"/>
      <c r="CC157" s="265"/>
      <c r="CD157" s="265"/>
      <c r="CE157" s="265"/>
      <c r="CF157" s="265"/>
      <c r="CG157" s="265"/>
      <c r="CH157" s="265"/>
      <c r="CI157" s="265"/>
      <c r="CJ157" s="265"/>
      <c r="CK157" s="543"/>
      <c r="CL157" s="543"/>
      <c r="CM157" s="543"/>
      <c r="CN157" s="543"/>
      <c r="CO157" s="543"/>
      <c r="CP157" s="543"/>
      <c r="CQ157" s="543"/>
      <c r="CR157" s="543"/>
    </row>
    <row r="158" s="61" customFormat="1" ht="13.5" customHeight="1" spans="7:96">
      <c r="G158" s="63"/>
      <c r="M158" s="247"/>
      <c r="N158" s="62"/>
      <c r="O158" s="62"/>
      <c r="P158" s="62"/>
      <c r="Q158" s="62"/>
      <c r="R158" s="62"/>
      <c r="T158" s="64"/>
      <c r="AA158" s="63"/>
      <c r="AH158" s="63"/>
      <c r="AZ158" s="63"/>
      <c r="BA158" s="543"/>
      <c r="BB158" s="543"/>
      <c r="BC158" s="543"/>
      <c r="BD158" s="543"/>
      <c r="BE158" s="543"/>
      <c r="BF158" s="543"/>
      <c r="BG158" s="543"/>
      <c r="BH158" s="543"/>
      <c r="BI158" s="543"/>
      <c r="BJ158" s="543"/>
      <c r="BK158" s="543"/>
      <c r="BL158" s="543"/>
      <c r="BM158" s="543"/>
      <c r="BN158" s="543"/>
      <c r="BO158" s="543"/>
      <c r="BP158" s="543"/>
      <c r="BQ158" s="543"/>
      <c r="BR158" s="265"/>
      <c r="BS158" s="265"/>
      <c r="BT158" s="265"/>
      <c r="BU158" s="265"/>
      <c r="BV158" s="265"/>
      <c r="BW158" s="265"/>
      <c r="BX158" s="265"/>
      <c r="BY158" s="265"/>
      <c r="BZ158" s="265"/>
      <c r="CA158" s="265"/>
      <c r="CB158" s="265"/>
      <c r="CC158" s="265"/>
      <c r="CD158" s="265"/>
      <c r="CE158" s="265"/>
      <c r="CF158" s="265"/>
      <c r="CG158" s="265"/>
      <c r="CH158" s="265"/>
      <c r="CI158" s="265"/>
      <c r="CJ158" s="265"/>
      <c r="CK158" s="543"/>
      <c r="CL158" s="543"/>
      <c r="CM158" s="543"/>
      <c r="CN158" s="543"/>
      <c r="CO158" s="543"/>
      <c r="CP158" s="543"/>
      <c r="CQ158" s="543"/>
      <c r="CR158" s="543"/>
    </row>
    <row r="159" s="61" customFormat="1" ht="13.5" customHeight="1" spans="7:96">
      <c r="G159" s="63"/>
      <c r="M159" s="247"/>
      <c r="N159" s="62"/>
      <c r="O159" s="62"/>
      <c r="P159" s="62"/>
      <c r="Q159" s="62"/>
      <c r="R159" s="62"/>
      <c r="T159" s="64"/>
      <c r="AA159" s="63"/>
      <c r="AH159" s="63"/>
      <c r="AZ159" s="63"/>
      <c r="BA159" s="543"/>
      <c r="BB159" s="543"/>
      <c r="BC159" s="543"/>
      <c r="BD159" s="543"/>
      <c r="BE159" s="543"/>
      <c r="BF159" s="543"/>
      <c r="BG159" s="543"/>
      <c r="BH159" s="543"/>
      <c r="BI159" s="543"/>
      <c r="BJ159" s="543"/>
      <c r="BK159" s="543"/>
      <c r="BL159" s="543"/>
      <c r="BM159" s="543"/>
      <c r="BN159" s="543"/>
      <c r="BO159" s="543"/>
      <c r="BP159" s="543"/>
      <c r="BQ159" s="543"/>
      <c r="BR159" s="265"/>
      <c r="BS159" s="265"/>
      <c r="BT159" s="265"/>
      <c r="BU159" s="265"/>
      <c r="BV159" s="265"/>
      <c r="BW159" s="265"/>
      <c r="BX159" s="265"/>
      <c r="BY159" s="265"/>
      <c r="BZ159" s="265"/>
      <c r="CA159" s="265"/>
      <c r="CB159" s="265"/>
      <c r="CC159" s="265"/>
      <c r="CD159" s="265"/>
      <c r="CE159" s="265"/>
      <c r="CF159" s="265"/>
      <c r="CG159" s="265"/>
      <c r="CH159" s="265"/>
      <c r="CI159" s="265"/>
      <c r="CJ159" s="265"/>
      <c r="CK159" s="543"/>
      <c r="CL159" s="543"/>
      <c r="CM159" s="543"/>
      <c r="CN159" s="543"/>
      <c r="CO159" s="543"/>
      <c r="CP159" s="543"/>
      <c r="CQ159" s="543"/>
      <c r="CR159" s="543"/>
    </row>
    <row r="160" s="61" customFormat="1" ht="13.5" customHeight="1" spans="7:96">
      <c r="G160" s="63"/>
      <c r="M160" s="247"/>
      <c r="N160" s="62"/>
      <c r="O160" s="62"/>
      <c r="P160" s="62"/>
      <c r="Q160" s="62"/>
      <c r="R160" s="62"/>
      <c r="T160" s="64"/>
      <c r="AA160" s="63"/>
      <c r="AH160" s="63"/>
      <c r="AZ160" s="63"/>
      <c r="BA160" s="543"/>
      <c r="BB160" s="543"/>
      <c r="BC160" s="543"/>
      <c r="BD160" s="543"/>
      <c r="BE160" s="543"/>
      <c r="BF160" s="543"/>
      <c r="BG160" s="543"/>
      <c r="BH160" s="543"/>
      <c r="BI160" s="543"/>
      <c r="BJ160" s="543"/>
      <c r="BK160" s="543"/>
      <c r="BL160" s="543"/>
      <c r="BM160" s="543"/>
      <c r="BN160" s="543"/>
      <c r="BO160" s="543"/>
      <c r="BP160" s="543"/>
      <c r="BQ160" s="543"/>
      <c r="BR160" s="265"/>
      <c r="BS160" s="265"/>
      <c r="BT160" s="265"/>
      <c r="BU160" s="265"/>
      <c r="BV160" s="265"/>
      <c r="BW160" s="265"/>
      <c r="BX160" s="265"/>
      <c r="BY160" s="265"/>
      <c r="BZ160" s="265"/>
      <c r="CA160" s="265"/>
      <c r="CB160" s="265"/>
      <c r="CC160" s="265"/>
      <c r="CD160" s="265"/>
      <c r="CE160" s="265"/>
      <c r="CF160" s="265"/>
      <c r="CG160" s="265"/>
      <c r="CH160" s="265"/>
      <c r="CI160" s="265"/>
      <c r="CJ160" s="265"/>
      <c r="CK160" s="543"/>
      <c r="CL160" s="543"/>
      <c r="CM160" s="543"/>
      <c r="CN160" s="543"/>
      <c r="CO160" s="543"/>
      <c r="CP160" s="543"/>
      <c r="CQ160" s="543"/>
      <c r="CR160" s="543"/>
    </row>
    <row r="161" ht="13.5" customHeight="1" spans="13:96">
      <c r="M161" s="247"/>
      <c r="BA161" s="265"/>
      <c r="BB161" s="265"/>
      <c r="BC161" s="265"/>
      <c r="BD161" s="265"/>
      <c r="BE161" s="265"/>
      <c r="BF161" s="265"/>
      <c r="BG161" s="265"/>
      <c r="BH161" s="265"/>
      <c r="BI161" s="265"/>
      <c r="BJ161" s="265"/>
      <c r="BK161" s="265"/>
      <c r="BL161" s="265"/>
      <c r="BM161" s="265"/>
      <c r="BN161" s="265"/>
      <c r="BO161" s="265"/>
      <c r="BP161" s="265"/>
      <c r="BQ161" s="265"/>
      <c r="BR161" s="265"/>
      <c r="BS161" s="265"/>
      <c r="BT161" s="265"/>
      <c r="BU161" s="265"/>
      <c r="BV161" s="265"/>
      <c r="BW161" s="265"/>
      <c r="BX161" s="265"/>
      <c r="BY161" s="265"/>
      <c r="BZ161" s="265"/>
      <c r="CA161" s="265"/>
      <c r="CB161" s="265"/>
      <c r="CC161" s="265"/>
      <c r="CD161" s="265"/>
      <c r="CE161" s="265"/>
      <c r="CF161" s="265"/>
      <c r="CG161" s="265"/>
      <c r="CH161" s="265"/>
      <c r="CI161" s="265"/>
      <c r="CJ161" s="265"/>
      <c r="CK161" s="265"/>
      <c r="CL161" s="265"/>
      <c r="CM161" s="265"/>
      <c r="CN161" s="265"/>
      <c r="CO161" s="265"/>
      <c r="CP161" s="265"/>
      <c r="CQ161" s="265"/>
      <c r="CR161" s="265"/>
    </row>
    <row r="162" ht="13.5" customHeight="1" spans="13:96">
      <c r="M162" s="247"/>
      <c r="BA162" s="265"/>
      <c r="BB162" s="265"/>
      <c r="BC162" s="265"/>
      <c r="BD162" s="265"/>
      <c r="BE162" s="265"/>
      <c r="BF162" s="265"/>
      <c r="BG162" s="265"/>
      <c r="BH162" s="265"/>
      <c r="BI162" s="265"/>
      <c r="BJ162" s="265"/>
      <c r="BK162" s="265"/>
      <c r="BL162" s="265"/>
      <c r="BM162" s="265"/>
      <c r="BN162" s="265"/>
      <c r="BO162" s="265"/>
      <c r="BP162" s="265"/>
      <c r="BQ162" s="265"/>
      <c r="BR162" s="265"/>
      <c r="BS162" s="265"/>
      <c r="BT162" s="265"/>
      <c r="BU162" s="265"/>
      <c r="BV162" s="265"/>
      <c r="BW162" s="265"/>
      <c r="BX162" s="265"/>
      <c r="BY162" s="265"/>
      <c r="BZ162" s="265"/>
      <c r="CA162" s="265"/>
      <c r="CB162" s="265"/>
      <c r="CC162" s="265"/>
      <c r="CD162" s="265"/>
      <c r="CE162" s="265"/>
      <c r="CF162" s="265"/>
      <c r="CG162" s="265"/>
      <c r="CH162" s="265"/>
      <c r="CI162" s="265"/>
      <c r="CJ162" s="265"/>
      <c r="CK162" s="265"/>
      <c r="CL162" s="265"/>
      <c r="CM162" s="265"/>
      <c r="CN162" s="265"/>
      <c r="CO162" s="265"/>
      <c r="CP162" s="265"/>
      <c r="CQ162" s="265"/>
      <c r="CR162" s="265"/>
    </row>
    <row r="163" ht="13.5" customHeight="1" spans="13:96">
      <c r="M163" s="247"/>
      <c r="BA163" s="265"/>
      <c r="BB163" s="265"/>
      <c r="BC163" s="265"/>
      <c r="BD163" s="265"/>
      <c r="BE163" s="265"/>
      <c r="BF163" s="265"/>
      <c r="BG163" s="265"/>
      <c r="BH163" s="265"/>
      <c r="BI163" s="265"/>
      <c r="BJ163" s="265"/>
      <c r="BK163" s="265"/>
      <c r="BL163" s="265"/>
      <c r="BM163" s="265"/>
      <c r="BN163" s="265"/>
      <c r="BO163" s="265"/>
      <c r="BP163" s="265"/>
      <c r="BQ163" s="265"/>
      <c r="BR163" s="265"/>
      <c r="BS163" s="265"/>
      <c r="BT163" s="265"/>
      <c r="BU163" s="265"/>
      <c r="BV163" s="265"/>
      <c r="BW163" s="265"/>
      <c r="BX163" s="265"/>
      <c r="BY163" s="265"/>
      <c r="BZ163" s="265"/>
      <c r="CA163" s="265"/>
      <c r="CB163" s="265"/>
      <c r="CC163" s="265"/>
      <c r="CD163" s="265"/>
      <c r="CE163" s="265"/>
      <c r="CF163" s="265"/>
      <c r="CG163" s="265"/>
      <c r="CH163" s="265"/>
      <c r="CI163" s="265"/>
      <c r="CJ163" s="265"/>
      <c r="CK163" s="265"/>
      <c r="CL163" s="265"/>
      <c r="CM163" s="265"/>
      <c r="CN163" s="265"/>
      <c r="CO163" s="265"/>
      <c r="CP163" s="265"/>
      <c r="CQ163" s="265"/>
      <c r="CR163" s="265"/>
    </row>
    <row r="164" ht="13.5" customHeight="1" spans="13:96">
      <c r="M164" s="247"/>
      <c r="BA164" s="265"/>
      <c r="BB164" s="265"/>
      <c r="BC164" s="265"/>
      <c r="BD164" s="265"/>
      <c r="BE164" s="265"/>
      <c r="BF164" s="265"/>
      <c r="BG164" s="265"/>
      <c r="BH164" s="265"/>
      <c r="BI164" s="265"/>
      <c r="BJ164" s="265"/>
      <c r="BK164" s="265"/>
      <c r="BL164" s="265"/>
      <c r="BM164" s="265"/>
      <c r="BN164" s="265"/>
      <c r="BO164" s="265"/>
      <c r="BP164" s="265"/>
      <c r="BQ164" s="265"/>
      <c r="BR164" s="265"/>
      <c r="BS164" s="265"/>
      <c r="BT164" s="265"/>
      <c r="BU164" s="265"/>
      <c r="BV164" s="265"/>
      <c r="BW164" s="265"/>
      <c r="BX164" s="265"/>
      <c r="BY164" s="265"/>
      <c r="BZ164" s="265"/>
      <c r="CA164" s="265"/>
      <c r="CB164" s="265"/>
      <c r="CC164" s="265"/>
      <c r="CD164" s="265"/>
      <c r="CE164" s="265"/>
      <c r="CF164" s="265"/>
      <c r="CG164" s="265"/>
      <c r="CH164" s="265"/>
      <c r="CI164" s="265"/>
      <c r="CJ164" s="265"/>
      <c r="CK164" s="265"/>
      <c r="CL164" s="265"/>
      <c r="CM164" s="265"/>
      <c r="CN164" s="265"/>
      <c r="CO164" s="265"/>
      <c r="CP164" s="265"/>
      <c r="CQ164" s="265"/>
      <c r="CR164" s="265"/>
    </row>
    <row r="165" ht="13.5" customHeight="1" spans="13:96">
      <c r="M165" s="247"/>
      <c r="BA165" s="265"/>
      <c r="BB165" s="265"/>
      <c r="BC165" s="265"/>
      <c r="BD165" s="265"/>
      <c r="BE165" s="265"/>
      <c r="BF165" s="265"/>
      <c r="BG165" s="265"/>
      <c r="BH165" s="265"/>
      <c r="BI165" s="265"/>
      <c r="BJ165" s="265"/>
      <c r="BK165" s="265"/>
      <c r="BL165" s="265"/>
      <c r="BM165" s="265"/>
      <c r="BN165" s="265"/>
      <c r="BO165" s="265"/>
      <c r="BP165" s="265"/>
      <c r="BQ165" s="265"/>
      <c r="BR165" s="265"/>
      <c r="BS165" s="265"/>
      <c r="BT165" s="265"/>
      <c r="BU165" s="265"/>
      <c r="BV165" s="265"/>
      <c r="BW165" s="265"/>
      <c r="BX165" s="265"/>
      <c r="BY165" s="265"/>
      <c r="BZ165" s="265"/>
      <c r="CA165" s="265"/>
      <c r="CB165" s="265"/>
      <c r="CC165" s="265"/>
      <c r="CD165" s="265"/>
      <c r="CE165" s="265"/>
      <c r="CF165" s="265"/>
      <c r="CG165" s="265"/>
      <c r="CH165" s="265"/>
      <c r="CI165" s="265"/>
      <c r="CJ165" s="265"/>
      <c r="CK165" s="265"/>
      <c r="CL165" s="265"/>
      <c r="CM165" s="265"/>
      <c r="CN165" s="265"/>
      <c r="CO165" s="265"/>
      <c r="CP165" s="265"/>
      <c r="CQ165" s="265"/>
      <c r="CR165" s="265"/>
    </row>
    <row r="166" ht="13.5" customHeight="1" spans="13:96">
      <c r="M166" s="247"/>
      <c r="BA166" s="265"/>
      <c r="BB166" s="265"/>
      <c r="BC166" s="265"/>
      <c r="BD166" s="265"/>
      <c r="BE166" s="265"/>
      <c r="BF166" s="265"/>
      <c r="BG166" s="265"/>
      <c r="BH166" s="265"/>
      <c r="BI166" s="265"/>
      <c r="BJ166" s="265"/>
      <c r="BK166" s="265"/>
      <c r="BL166" s="265"/>
      <c r="BM166" s="265"/>
      <c r="BN166" s="265"/>
      <c r="BO166" s="265"/>
      <c r="BP166" s="265"/>
      <c r="BQ166" s="265"/>
      <c r="BR166" s="265"/>
      <c r="BS166" s="265"/>
      <c r="BT166" s="265"/>
      <c r="BU166" s="265"/>
      <c r="BV166" s="265"/>
      <c r="BW166" s="265"/>
      <c r="BX166" s="265"/>
      <c r="BY166" s="265"/>
      <c r="BZ166" s="265"/>
      <c r="CA166" s="265"/>
      <c r="CB166" s="265"/>
      <c r="CC166" s="265"/>
      <c r="CD166" s="265"/>
      <c r="CE166" s="265"/>
      <c r="CF166" s="265"/>
      <c r="CG166" s="265"/>
      <c r="CH166" s="265"/>
      <c r="CI166" s="265"/>
      <c r="CJ166" s="265"/>
      <c r="CK166" s="265"/>
      <c r="CL166" s="265"/>
      <c r="CM166" s="265"/>
      <c r="CN166" s="265"/>
      <c r="CO166" s="265"/>
      <c r="CP166" s="265"/>
      <c r="CQ166" s="265"/>
      <c r="CR166" s="265"/>
    </row>
    <row r="167" ht="13.5" customHeight="1" spans="13:96">
      <c r="M167" s="247"/>
      <c r="BA167" s="265"/>
      <c r="BB167" s="265"/>
      <c r="BC167" s="265"/>
      <c r="BD167" s="265"/>
      <c r="BE167" s="265"/>
      <c r="BF167" s="265"/>
      <c r="BG167" s="265"/>
      <c r="BH167" s="265"/>
      <c r="BI167" s="265"/>
      <c r="BJ167" s="265"/>
      <c r="BK167" s="265"/>
      <c r="BL167" s="265"/>
      <c r="BM167" s="265"/>
      <c r="BN167" s="265"/>
      <c r="BO167" s="265"/>
      <c r="BP167" s="265"/>
      <c r="BQ167" s="265"/>
      <c r="BR167" s="265"/>
      <c r="BS167" s="265"/>
      <c r="BT167" s="265"/>
      <c r="BU167" s="265"/>
      <c r="BV167" s="265"/>
      <c r="BW167" s="265"/>
      <c r="BX167" s="265"/>
      <c r="BY167" s="265"/>
      <c r="BZ167" s="265"/>
      <c r="CA167" s="265"/>
      <c r="CB167" s="265"/>
      <c r="CC167" s="265"/>
      <c r="CD167" s="265"/>
      <c r="CE167" s="265"/>
      <c r="CF167" s="265"/>
      <c r="CG167" s="265"/>
      <c r="CH167" s="265"/>
      <c r="CI167" s="265"/>
      <c r="CJ167" s="265"/>
      <c r="CK167" s="265"/>
      <c r="CL167" s="265"/>
      <c r="CM167" s="265"/>
      <c r="CN167" s="265"/>
      <c r="CO167" s="265"/>
      <c r="CP167" s="265"/>
      <c r="CQ167" s="265"/>
      <c r="CR167" s="265"/>
    </row>
    <row r="168" ht="13.5" customHeight="1" spans="13:96">
      <c r="M168" s="247"/>
      <c r="BA168" s="265"/>
      <c r="BB168" s="265"/>
      <c r="BC168" s="265"/>
      <c r="BD168" s="265"/>
      <c r="BE168" s="265"/>
      <c r="BF168" s="265"/>
      <c r="BG168" s="265"/>
      <c r="BH168" s="265"/>
      <c r="BI168" s="265"/>
      <c r="BJ168" s="265"/>
      <c r="BK168" s="265"/>
      <c r="BL168" s="265"/>
      <c r="BM168" s="265"/>
      <c r="BN168" s="265"/>
      <c r="BO168" s="265"/>
      <c r="BP168" s="265"/>
      <c r="BQ168" s="265"/>
      <c r="BR168" s="265"/>
      <c r="BS168" s="265"/>
      <c r="BT168" s="265"/>
      <c r="BU168" s="265"/>
      <c r="BV168" s="265"/>
      <c r="BW168" s="265"/>
      <c r="BX168" s="265"/>
      <c r="BY168" s="265"/>
      <c r="BZ168" s="265"/>
      <c r="CA168" s="265"/>
      <c r="CB168" s="265"/>
      <c r="CC168" s="265"/>
      <c r="CD168" s="265"/>
      <c r="CE168" s="265"/>
      <c r="CF168" s="265"/>
      <c r="CG168" s="265"/>
      <c r="CH168" s="265"/>
      <c r="CI168" s="265"/>
      <c r="CJ168" s="265"/>
      <c r="CK168" s="265"/>
      <c r="CL168" s="265"/>
      <c r="CM168" s="265"/>
      <c r="CN168" s="265"/>
      <c r="CO168" s="265"/>
      <c r="CP168" s="265"/>
      <c r="CQ168" s="265"/>
      <c r="CR168" s="265"/>
    </row>
    <row r="169" ht="13.5" customHeight="1" spans="13:96">
      <c r="M169" s="247"/>
      <c r="BA169" s="265"/>
      <c r="BB169" s="265"/>
      <c r="BC169" s="265"/>
      <c r="BD169" s="265"/>
      <c r="BE169" s="265"/>
      <c r="BF169" s="265"/>
      <c r="BG169" s="265"/>
      <c r="BH169" s="265"/>
      <c r="BI169" s="265"/>
      <c r="BJ169" s="265"/>
      <c r="BK169" s="265"/>
      <c r="BL169" s="265"/>
      <c r="BM169" s="265"/>
      <c r="BN169" s="265"/>
      <c r="BO169" s="265"/>
      <c r="BP169" s="265"/>
      <c r="BQ169" s="265"/>
      <c r="BR169" s="265"/>
      <c r="BS169" s="265"/>
      <c r="BT169" s="265"/>
      <c r="BU169" s="265"/>
      <c r="BV169" s="265"/>
      <c r="BW169" s="265"/>
      <c r="BX169" s="265"/>
      <c r="BY169" s="265"/>
      <c r="BZ169" s="265"/>
      <c r="CA169" s="265"/>
      <c r="CB169" s="265"/>
      <c r="CC169" s="265"/>
      <c r="CD169" s="265"/>
      <c r="CE169" s="265"/>
      <c r="CF169" s="265"/>
      <c r="CG169" s="265"/>
      <c r="CH169" s="265"/>
      <c r="CI169" s="265"/>
      <c r="CJ169" s="265"/>
      <c r="CK169" s="265"/>
      <c r="CL169" s="265"/>
      <c r="CM169" s="265"/>
      <c r="CN169" s="265"/>
      <c r="CO169" s="265"/>
      <c r="CP169" s="265"/>
      <c r="CQ169" s="265"/>
      <c r="CR169" s="265"/>
    </row>
    <row r="170" ht="13.5" customHeight="1" spans="8:96">
      <c r="H170" s="265"/>
      <c r="I170" s="265"/>
      <c r="J170" s="265"/>
      <c r="K170" s="265"/>
      <c r="L170" s="265"/>
      <c r="M170" s="247"/>
      <c r="BA170" s="265"/>
      <c r="BB170" s="265"/>
      <c r="BC170" s="265"/>
      <c r="BD170" s="265"/>
      <c r="BE170" s="265"/>
      <c r="BF170" s="265"/>
      <c r="BG170" s="265"/>
      <c r="BH170" s="265"/>
      <c r="BI170" s="265"/>
      <c r="BJ170" s="265"/>
      <c r="BK170" s="265"/>
      <c r="BL170" s="265"/>
      <c r="BM170" s="265"/>
      <c r="BN170" s="265"/>
      <c r="BO170" s="265"/>
      <c r="BP170" s="265"/>
      <c r="BQ170" s="265"/>
      <c r="BR170" s="265"/>
      <c r="BS170" s="265"/>
      <c r="BT170" s="265"/>
      <c r="BU170" s="265"/>
      <c r="BV170" s="265"/>
      <c r="BW170" s="265"/>
      <c r="BX170" s="265"/>
      <c r="BY170" s="265"/>
      <c r="BZ170" s="265"/>
      <c r="CA170" s="265"/>
      <c r="CB170" s="265"/>
      <c r="CC170" s="265"/>
      <c r="CD170" s="265"/>
      <c r="CE170" s="265"/>
      <c r="CF170" s="265"/>
      <c r="CG170" s="265"/>
      <c r="CH170" s="265"/>
      <c r="CI170" s="265"/>
      <c r="CJ170" s="265"/>
      <c r="CK170" s="265"/>
      <c r="CL170" s="265"/>
      <c r="CM170" s="265"/>
      <c r="CN170" s="265"/>
      <c r="CO170" s="265"/>
      <c r="CP170" s="265"/>
      <c r="CQ170" s="265"/>
      <c r="CR170" s="265"/>
    </row>
    <row r="171" ht="13.5" customHeight="1" spans="8:96">
      <c r="H171" s="266"/>
      <c r="I171" s="266"/>
      <c r="J171" s="266"/>
      <c r="K171" s="266"/>
      <c r="L171" s="266"/>
      <c r="M171" s="247"/>
      <c r="BA171" s="265"/>
      <c r="BB171" s="265"/>
      <c r="BC171" s="265"/>
      <c r="BD171" s="265"/>
      <c r="BE171" s="265"/>
      <c r="BF171" s="265"/>
      <c r="BG171" s="265"/>
      <c r="BH171" s="265"/>
      <c r="BI171" s="265"/>
      <c r="BJ171" s="265"/>
      <c r="BK171" s="265"/>
      <c r="BL171" s="265"/>
      <c r="BM171" s="265"/>
      <c r="BN171" s="265"/>
      <c r="BO171" s="265"/>
      <c r="BP171" s="265"/>
      <c r="BQ171" s="265"/>
      <c r="BR171" s="265"/>
      <c r="BS171" s="265"/>
      <c r="BT171" s="265"/>
      <c r="BU171" s="265"/>
      <c r="BV171" s="265"/>
      <c r="BW171" s="265"/>
      <c r="BX171" s="265"/>
      <c r="BY171" s="265"/>
      <c r="BZ171" s="265"/>
      <c r="CA171" s="265"/>
      <c r="CB171" s="265"/>
      <c r="CC171" s="265"/>
      <c r="CD171" s="265"/>
      <c r="CE171" s="265"/>
      <c r="CF171" s="265"/>
      <c r="CG171" s="265"/>
      <c r="CH171" s="265"/>
      <c r="CI171" s="265"/>
      <c r="CJ171" s="265"/>
      <c r="CK171" s="265"/>
      <c r="CL171" s="265"/>
      <c r="CM171" s="265"/>
      <c r="CN171" s="265"/>
      <c r="CO171" s="265"/>
      <c r="CP171" s="265"/>
      <c r="CQ171" s="265"/>
      <c r="CR171" s="265"/>
    </row>
    <row r="172" ht="13.5" customHeight="1" spans="8:96">
      <c r="H172" s="266" t="e">
        <f>MIN(L177,INT(N49*520/H177))</f>
        <v>#DIV/0!</v>
      </c>
      <c r="I172" s="266"/>
      <c r="J172" s="266"/>
      <c r="K172" s="266"/>
      <c r="L172" s="266"/>
      <c r="M172" s="247"/>
      <c r="BA172" s="265"/>
      <c r="BB172" s="265"/>
      <c r="BC172" s="265"/>
      <c r="BD172" s="265"/>
      <c r="BE172" s="265"/>
      <c r="BF172" s="265"/>
      <c r="BG172" s="265"/>
      <c r="BH172" s="265"/>
      <c r="BI172" s="265"/>
      <c r="BJ172" s="265"/>
      <c r="BK172" s="265"/>
      <c r="BL172" s="265"/>
      <c r="BM172" s="265"/>
      <c r="BN172" s="265"/>
      <c r="BO172" s="265"/>
      <c r="BP172" s="265"/>
      <c r="BQ172" s="265"/>
      <c r="BR172" s="265"/>
      <c r="BS172" s="265"/>
      <c r="BT172" s="265"/>
      <c r="BU172" s="265"/>
      <c r="BV172" s="265"/>
      <c r="BW172" s="265"/>
      <c r="BX172" s="265"/>
      <c r="BY172" s="265"/>
      <c r="BZ172" s="265"/>
      <c r="CA172" s="265"/>
      <c r="CB172" s="265"/>
      <c r="CC172" s="265"/>
      <c r="CD172" s="265"/>
      <c r="CE172" s="265"/>
      <c r="CF172" s="265"/>
      <c r="CG172" s="265"/>
      <c r="CH172" s="265"/>
      <c r="CI172" s="265"/>
      <c r="CJ172" s="265"/>
      <c r="CK172" s="265"/>
      <c r="CL172" s="265"/>
      <c r="CM172" s="265"/>
      <c r="CN172" s="265"/>
      <c r="CO172" s="265"/>
      <c r="CP172" s="265"/>
      <c r="CQ172" s="265"/>
      <c r="CR172" s="265"/>
    </row>
    <row r="173" ht="13.5" customHeight="1" spans="8:96">
      <c r="H173" s="266" t="e">
        <f>MIN(L178,MAX(0,INT((520*N49-H172*H177)/H178)))</f>
        <v>#DIV/0!</v>
      </c>
      <c r="I173" s="266"/>
      <c r="J173" s="266" t="e">
        <f>L178-H173</f>
        <v>#DIV/0!</v>
      </c>
      <c r="K173" s="266"/>
      <c r="L173" s="266"/>
      <c r="M173" s="247"/>
      <c r="BA173" s="265"/>
      <c r="BB173" s="265"/>
      <c r="BC173" s="265"/>
      <c r="BD173" s="265"/>
      <c r="BE173" s="265"/>
      <c r="BF173" s="265"/>
      <c r="BG173" s="265"/>
      <c r="BH173" s="265"/>
      <c r="BI173" s="265"/>
      <c r="BJ173" s="265"/>
      <c r="BK173" s="265"/>
      <c r="BL173" s="265"/>
      <c r="BM173" s="265"/>
      <c r="BN173" s="265"/>
      <c r="BO173" s="265"/>
      <c r="BP173" s="265"/>
      <c r="BQ173" s="265"/>
      <c r="BR173" s="265"/>
      <c r="BS173" s="265"/>
      <c r="BT173" s="265"/>
      <c r="BU173" s="265"/>
      <c r="BV173" s="265"/>
      <c r="BW173" s="265"/>
      <c r="BX173" s="265"/>
      <c r="BY173" s="265"/>
      <c r="BZ173" s="265"/>
      <c r="CA173" s="265"/>
      <c r="CB173" s="265"/>
      <c r="CC173" s="265"/>
      <c r="CD173" s="265"/>
      <c r="CE173" s="265"/>
      <c r="CF173" s="265"/>
      <c r="CG173" s="265"/>
      <c r="CH173" s="265"/>
      <c r="CI173" s="265"/>
      <c r="CJ173" s="265"/>
      <c r="CK173" s="265"/>
      <c r="CL173" s="265"/>
      <c r="CM173" s="265"/>
      <c r="CN173" s="265"/>
      <c r="CO173" s="265"/>
      <c r="CP173" s="265"/>
      <c r="CQ173" s="265"/>
      <c r="CR173" s="265"/>
    </row>
    <row r="174" ht="13.5" customHeight="1" spans="8:96">
      <c r="H174" s="266" t="e">
        <f>MIN(L179,MAX(0,INT((520*N49-H172*H177-H173*H178)/H179)))</f>
        <v>#DIV/0!</v>
      </c>
      <c r="I174" s="266"/>
      <c r="J174" s="266" t="e">
        <f>IF(MIN((L179-H174),MIN(L179,INT((520*N49-J172*H177-J173*H178)/H179)))&lt;0,0,MIN((L179-H174),MIN(L179,INT((520*N49-J172*H177-J173*H178)/H179))))</f>
        <v>#DIV/0!</v>
      </c>
      <c r="K174" s="266" t="e">
        <f>MIN(L180,INT((260*N49-K175*H180)/H179))</f>
        <v>#DIV/0!</v>
      </c>
      <c r="L174" s="266"/>
      <c r="M174" s="247"/>
      <c r="BA174" s="265"/>
      <c r="BB174" s="265"/>
      <c r="BC174" s="265"/>
      <c r="BD174" s="265"/>
      <c r="BE174" s="265"/>
      <c r="BF174" s="265"/>
      <c r="BG174" s="265"/>
      <c r="BH174" s="265"/>
      <c r="BI174" s="265"/>
      <c r="BJ174" s="265"/>
      <c r="BK174" s="265"/>
      <c r="BL174" s="265"/>
      <c r="BM174" s="265"/>
      <c r="BN174" s="265"/>
      <c r="BO174" s="265"/>
      <c r="BP174" s="265"/>
      <c r="BQ174" s="265"/>
      <c r="BR174" s="265"/>
      <c r="BS174" s="265"/>
      <c r="BT174" s="265"/>
      <c r="BU174" s="265"/>
      <c r="BV174" s="265"/>
      <c r="BW174" s="265"/>
      <c r="BX174" s="265"/>
      <c r="BY174" s="265"/>
      <c r="BZ174" s="265"/>
      <c r="CA174" s="265"/>
      <c r="CB174" s="265"/>
      <c r="CC174" s="265"/>
      <c r="CD174" s="265"/>
      <c r="CE174" s="265"/>
      <c r="CF174" s="265"/>
      <c r="CG174" s="265"/>
      <c r="CH174" s="265"/>
      <c r="CI174" s="265"/>
      <c r="CJ174" s="265"/>
      <c r="CK174" s="265"/>
      <c r="CL174" s="265"/>
      <c r="CM174" s="265"/>
      <c r="CN174" s="265"/>
      <c r="CO174" s="265"/>
      <c r="CP174" s="265"/>
      <c r="CQ174" s="265"/>
      <c r="CR174" s="265"/>
    </row>
    <row r="175" ht="13.5" customHeight="1" spans="8:96">
      <c r="H175" s="266" t="e">
        <f>MAX(0,INT((N49*520-H172*H177-H173*H178-H174*H179)/H180))</f>
        <v>#DIV/0!</v>
      </c>
      <c r="I175" s="266"/>
      <c r="J175" s="266" t="e">
        <f>IF(MIN(L180-K175,INT((520*N49-H177*J172-H178*J173-H179*J174)/H180))&lt;0,0,MIN(L180-K175,INT((520*N49-H177*J172-H178*J173-H179*J174)/H180)))</f>
        <v>#DIV/0!</v>
      </c>
      <c r="K175" s="266" t="e">
        <f>MIN(L180,INT(260*N49/H180))</f>
        <v>#DIV/0!</v>
      </c>
      <c r="L175" s="266"/>
      <c r="M175" s="247"/>
      <c r="BA175" s="265"/>
      <c r="BB175" s="265"/>
      <c r="BC175" s="265"/>
      <c r="BD175" s="265"/>
      <c r="BE175" s="265"/>
      <c r="BF175" s="265"/>
      <c r="BG175" s="265"/>
      <c r="BH175" s="265"/>
      <c r="BI175" s="265"/>
      <c r="BJ175" s="265"/>
      <c r="BK175" s="265"/>
      <c r="BL175" s="265"/>
      <c r="BM175" s="265"/>
      <c r="BN175" s="265"/>
      <c r="BO175" s="265"/>
      <c r="BP175" s="265"/>
      <c r="BQ175" s="265"/>
      <c r="BR175" s="265"/>
      <c r="BS175" s="265"/>
      <c r="BT175" s="265"/>
      <c r="BU175" s="265"/>
      <c r="BV175" s="265"/>
      <c r="BW175" s="265"/>
      <c r="BX175" s="265"/>
      <c r="BY175" s="265"/>
      <c r="BZ175" s="265"/>
      <c r="CA175" s="265"/>
      <c r="CB175" s="265"/>
      <c r="CC175" s="265"/>
      <c r="CD175" s="265"/>
      <c r="CE175" s="265"/>
      <c r="CF175" s="265"/>
      <c r="CG175" s="265"/>
      <c r="CH175" s="265"/>
      <c r="CI175" s="265"/>
      <c r="CJ175" s="265"/>
      <c r="CK175" s="265"/>
      <c r="CL175" s="265"/>
      <c r="CM175" s="265"/>
      <c r="CN175" s="265"/>
      <c r="CO175" s="265"/>
      <c r="CP175" s="265"/>
      <c r="CQ175" s="265"/>
      <c r="CR175" s="265"/>
    </row>
    <row r="176" spans="8:96">
      <c r="H176" s="266"/>
      <c r="I176" s="266"/>
      <c r="J176" s="266"/>
      <c r="K176" s="266"/>
      <c r="L176" s="266"/>
      <c r="BA176" s="265"/>
      <c r="BB176" s="265"/>
      <c r="BC176" s="265"/>
      <c r="BD176" s="265"/>
      <c r="BE176" s="265"/>
      <c r="BF176" s="265"/>
      <c r="BG176" s="265"/>
      <c r="BH176" s="265"/>
      <c r="BI176" s="265"/>
      <c r="BJ176" s="265"/>
      <c r="BK176" s="265"/>
      <c r="BL176" s="265"/>
      <c r="BM176" s="265"/>
      <c r="BN176" s="265"/>
      <c r="BO176" s="265"/>
      <c r="BP176" s="265"/>
      <c r="BQ176" s="265"/>
      <c r="BR176" s="265"/>
      <c r="BS176" s="265"/>
      <c r="BT176" s="265"/>
      <c r="BU176" s="265"/>
      <c r="BV176" s="265"/>
      <c r="BW176" s="265"/>
      <c r="BX176" s="265"/>
      <c r="BY176" s="265"/>
      <c r="BZ176" s="265"/>
      <c r="CA176" s="265"/>
      <c r="CB176" s="265"/>
      <c r="CC176" s="265"/>
      <c r="CD176" s="265"/>
      <c r="CE176" s="265"/>
      <c r="CF176" s="265"/>
      <c r="CG176" s="265"/>
      <c r="CH176" s="265"/>
      <c r="CI176" s="265"/>
      <c r="CJ176" s="265"/>
      <c r="CK176" s="265"/>
      <c r="CL176" s="265"/>
      <c r="CM176" s="265"/>
      <c r="CN176" s="265"/>
      <c r="CO176" s="265"/>
      <c r="CP176" s="265"/>
      <c r="CQ176" s="265"/>
      <c r="CR176" s="265"/>
    </row>
    <row r="177" spans="8:96">
      <c r="H177" s="266">
        <f>初始化表!E17</f>
        <v>0</v>
      </c>
      <c r="I177" s="266">
        <f>初始化表!E18</f>
        <v>0</v>
      </c>
      <c r="J177" s="266">
        <f>初始化表!E19</f>
        <v>0</v>
      </c>
      <c r="K177" s="266"/>
      <c r="L177" s="266">
        <f>L35</f>
        <v>0</v>
      </c>
      <c r="BA177" s="265"/>
      <c r="BB177" s="265"/>
      <c r="BC177" s="265"/>
      <c r="BD177" s="265"/>
      <c r="BE177" s="265"/>
      <c r="BF177" s="265"/>
      <c r="BG177" s="265"/>
      <c r="BH177" s="265"/>
      <c r="BI177" s="265"/>
      <c r="BJ177" s="265"/>
      <c r="BK177" s="265"/>
      <c r="BL177" s="265"/>
      <c r="BM177" s="265"/>
      <c r="BN177" s="265"/>
      <c r="BO177" s="265"/>
      <c r="BP177" s="265"/>
      <c r="BQ177" s="265"/>
      <c r="BR177" s="265"/>
      <c r="BS177" s="265"/>
      <c r="BT177" s="265"/>
      <c r="BU177" s="265"/>
      <c r="BV177" s="265"/>
      <c r="BW177" s="265"/>
      <c r="BX177" s="265"/>
      <c r="BY177" s="265"/>
      <c r="BZ177" s="265"/>
      <c r="CA177" s="265"/>
      <c r="CB177" s="265"/>
      <c r="CC177" s="265"/>
      <c r="CD177" s="265"/>
      <c r="CE177" s="265"/>
      <c r="CF177" s="265"/>
      <c r="CG177" s="265"/>
      <c r="CH177" s="265"/>
      <c r="CI177" s="265"/>
      <c r="CJ177" s="265"/>
      <c r="CK177" s="265"/>
      <c r="CL177" s="265"/>
      <c r="CM177" s="265"/>
      <c r="CN177" s="265"/>
      <c r="CO177" s="265"/>
      <c r="CP177" s="265"/>
      <c r="CQ177" s="265"/>
      <c r="CR177" s="265"/>
    </row>
    <row r="178" spans="8:96">
      <c r="H178" s="266">
        <f>初始化表!F17</f>
        <v>0</v>
      </c>
      <c r="I178" s="266">
        <f>初始化表!F18</f>
        <v>0</v>
      </c>
      <c r="J178" s="266">
        <f>初始化表!F19</f>
        <v>0</v>
      </c>
      <c r="K178" s="266"/>
      <c r="L178" s="266">
        <f>L36</f>
        <v>0</v>
      </c>
      <c r="BA178" s="265"/>
      <c r="BB178" s="265"/>
      <c r="BC178" s="265"/>
      <c r="BD178" s="265"/>
      <c r="BE178" s="265"/>
      <c r="BF178" s="265"/>
      <c r="BG178" s="265"/>
      <c r="BH178" s="265"/>
      <c r="BI178" s="265"/>
      <c r="BJ178" s="265"/>
      <c r="BK178" s="265"/>
      <c r="BL178" s="265"/>
      <c r="BM178" s="265"/>
      <c r="BN178" s="265"/>
      <c r="BO178" s="265"/>
      <c r="BP178" s="265"/>
      <c r="BQ178" s="265"/>
      <c r="BR178" s="265"/>
      <c r="BS178" s="265"/>
      <c r="BT178" s="265"/>
      <c r="BU178" s="265"/>
      <c r="BV178" s="265"/>
      <c r="BW178" s="265"/>
      <c r="BX178" s="265"/>
      <c r="BY178" s="265"/>
      <c r="BZ178" s="265"/>
      <c r="CA178" s="265"/>
      <c r="CB178" s="265"/>
      <c r="CC178" s="265"/>
      <c r="CD178" s="265"/>
      <c r="CE178" s="265"/>
      <c r="CF178" s="265"/>
      <c r="CG178" s="265"/>
      <c r="CH178" s="265"/>
      <c r="CI178" s="265"/>
      <c r="CJ178" s="265"/>
      <c r="CK178" s="265"/>
      <c r="CL178" s="265"/>
      <c r="CM178" s="265"/>
      <c r="CN178" s="265"/>
      <c r="CO178" s="265"/>
      <c r="CP178" s="265"/>
      <c r="CQ178" s="265"/>
      <c r="CR178" s="265"/>
    </row>
    <row r="179" spans="8:96">
      <c r="H179" s="266">
        <f>初始化表!G17</f>
        <v>0</v>
      </c>
      <c r="I179" s="266">
        <f>初始化表!G18</f>
        <v>0</v>
      </c>
      <c r="J179" s="266">
        <f>初始化表!G19</f>
        <v>0</v>
      </c>
      <c r="K179" s="266"/>
      <c r="L179" s="266">
        <f>L37</f>
        <v>0</v>
      </c>
      <c r="BA179" s="265"/>
      <c r="BB179" s="265"/>
      <c r="BC179" s="265"/>
      <c r="BD179" s="265"/>
      <c r="BE179" s="265"/>
      <c r="BF179" s="265"/>
      <c r="BG179" s="265"/>
      <c r="BH179" s="265"/>
      <c r="BI179" s="265"/>
      <c r="BJ179" s="265"/>
      <c r="BK179" s="265"/>
      <c r="BL179" s="265"/>
      <c r="BM179" s="265"/>
      <c r="BN179" s="265"/>
      <c r="BO179" s="265"/>
      <c r="BP179" s="265"/>
      <c r="BQ179" s="265"/>
      <c r="BR179" s="265"/>
      <c r="BS179" s="265"/>
      <c r="BT179" s="265"/>
      <c r="BU179" s="265"/>
      <c r="BV179" s="265"/>
      <c r="BW179" s="265"/>
      <c r="BX179" s="265"/>
      <c r="BY179" s="265"/>
      <c r="BZ179" s="265"/>
      <c r="CA179" s="265"/>
      <c r="CB179" s="265"/>
      <c r="CC179" s="265"/>
      <c r="CD179" s="265"/>
      <c r="CE179" s="265"/>
      <c r="CF179" s="265"/>
      <c r="CG179" s="265"/>
      <c r="CH179" s="265"/>
      <c r="CI179" s="265"/>
      <c r="CJ179" s="265"/>
      <c r="CK179" s="265"/>
      <c r="CL179" s="265"/>
      <c r="CM179" s="265"/>
      <c r="CN179" s="265"/>
      <c r="CO179" s="265"/>
      <c r="CP179" s="265"/>
      <c r="CQ179" s="265"/>
      <c r="CR179" s="265"/>
    </row>
    <row r="180" spans="8:96">
      <c r="H180" s="266">
        <f>初始化表!H17</f>
        <v>0</v>
      </c>
      <c r="I180" s="266">
        <f>初始化表!H18</f>
        <v>0</v>
      </c>
      <c r="J180" s="266">
        <f>初始化表!H19</f>
        <v>0</v>
      </c>
      <c r="K180" s="266"/>
      <c r="L180" s="266">
        <f>L38</f>
        <v>0</v>
      </c>
      <c r="BA180" s="265"/>
      <c r="BB180" s="265"/>
      <c r="BC180" s="265"/>
      <c r="BD180" s="265"/>
      <c r="BE180" s="265"/>
      <c r="BF180" s="265"/>
      <c r="BG180" s="265"/>
      <c r="BH180" s="265"/>
      <c r="BI180" s="265"/>
      <c r="BJ180" s="265"/>
      <c r="BK180" s="265"/>
      <c r="BL180" s="265"/>
      <c r="BM180" s="265"/>
      <c r="BN180" s="265"/>
      <c r="BO180" s="265"/>
      <c r="BP180" s="265"/>
      <c r="BQ180" s="265"/>
      <c r="BR180" s="265"/>
      <c r="BS180" s="265"/>
      <c r="BT180" s="265"/>
      <c r="BU180" s="265"/>
      <c r="BV180" s="265"/>
      <c r="BW180" s="265"/>
      <c r="BX180" s="265"/>
      <c r="BY180" s="265"/>
      <c r="BZ180" s="265"/>
      <c r="CA180" s="265"/>
      <c r="CB180" s="265"/>
      <c r="CC180" s="265"/>
      <c r="CD180" s="265"/>
      <c r="CE180" s="265"/>
      <c r="CF180" s="265"/>
      <c r="CG180" s="265"/>
      <c r="CH180" s="265"/>
      <c r="CI180" s="265"/>
      <c r="CJ180" s="265"/>
      <c r="CK180" s="265"/>
      <c r="CL180" s="265"/>
      <c r="CM180" s="265"/>
      <c r="CN180" s="265"/>
      <c r="CO180" s="265"/>
      <c r="CP180" s="265"/>
      <c r="CQ180" s="265"/>
      <c r="CR180" s="265"/>
    </row>
    <row r="181" spans="8:96">
      <c r="H181" s="266"/>
      <c r="I181" s="266"/>
      <c r="J181" s="266"/>
      <c r="K181" s="266"/>
      <c r="L181" s="266"/>
      <c r="BA181" s="265"/>
      <c r="BB181" s="265"/>
      <c r="BC181" s="265"/>
      <c r="BD181" s="265"/>
      <c r="BE181" s="265"/>
      <c r="BF181" s="265"/>
      <c r="BG181" s="265"/>
      <c r="BH181" s="265"/>
      <c r="BI181" s="265"/>
      <c r="BJ181" s="265"/>
      <c r="BK181" s="265"/>
      <c r="BL181" s="265"/>
      <c r="BM181" s="265"/>
      <c r="BN181" s="265"/>
      <c r="BO181" s="265"/>
      <c r="BP181" s="265"/>
      <c r="BQ181" s="265"/>
      <c r="BR181" s="265"/>
      <c r="BS181" s="265"/>
      <c r="BT181" s="265"/>
      <c r="BU181" s="265"/>
      <c r="BV181" s="265"/>
      <c r="BW181" s="265"/>
      <c r="BX181" s="265"/>
      <c r="BY181" s="265"/>
      <c r="BZ181" s="265"/>
      <c r="CA181" s="265"/>
      <c r="CB181" s="265"/>
      <c r="CC181" s="265"/>
      <c r="CD181" s="265"/>
      <c r="CE181" s="265"/>
      <c r="CF181" s="265"/>
      <c r="CG181" s="265"/>
      <c r="CH181" s="265"/>
      <c r="CI181" s="265"/>
      <c r="CJ181" s="265"/>
      <c r="CK181" s="265"/>
      <c r="CL181" s="265"/>
      <c r="CM181" s="265"/>
      <c r="CN181" s="265"/>
      <c r="CO181" s="265"/>
      <c r="CP181" s="265"/>
      <c r="CQ181" s="265"/>
      <c r="CR181" s="265"/>
    </row>
    <row r="182" spans="8:96">
      <c r="H182" s="266" t="e">
        <f>MIN(L177,INT(N49*520/H177))</f>
        <v>#DIV/0!</v>
      </c>
      <c r="I182" s="266"/>
      <c r="J182" s="266"/>
      <c r="K182" s="266"/>
      <c r="L182" s="266"/>
      <c r="BA182" s="265"/>
      <c r="BB182" s="265"/>
      <c r="BC182" s="265"/>
      <c r="BD182" s="265"/>
      <c r="BE182" s="265"/>
      <c r="BF182" s="265"/>
      <c r="BG182" s="265"/>
      <c r="BH182" s="265"/>
      <c r="BI182" s="265"/>
      <c r="BJ182" s="265"/>
      <c r="BK182" s="265"/>
      <c r="BL182" s="265"/>
      <c r="BM182" s="265"/>
      <c r="BN182" s="265"/>
      <c r="BO182" s="265"/>
      <c r="BP182" s="265"/>
      <c r="BQ182" s="265"/>
      <c r="BR182" s="265"/>
      <c r="BS182" s="265"/>
      <c r="BT182" s="265"/>
      <c r="BU182" s="265"/>
      <c r="BV182" s="265"/>
      <c r="BW182" s="265"/>
      <c r="BX182" s="265"/>
      <c r="BY182" s="265"/>
      <c r="BZ182" s="265"/>
      <c r="CA182" s="265"/>
      <c r="CB182" s="265"/>
      <c r="CC182" s="265"/>
      <c r="CD182" s="265"/>
      <c r="CE182" s="265"/>
      <c r="CF182" s="265"/>
      <c r="CG182" s="265"/>
      <c r="CH182" s="265"/>
      <c r="CI182" s="265"/>
      <c r="CJ182" s="265"/>
      <c r="CK182" s="265"/>
      <c r="CL182" s="265"/>
      <c r="CM182" s="265"/>
      <c r="CN182" s="265"/>
      <c r="CO182" s="265"/>
      <c r="CP182" s="265"/>
      <c r="CQ182" s="265"/>
      <c r="CR182" s="265"/>
    </row>
    <row r="183" spans="8:96">
      <c r="H183" s="266" t="e">
        <f>MIN(L178,MAX(0,INT((520*N49-H172*H177)/H178)))</f>
        <v>#DIV/0!</v>
      </c>
      <c r="I183" s="266"/>
      <c r="J183" s="266" t="e">
        <f>L188-H183</f>
        <v>#DIV/0!</v>
      </c>
      <c r="K183" s="266"/>
      <c r="L183" s="266"/>
      <c r="BA183" s="265"/>
      <c r="BB183" s="265"/>
      <c r="BC183" s="265"/>
      <c r="BD183" s="265"/>
      <c r="BE183" s="265"/>
      <c r="BF183" s="265"/>
      <c r="BG183" s="265"/>
      <c r="BH183" s="265"/>
      <c r="BI183" s="265"/>
      <c r="BJ183" s="265"/>
      <c r="BK183" s="265"/>
      <c r="BL183" s="265"/>
      <c r="BM183" s="265"/>
      <c r="BN183" s="265"/>
      <c r="BO183" s="265"/>
      <c r="BP183" s="265"/>
      <c r="BQ183" s="265"/>
      <c r="BR183" s="265"/>
      <c r="BS183" s="265"/>
      <c r="BT183" s="265"/>
      <c r="BU183" s="265"/>
      <c r="BV183" s="265"/>
      <c r="BW183" s="265"/>
      <c r="BX183" s="265"/>
      <c r="BY183" s="265"/>
      <c r="BZ183" s="265"/>
      <c r="CA183" s="265"/>
      <c r="CB183" s="265"/>
      <c r="CC183" s="265"/>
      <c r="CD183" s="265"/>
      <c r="CE183" s="265"/>
      <c r="CF183" s="265"/>
      <c r="CG183" s="265"/>
      <c r="CH183" s="265"/>
      <c r="CI183" s="265"/>
      <c r="CJ183" s="265"/>
      <c r="CK183" s="265"/>
      <c r="CL183" s="265"/>
      <c r="CM183" s="265"/>
      <c r="CN183" s="265"/>
      <c r="CO183" s="265"/>
      <c r="CP183" s="265"/>
      <c r="CQ183" s="265"/>
      <c r="CR183" s="265"/>
    </row>
    <row r="184" spans="8:96">
      <c r="H184" s="266" t="e">
        <f>MIN(L179,MAX(0,INT((520*N49-H172*H177-H173*H178)/H179)))</f>
        <v>#DIV/0!</v>
      </c>
      <c r="I184" s="266"/>
      <c r="J184" s="266">
        <f>INT(L179/3*2)</f>
        <v>0</v>
      </c>
      <c r="K184" s="266">
        <f>INT(J184/2)</f>
        <v>0</v>
      </c>
      <c r="L184" s="266"/>
      <c r="BA184" s="265"/>
      <c r="BB184" s="265"/>
      <c r="BC184" s="265"/>
      <c r="BD184" s="265"/>
      <c r="BE184" s="265"/>
      <c r="BF184" s="265"/>
      <c r="BG184" s="265"/>
      <c r="BH184" s="265"/>
      <c r="BI184" s="265"/>
      <c r="BJ184" s="265"/>
      <c r="BK184" s="265"/>
      <c r="BL184" s="265"/>
      <c r="BM184" s="265"/>
      <c r="BN184" s="265"/>
      <c r="BO184" s="265"/>
      <c r="BP184" s="265"/>
      <c r="BQ184" s="265"/>
      <c r="BR184" s="265"/>
      <c r="BS184" s="265"/>
      <c r="BT184" s="265"/>
      <c r="BU184" s="265"/>
      <c r="BV184" s="265"/>
      <c r="BW184" s="265"/>
      <c r="BX184" s="265"/>
      <c r="BY184" s="265"/>
      <c r="BZ184" s="265"/>
      <c r="CA184" s="265"/>
      <c r="CB184" s="265"/>
      <c r="CC184" s="265"/>
      <c r="CD184" s="265"/>
      <c r="CE184" s="265"/>
      <c r="CF184" s="265"/>
      <c r="CG184" s="265"/>
      <c r="CH184" s="265"/>
      <c r="CI184" s="265"/>
      <c r="CJ184" s="265"/>
      <c r="CK184" s="265"/>
      <c r="CL184" s="265"/>
      <c r="CM184" s="265"/>
      <c r="CN184" s="265"/>
      <c r="CO184" s="265"/>
      <c r="CP184" s="265"/>
      <c r="CQ184" s="265"/>
      <c r="CR184" s="265"/>
    </row>
    <row r="185" spans="8:12">
      <c r="H185" s="266" t="e">
        <f>MAX(0,INT((N49*520-H172*H177-H173*H178-H174*H179)/H180))</f>
        <v>#DIV/0!</v>
      </c>
      <c r="I185" s="266"/>
      <c r="J185" s="266">
        <f>INT(L180/3*2)</f>
        <v>0</v>
      </c>
      <c r="K185" s="266">
        <f>INT(J185/2)</f>
        <v>0</v>
      </c>
      <c r="L185" s="266"/>
    </row>
    <row r="186" spans="8:12">
      <c r="H186" s="265"/>
      <c r="I186" s="265"/>
      <c r="J186" s="265"/>
      <c r="K186" s="265"/>
      <c r="L186" s="265"/>
    </row>
    <row r="187" spans="8:12">
      <c r="H187" s="265"/>
      <c r="I187" s="265"/>
      <c r="J187" s="265"/>
      <c r="K187" s="265"/>
      <c r="L187" s="265"/>
    </row>
    <row r="200" spans="1:6">
      <c r="A200" s="265" t="s">
        <v>283</v>
      </c>
      <c r="B200" s="265" t="s">
        <v>314</v>
      </c>
      <c r="C200" s="265" t="s">
        <v>315</v>
      </c>
      <c r="D200" s="265" t="s">
        <v>316</v>
      </c>
      <c r="E200" s="265" t="s">
        <v>317</v>
      </c>
      <c r="F200" s="265" t="s">
        <v>318</v>
      </c>
    </row>
    <row r="201" spans="1:6">
      <c r="A201" s="265" t="s">
        <v>35</v>
      </c>
      <c r="B201" s="265">
        <v>100</v>
      </c>
      <c r="C201" s="267">
        <v>0</v>
      </c>
      <c r="D201" s="267">
        <v>100000</v>
      </c>
      <c r="E201" s="265">
        <v>1</v>
      </c>
      <c r="F201" s="265">
        <v>0.95</v>
      </c>
    </row>
    <row r="202" spans="1:6">
      <c r="A202" s="265" t="s">
        <v>36</v>
      </c>
      <c r="B202" s="265">
        <v>50</v>
      </c>
      <c r="C202" s="267">
        <v>0</v>
      </c>
      <c r="D202" s="267">
        <v>200000</v>
      </c>
      <c r="E202" s="265">
        <v>1</v>
      </c>
      <c r="F202" s="265">
        <v>0.95</v>
      </c>
    </row>
    <row r="203" spans="1:6">
      <c r="A203" s="265" t="s">
        <v>62</v>
      </c>
      <c r="B203" s="265">
        <v>0</v>
      </c>
      <c r="C203" s="265">
        <v>0</v>
      </c>
      <c r="D203" s="265">
        <v>0</v>
      </c>
      <c r="E203" s="265">
        <v>0</v>
      </c>
      <c r="F203" s="265">
        <v>0.95</v>
      </c>
    </row>
    <row r="204" spans="1:6">
      <c r="A204" s="265" t="s">
        <v>63</v>
      </c>
      <c r="B204" s="265">
        <v>0</v>
      </c>
      <c r="C204" s="265">
        <v>0</v>
      </c>
      <c r="D204" s="265">
        <v>0</v>
      </c>
      <c r="E204" s="265">
        <v>0</v>
      </c>
      <c r="F204" s="265">
        <v>0.95</v>
      </c>
    </row>
    <row r="222" spans="35:39">
      <c r="AI222" s="62" t="s">
        <v>356</v>
      </c>
      <c r="AJ222" s="62" t="s">
        <v>357</v>
      </c>
      <c r="AK222" s="62" t="s">
        <v>358</v>
      </c>
      <c r="AL222" s="62" t="s">
        <v>359</v>
      </c>
      <c r="AM222" s="62" t="s">
        <v>360</v>
      </c>
    </row>
    <row r="223" spans="35:36">
      <c r="AI223" s="62" t="s">
        <v>361</v>
      </c>
      <c r="AJ223" s="268">
        <v>6085780.53</v>
      </c>
    </row>
    <row r="224" spans="35:39">
      <c r="AI224" s="62" t="s">
        <v>309</v>
      </c>
      <c r="AJ224" s="268">
        <v>0</v>
      </c>
      <c r="AM224" s="268">
        <v>6085780.53</v>
      </c>
    </row>
    <row r="225" spans="35:39">
      <c r="AI225" s="62" t="s">
        <v>362</v>
      </c>
      <c r="AJ225" s="268">
        <v>4500000</v>
      </c>
      <c r="AM225" s="268">
        <v>10585780.53</v>
      </c>
    </row>
    <row r="226" spans="35:39">
      <c r="AI226" s="62" t="s">
        <v>363</v>
      </c>
      <c r="AJ226" s="268">
        <v>-94444.4</v>
      </c>
      <c r="AM226" s="268">
        <v>10491336.13</v>
      </c>
    </row>
    <row r="227" spans="35:39">
      <c r="AI227" s="62" t="s">
        <v>364</v>
      </c>
      <c r="AJ227" s="268">
        <v>-32374.98</v>
      </c>
      <c r="AL227" s="268">
        <v>32374.98</v>
      </c>
      <c r="AM227" s="268">
        <v>10458961.15</v>
      </c>
    </row>
    <row r="228" spans="35:39">
      <c r="AI228" s="62" t="s">
        <v>365</v>
      </c>
      <c r="AJ228" s="268">
        <v>-121600</v>
      </c>
      <c r="AL228" s="268">
        <v>153974.98</v>
      </c>
      <c r="AM228" s="268">
        <v>10337361.15</v>
      </c>
    </row>
    <row r="229" spans="35:39">
      <c r="AI229" s="62" t="s">
        <v>366</v>
      </c>
      <c r="AJ229" s="268">
        <v>-13000</v>
      </c>
      <c r="AL229" s="268">
        <v>166974.98</v>
      </c>
      <c r="AM229" s="268">
        <v>10324361.15</v>
      </c>
    </row>
    <row r="230" spans="35:39">
      <c r="AI230" s="62" t="s">
        <v>367</v>
      </c>
      <c r="AJ230" s="268">
        <v>-1070824.04</v>
      </c>
      <c r="AL230" s="268">
        <v>1237799.02</v>
      </c>
      <c r="AM230" s="268">
        <v>9253537.11</v>
      </c>
    </row>
    <row r="231" spans="35:39">
      <c r="AI231" s="62" t="s">
        <v>368</v>
      </c>
      <c r="AJ231" s="268">
        <v>-143100</v>
      </c>
      <c r="AL231" s="268">
        <v>1380899.02</v>
      </c>
      <c r="AM231" s="268">
        <v>9110437.11</v>
      </c>
    </row>
    <row r="232" spans="35:39">
      <c r="AI232" s="62" t="s">
        <v>369</v>
      </c>
      <c r="AJ232" s="62">
        <v>0</v>
      </c>
      <c r="AM232" s="268">
        <v>9110437.11</v>
      </c>
    </row>
    <row r="233" spans="35:39">
      <c r="AI233" s="62" t="s">
        <v>370</v>
      </c>
      <c r="AJ233" s="268">
        <v>-390000</v>
      </c>
      <c r="AM233" s="268">
        <v>8720437.11</v>
      </c>
    </row>
    <row r="234" spans="35:38">
      <c r="AI234" s="62" t="s">
        <v>371</v>
      </c>
      <c r="AJ234" s="268">
        <v>-680000</v>
      </c>
      <c r="AL234" s="268">
        <v>2060899.02</v>
      </c>
    </row>
    <row r="235" spans="35:39">
      <c r="AI235" s="62" t="s">
        <v>372</v>
      </c>
      <c r="AJ235" s="268">
        <v>-1500000</v>
      </c>
      <c r="AM235" s="268">
        <v>7220437.11</v>
      </c>
    </row>
    <row r="236" spans="35:39">
      <c r="AI236" s="62" t="s">
        <v>373</v>
      </c>
      <c r="AJ236" s="268">
        <v>60000</v>
      </c>
      <c r="AK236" s="268">
        <v>60000</v>
      </c>
      <c r="AM236" s="268">
        <v>7280437.11</v>
      </c>
    </row>
    <row r="237" spans="35:39">
      <c r="AI237" s="62" t="s">
        <v>374</v>
      </c>
      <c r="AJ237" s="268">
        <v>-39000</v>
      </c>
      <c r="AL237" s="268">
        <v>2099899.02</v>
      </c>
      <c r="AM237" s="268">
        <v>7241437.11</v>
      </c>
    </row>
    <row r="238" spans="35:39">
      <c r="AI238" s="62" t="s">
        <v>244</v>
      </c>
      <c r="AJ238" s="268">
        <v>-65000</v>
      </c>
      <c r="AL238" s="268">
        <v>2164899.02</v>
      </c>
      <c r="AM238" s="268">
        <v>7176437.11</v>
      </c>
    </row>
    <row r="239" spans="35:39">
      <c r="AI239" s="62" t="s">
        <v>375</v>
      </c>
      <c r="AJ239" s="268">
        <v>-708545.43</v>
      </c>
      <c r="AL239" s="268">
        <v>2873444.45</v>
      </c>
      <c r="AM239" s="268">
        <v>6467891.69</v>
      </c>
    </row>
    <row r="240" spans="35:38">
      <c r="AI240" s="62" t="s">
        <v>376</v>
      </c>
      <c r="AJ240" s="268">
        <v>-1440140</v>
      </c>
      <c r="AL240" s="268">
        <v>4313584.45</v>
      </c>
    </row>
    <row r="241" spans="35:39">
      <c r="AI241" s="62" t="s">
        <v>377</v>
      </c>
      <c r="AJ241" s="268">
        <v>-671200</v>
      </c>
      <c r="AL241" s="268">
        <v>4984784.45</v>
      </c>
      <c r="AM241" s="268">
        <v>5796691.69</v>
      </c>
    </row>
    <row r="242" spans="35:39">
      <c r="AI242" s="62" t="s">
        <v>276</v>
      </c>
      <c r="AJ242" s="268">
        <v>-226000</v>
      </c>
      <c r="AL242" s="268">
        <v>5210784.45</v>
      </c>
      <c r="AM242" s="268">
        <v>5570691.69</v>
      </c>
    </row>
    <row r="243" spans="35:39">
      <c r="AI243" s="62" t="s">
        <v>280</v>
      </c>
      <c r="AJ243" s="268">
        <v>-226000</v>
      </c>
      <c r="AL243" s="268">
        <v>5436784.45</v>
      </c>
      <c r="AM243" s="268">
        <v>5344691.69</v>
      </c>
    </row>
    <row r="244" spans="35:39">
      <c r="AI244" s="62" t="s">
        <v>378</v>
      </c>
      <c r="AJ244" s="268">
        <v>7206997</v>
      </c>
      <c r="AK244" s="268">
        <v>7266997</v>
      </c>
      <c r="AM244" s="268">
        <v>12551688.69</v>
      </c>
    </row>
    <row r="245" spans="35:39">
      <c r="AI245" s="62" t="s">
        <v>379</v>
      </c>
      <c r="AJ245" s="268">
        <v>0</v>
      </c>
      <c r="AL245" s="268">
        <v>5436784.45</v>
      </c>
      <c r="AM245" s="268">
        <v>12551688.69</v>
      </c>
    </row>
    <row r="246" spans="35:38">
      <c r="AI246" s="62" t="s">
        <v>380</v>
      </c>
      <c r="AJ246" s="268">
        <v>-715500</v>
      </c>
      <c r="AL246" s="268">
        <v>6152284.45</v>
      </c>
    </row>
    <row r="247" spans="35:38">
      <c r="AI247" s="62" t="s">
        <v>381</v>
      </c>
      <c r="AJ247" s="268">
        <v>-31738.65</v>
      </c>
      <c r="AL247" s="268">
        <v>6184023.1</v>
      </c>
    </row>
    <row r="248" spans="35:39">
      <c r="AI248" s="62" t="s">
        <v>382</v>
      </c>
      <c r="AJ248" s="268">
        <v>-2345.04</v>
      </c>
      <c r="AL248" s="268">
        <v>6186368.14</v>
      </c>
      <c r="AM248" s="268">
        <v>12549343.65</v>
      </c>
    </row>
    <row r="249" spans="35:39">
      <c r="AI249" s="62" t="s">
        <v>383</v>
      </c>
      <c r="AJ249" s="268">
        <v>-10840</v>
      </c>
      <c r="AL249" s="268">
        <v>6197208.14</v>
      </c>
      <c r="AM249" s="268">
        <v>12538503.65</v>
      </c>
    </row>
    <row r="250" spans="35:39">
      <c r="AI250" s="62" t="s">
        <v>384</v>
      </c>
      <c r="AJ250" s="268">
        <v>0</v>
      </c>
      <c r="AM250" s="268">
        <v>12538503.65</v>
      </c>
    </row>
    <row r="251" spans="35:39">
      <c r="AI251" s="62" t="s">
        <v>385</v>
      </c>
      <c r="AJ251" s="62">
        <v>0</v>
      </c>
      <c r="AK251" s="268">
        <v>7266997</v>
      </c>
      <c r="AM251" s="268">
        <v>12538503.65</v>
      </c>
    </row>
    <row r="252" spans="35:39">
      <c r="AI252" s="62" t="s">
        <v>386</v>
      </c>
      <c r="AJ252" s="268">
        <v>0</v>
      </c>
      <c r="AM252" s="268">
        <v>12538503.65</v>
      </c>
    </row>
    <row r="253" spans="35:39">
      <c r="AI253" s="62" t="s">
        <v>387</v>
      </c>
      <c r="AJ253" s="268">
        <v>0</v>
      </c>
      <c r="AL253" s="268">
        <v>6197208.14</v>
      </c>
      <c r="AM253" s="268">
        <v>12538503.65</v>
      </c>
    </row>
    <row r="254" spans="35:39">
      <c r="AI254" s="62" t="s">
        <v>388</v>
      </c>
      <c r="AJ254" s="62">
        <v>0</v>
      </c>
      <c r="AM254" s="268">
        <v>12538503.65</v>
      </c>
    </row>
    <row r="255" spans="35:39">
      <c r="AI255" s="62" t="s">
        <v>389</v>
      </c>
      <c r="AJ255" s="62">
        <v>0</v>
      </c>
      <c r="AL255" s="268">
        <v>6197208.14</v>
      </c>
      <c r="AM255" s="268">
        <v>12538503.65</v>
      </c>
    </row>
    <row r="256" spans="35:39">
      <c r="AI256" s="62" t="s">
        <v>390</v>
      </c>
      <c r="AJ256" s="268">
        <v>-246051.44</v>
      </c>
      <c r="AM256" s="268">
        <v>12292452.21</v>
      </c>
    </row>
    <row r="257" spans="35:39">
      <c r="AI257" s="62" t="s">
        <v>306</v>
      </c>
      <c r="AJ257" s="268">
        <v>-8550000</v>
      </c>
      <c r="AM257" s="268">
        <v>3742452.21</v>
      </c>
    </row>
    <row r="258" spans="35:39">
      <c r="AI258" s="62" t="s">
        <v>391</v>
      </c>
      <c r="AJ258" s="268">
        <v>0</v>
      </c>
      <c r="AM258" s="268">
        <v>3742452.21</v>
      </c>
    </row>
    <row r="259" spans="35:39">
      <c r="AI259" s="62" t="s">
        <v>392</v>
      </c>
      <c r="AJ259" s="62">
        <v>0</v>
      </c>
      <c r="AM259" s="268">
        <v>3742452.21</v>
      </c>
    </row>
  </sheetData>
  <sheetProtection selectLockedCells="1" pivotTables="0"/>
  <protectedRanges>
    <protectedRange sqref="A1:CI3 U21:AZ23 G9:S9 A4:F4 U18:Y20 G16:Y17 AA16:AZ20 A45:Q45 U45:Y45 A44:Y44 A43:J43 L43:N43 AB4:AZ4 A48:AZ56 CS52:CS184 S43:Y43 A40:AZ40 Z37:AZ39 N23 A25:G28 A39:T39 A63:B63 D63:M63 S77:AZ105 S185:CS187 A38:Q38 U66:U69 S127:AZ184 S106:AQ126 AB5:AB8 AH5:AZ8 A41:Y42 AA41:AZ45 AD9:AZ9 A46:R47 U46:AZ47 V29:AZ29 A60:M62 A64:M68 N24:AZ28 AY106:AZ106 AX107:AZ126 A72:M83 A89:M89 A84:L88 S60:AI60 AZ60 Z36:AI36 AZ36 A99:M187 A90:D94 A58:AZ59 A57:AH57 AZ57 N77:R182 U72:AZ74 T75:AZ76 A95:G98 H90:M98 H4:Z5 G6:Z8 G22:G24 G18:J21 U9:AB9 M21:N22 K18:S20 O21:S23 S61:T68 U61:Y65 S38:T38 A69:T71 Z61:AZ71 U70:Y71 A29:T37 Z30:AZ35 U30:Y34 G10:AZ15" name="区域2"/>
    <protectedRange sqref="T18 T20:T23" name="区域1_1"/>
    <protectedRange sqref="AA4:AA8" name="区域1"/>
    <protectedRange sqref="Z16:Z20" name="区域1_2"/>
    <protectedRange sqref="R45" name="区域1_4"/>
    <protectedRange sqref="K43" name="区域1_5"/>
    <protectedRange sqref="BR31:CI45 BA52:CR184 BA51:BS51 BA28:CI29 BA4:BR27 BA30:BH50 BJ30:CI30 BJ46:CI50 BJ31:BL45" name="区域1_7"/>
    <protectedRange sqref="O43:R43" name="区域1_6"/>
    <protectedRange sqref="V66:Y69" name="区域1_8"/>
    <protectedRange sqref="H23:M28" name="区域1_9"/>
    <protectedRange sqref="C63" name="区域1_12"/>
    <protectedRange sqref="N72:R72 N73:N76" name="区域2_1_1_3_1"/>
    <protectedRange sqref="O73:R76" name="区域2_1_1_3_2"/>
    <protectedRange sqref="R38" name="区域1_11"/>
    <protectedRange sqref="BM31:BQ40 BM42:BQ45 BN41:BQ41" name="区域1_10"/>
    <protectedRange sqref="AR107:AU126" name="区域2_1"/>
    <protectedRange sqref="AV107:AV126" name="区域1_18"/>
    <protectedRange sqref="AR106" name="区域1_17_1"/>
    <protectedRange sqref="AS106" name="区域1_17_1_1"/>
    <protectedRange sqref="AT106" name="区域1_17_2"/>
    <protectedRange sqref="AU106" name="区域1_17_4"/>
    <protectedRange sqref="AV106" name="区域1_18_1"/>
    <protectedRange sqref="AW107:AW126" name="区域1_15_1"/>
    <protectedRange sqref="AW106" name="区域1_17_3_1"/>
    <protectedRange sqref="CJ1:CS3 CJ25:CS51 CK4:CS24" name="区域1_16"/>
    <protectedRange sqref="CB25:CI27 BS4:CA4 BS5:BZ26" name="区域1_17"/>
    <protectedRange sqref="BS27:BZ27" name="区域1_9_1"/>
    <protectedRange sqref="CA27" name="区域1_7_2"/>
    <protectedRange sqref="CA5:CA24" name="区域1_6_2_1"/>
    <protectedRange sqref="CA25:CA26" name="区域1_7_1_1_1"/>
    <protectedRange sqref="Z41:Z45" name="区域1_20"/>
    <protectedRange sqref="AD5:AG8" name="区域1_21"/>
    <protectedRange sqref="AC9" name="区域1_15"/>
    <protectedRange sqref="AC5:AC8" name="区域1_15_1_1"/>
    <protectedRange sqref="BT51:CI51" name="区域1_4_1"/>
    <protectedRange sqref="S45:T46 S47" name="区域3"/>
    <protectedRange sqref="T47" name="区域3_1"/>
    <protectedRange sqref="A5:F24" name="区域1_23"/>
    <protectedRange sqref="U29" name="区域1_3"/>
    <protectedRange sqref="CH4:CJ24" name="区域1_12_1"/>
    <protectedRange sqref="CG4:CG24" name="区域1_19_1"/>
    <protectedRange sqref="CF4:CF24" name="区域1_12_1_1"/>
    <protectedRange sqref="CB4:CE4 CB5:CB24" name="区域1_17_1_2"/>
    <protectedRange sqref="CC5:CE24" name="区域1_5_1_1_1"/>
    <protectedRange sqref="O61 P60:R63 N60:N68 O64:R68" name="区域1_13"/>
    <protectedRange sqref="AX106" name="区域1_14"/>
    <protectedRange sqref="M84:M88" name="区域2_2"/>
    <protectedRange sqref="AJ60:AY60" name="区域1_1_1"/>
    <protectedRange sqref="AJ36:AY36" name="区域1_1_2"/>
    <protectedRange sqref="E90:G94" name="区域3_2"/>
    <protectedRange sqref="AI57" name="区域1_14_1"/>
    <protectedRange sqref="AJ57:AY57" name="区域1_25"/>
    <protectedRange sqref="T72:T74" name="区域1_1_3"/>
    <protectedRange sqref="S73:S76" name="区域1_1_3_1"/>
    <protectedRange sqref="S72" name="区域1_1_3_2"/>
    <protectedRange sqref="G5" name="区域1_19"/>
    <protectedRange sqref="BI31:BI50" name="区域1_7_1"/>
    <protectedRange sqref="BI30" name="区域1_7_3"/>
    <protectedRange sqref="G4" name="区域1_22"/>
    <protectedRange sqref="K21" name="区域1_24"/>
    <protectedRange sqref="L21" name="区域1_26"/>
    <protectedRange sqref="T9" name="区域1_27_1"/>
    <protectedRange sqref="H22:L22" name="区域1_14_1_1"/>
    <protectedRange sqref="BM41" name="区域1_27"/>
    <protectedRange sqref="V35:Y35 U36:Y39" name="区域1_11_1"/>
    <protectedRange sqref="U35" name="区域1_6_1"/>
  </protectedRanges>
  <mergeCells count="105">
    <mergeCell ref="CK3:CS3"/>
    <mergeCell ref="A4:F4"/>
    <mergeCell ref="H4:L4"/>
    <mergeCell ref="N4:R4"/>
    <mergeCell ref="BA4:BQ4"/>
    <mergeCell ref="BB5:BE5"/>
    <mergeCell ref="BF5:BI5"/>
    <mergeCell ref="BJ5:BM5"/>
    <mergeCell ref="BN5:BQ5"/>
    <mergeCell ref="AI7:AQ7"/>
    <mergeCell ref="H11:L11"/>
    <mergeCell ref="H23:L23"/>
    <mergeCell ref="A26:F26"/>
    <mergeCell ref="BS27:BV27"/>
    <mergeCell ref="A28:B28"/>
    <mergeCell ref="C28:F28"/>
    <mergeCell ref="BT28:BW28"/>
    <mergeCell ref="BX28:CA28"/>
    <mergeCell ref="CB28:CE28"/>
    <mergeCell ref="CF28:CI28"/>
    <mergeCell ref="A29:B29"/>
    <mergeCell ref="K29:L29"/>
    <mergeCell ref="A30:B30"/>
    <mergeCell ref="BM30:BQ30"/>
    <mergeCell ref="A31:B31"/>
    <mergeCell ref="N31:R31"/>
    <mergeCell ref="A32:B32"/>
    <mergeCell ref="A33:B33"/>
    <mergeCell ref="A34:B34"/>
    <mergeCell ref="AI34:AY34"/>
    <mergeCell ref="A35:B35"/>
    <mergeCell ref="AJ35:AM35"/>
    <mergeCell ref="AN35:AQ35"/>
    <mergeCell ref="AR35:AU35"/>
    <mergeCell ref="AV35:AY35"/>
    <mergeCell ref="A36:B36"/>
    <mergeCell ref="A37:B37"/>
    <mergeCell ref="A38:B38"/>
    <mergeCell ref="N38:O38"/>
    <mergeCell ref="A39:B39"/>
    <mergeCell ref="N39:R39"/>
    <mergeCell ref="A40:B40"/>
    <mergeCell ref="AB40:AC40"/>
    <mergeCell ref="AD40:AE40"/>
    <mergeCell ref="A41:B41"/>
    <mergeCell ref="H41:L41"/>
    <mergeCell ref="AB41:AC41"/>
    <mergeCell ref="AD41:AE41"/>
    <mergeCell ref="A42:B42"/>
    <mergeCell ref="AB42:AC42"/>
    <mergeCell ref="AD42:AE42"/>
    <mergeCell ref="A43:B43"/>
    <mergeCell ref="A44:B44"/>
    <mergeCell ref="A45:B45"/>
    <mergeCell ref="H45:L45"/>
    <mergeCell ref="A46:B46"/>
    <mergeCell ref="A47:B47"/>
    <mergeCell ref="N47:R47"/>
    <mergeCell ref="A48:B48"/>
    <mergeCell ref="A49:B49"/>
    <mergeCell ref="A50:B50"/>
    <mergeCell ref="A51:B51"/>
    <mergeCell ref="A52:B52"/>
    <mergeCell ref="A53:B53"/>
    <mergeCell ref="A54:B54"/>
    <mergeCell ref="A55:B55"/>
    <mergeCell ref="A56:B56"/>
    <mergeCell ref="A57:B57"/>
    <mergeCell ref="A58:B58"/>
    <mergeCell ref="AI58:AY58"/>
    <mergeCell ref="A59:B59"/>
    <mergeCell ref="AJ59:AM59"/>
    <mergeCell ref="AN59:AQ59"/>
    <mergeCell ref="AR59:AU59"/>
    <mergeCell ref="AV59:AY59"/>
    <mergeCell ref="A60:B60"/>
    <mergeCell ref="A61:B61"/>
    <mergeCell ref="A62:B62"/>
    <mergeCell ref="A63:B63"/>
    <mergeCell ref="A64:B64"/>
    <mergeCell ref="A66:C66"/>
    <mergeCell ref="E66:F66"/>
    <mergeCell ref="H77:L77"/>
    <mergeCell ref="B80:C80"/>
    <mergeCell ref="AI82:AV82"/>
    <mergeCell ref="A21:A22"/>
    <mergeCell ref="A23:A24"/>
    <mergeCell ref="F21:F22"/>
    <mergeCell ref="M23:M24"/>
    <mergeCell ref="T18:T19"/>
    <mergeCell ref="AI35:AI36"/>
    <mergeCell ref="AI59:AI60"/>
    <mergeCell ref="BA5:BA6"/>
    <mergeCell ref="BS28:BS29"/>
    <mergeCell ref="BS1:CI2"/>
    <mergeCell ref="BA1:BQ2"/>
    <mergeCell ref="AI4:AY5"/>
    <mergeCell ref="AI31:AY32"/>
    <mergeCell ref="N60:R63"/>
    <mergeCell ref="H82:R83"/>
    <mergeCell ref="A1:F2"/>
    <mergeCell ref="H1:R2"/>
    <mergeCell ref="U1:Z2"/>
    <mergeCell ref="AB1:AG2"/>
    <mergeCell ref="AI1:AY2"/>
  </mergeCells>
  <conditionalFormatting sqref="G4">
    <cfRule type="cellIs" dxfId="0" priority="1" operator="equal">
      <formula>"""价格打错"""</formula>
    </cfRule>
  </conditionalFormatting>
  <conditionalFormatting sqref="AG11">
    <cfRule type="cellIs" dxfId="3" priority="17" stopIfTrue="1" operator="equal">
      <formula>"正确"</formula>
    </cfRule>
    <cfRule type="cellIs" dxfId="4" priority="18" stopIfTrue="1" operator="equal">
      <formula>“错误”</formula>
    </cfRule>
    <cfRule type="cellIs" dxfId="5" priority="19" stopIfTrue="1" operator="equal">
      <formula>"未粘报表"</formula>
    </cfRule>
  </conditionalFormatting>
  <conditionalFormatting sqref="AH11">
    <cfRule type="cellIs" dxfId="6" priority="10" stopIfTrue="1" operator="equal">
      <formula>"未粘报表"</formula>
    </cfRule>
    <cfRule type="cellIs" dxfId="6" priority="15" stopIfTrue="1" operator="equal">
      <formula>"现金错误"</formula>
    </cfRule>
    <cfRule type="cellIs" dxfId="7" priority="16" stopIfTrue="1" operator="equal">
      <formula>"现金正确"</formula>
    </cfRule>
  </conditionalFormatting>
  <conditionalFormatting sqref="AG13">
    <cfRule type="cellIs" dxfId="6" priority="9" stopIfTrue="1" operator="equal">
      <formula>"未粘报表"</formula>
    </cfRule>
    <cfRule type="cellIs" dxfId="6" priority="13" stopIfTrue="1" operator="equal">
      <formula>"成本错误"</formula>
    </cfRule>
    <cfRule type="cellIs" dxfId="7" priority="14" stopIfTrue="1" operator="equal">
      <formula>"成本正确"</formula>
    </cfRule>
  </conditionalFormatting>
  <conditionalFormatting sqref="AH13">
    <cfRule type="cellIs" dxfId="6" priority="8" stopIfTrue="1" operator="equal">
      <formula>"未粘报表"</formula>
    </cfRule>
    <cfRule type="cellIs" dxfId="6" priority="11" stopIfTrue="1" operator="equal">
      <formula>"分红错误"</formula>
    </cfRule>
    <cfRule type="cellIs" dxfId="7" priority="12" stopIfTrue="1" operator="equal">
      <formula>"分红正确"</formula>
    </cfRule>
  </conditionalFormatting>
  <conditionalFormatting sqref="K43">
    <cfRule type="cellIs" dxfId="8" priority="7" stopIfTrue="1" operator="lessThan">
      <formula>$I$43</formula>
    </cfRule>
  </conditionalFormatting>
  <conditionalFormatting sqref="T47">
    <cfRule type="expression" dxfId="9" priority="5">
      <formula>"&gt;0"</formula>
    </cfRule>
  </conditionalFormatting>
  <conditionalFormatting sqref="K85:K88">
    <cfRule type="cellIs" dxfId="0" priority="4" operator="greaterThan">
      <formula>$L$85+15</formula>
    </cfRule>
  </conditionalFormatting>
  <conditionalFormatting sqref="L85:L88">
    <cfRule type="cellIs" dxfId="0" priority="3" operator="greaterThan">
      <formula>$K$85+15</formula>
    </cfRule>
  </conditionalFormatting>
  <conditionalFormatting sqref="M85:M88">
    <cfRule type="cellIs" dxfId="0" priority="2" operator="greaterThan">
      <formula>$K$85+15</formula>
    </cfRule>
  </conditionalFormatting>
  <dataValidations count="2">
    <dataValidation type="whole" operator="between" allowBlank="1" showInputMessage="1" showErrorMessage="1" error="请输入正确" sqref="K43">
      <formula1>I43</formula1>
      <formula2>10000000000</formula2>
    </dataValidation>
    <dataValidation type="decimal" operator="between" allowBlank="1" showInputMessage="1" showErrorMessage="1" error="请输入正确" sqref="R45">
      <formula1>1</formula1>
      <formula2>2</formula2>
    </dataValidation>
  </dataValidations>
  <pageMargins left="0.698611111111111" right="0.698611111111111" top="0.75" bottom="0.75" header="0.3" footer="0.3"/>
  <pageSetup paperSize="9" firstPageNumber="4294963191" orientation="portrait" useFirstPageNumber="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6" name="Spinner 4" r:id="rId4">
              <controlPr defaultSize="0">
                <anchor moveWithCells="1" sizeWithCells="1">
                  <from>
                    <xdr:col>8</xdr:col>
                    <xdr:colOff>800100</xdr:colOff>
                    <xdr:row>24</xdr:row>
                    <xdr:rowOff>12700</xdr:rowOff>
                  </from>
                  <to>
                    <xdr:col>8</xdr:col>
                    <xdr:colOff>927100</xdr:colOff>
                    <xdr:row>25</xdr:row>
                    <xdr:rowOff>0</xdr:rowOff>
                  </to>
                </anchor>
              </controlPr>
            </control>
          </mc:Choice>
        </mc:AlternateContent>
        <mc:AlternateContent xmlns:mc="http://schemas.openxmlformats.org/markup-compatibility/2006">
          <mc:Choice Requires="x14">
            <control shapeId="8197" name="Spinner 5" r:id="rId5">
              <controlPr defaultSize="0">
                <anchor moveWithCells="1" sizeWithCells="1">
                  <from>
                    <xdr:col>9</xdr:col>
                    <xdr:colOff>812800</xdr:colOff>
                    <xdr:row>24</xdr:row>
                    <xdr:rowOff>12700</xdr:rowOff>
                  </from>
                  <to>
                    <xdr:col>9</xdr:col>
                    <xdr:colOff>939800</xdr:colOff>
                    <xdr:row>25</xdr:row>
                    <xdr:rowOff>0</xdr:rowOff>
                  </to>
                </anchor>
              </controlPr>
            </control>
          </mc:Choice>
        </mc:AlternateContent>
        <mc:AlternateContent xmlns:mc="http://schemas.openxmlformats.org/markup-compatibility/2006">
          <mc:Choice Requires="x14">
            <control shapeId="8198" name="Spinner 6" r:id="rId6">
              <controlPr defaultSize="0">
                <anchor moveWithCells="1" sizeWithCells="1">
                  <from>
                    <xdr:col>8</xdr:col>
                    <xdr:colOff>800100</xdr:colOff>
                    <xdr:row>25</xdr:row>
                    <xdr:rowOff>12700</xdr:rowOff>
                  </from>
                  <to>
                    <xdr:col>8</xdr:col>
                    <xdr:colOff>927100</xdr:colOff>
                    <xdr:row>26</xdr:row>
                    <xdr:rowOff>0</xdr:rowOff>
                  </to>
                </anchor>
              </controlPr>
            </control>
          </mc:Choice>
        </mc:AlternateContent>
        <mc:AlternateContent xmlns:mc="http://schemas.openxmlformats.org/markup-compatibility/2006">
          <mc:Choice Requires="x14">
            <control shapeId="8199" name="Spinner 7" r:id="rId7">
              <controlPr defaultSize="0">
                <anchor moveWithCells="1" sizeWithCells="1">
                  <from>
                    <xdr:col>9</xdr:col>
                    <xdr:colOff>812800</xdr:colOff>
                    <xdr:row>25</xdr:row>
                    <xdr:rowOff>12700</xdr:rowOff>
                  </from>
                  <to>
                    <xdr:col>9</xdr:col>
                    <xdr:colOff>939800</xdr:colOff>
                    <xdr:row>26</xdr:row>
                    <xdr:rowOff>0</xdr:rowOff>
                  </to>
                </anchor>
              </controlPr>
            </control>
          </mc:Choice>
        </mc:AlternateContent>
        <mc:AlternateContent xmlns:mc="http://schemas.openxmlformats.org/markup-compatibility/2006">
          <mc:Choice Requires="x14">
            <control shapeId="8200" name="Spinner 8" r:id="rId8">
              <controlPr defaultSize="0">
                <anchor moveWithCells="1" sizeWithCells="1">
                  <from>
                    <xdr:col>8</xdr:col>
                    <xdr:colOff>800100</xdr:colOff>
                    <xdr:row>26</xdr:row>
                    <xdr:rowOff>12700</xdr:rowOff>
                  </from>
                  <to>
                    <xdr:col>8</xdr:col>
                    <xdr:colOff>927100</xdr:colOff>
                    <xdr:row>27</xdr:row>
                    <xdr:rowOff>0</xdr:rowOff>
                  </to>
                </anchor>
              </controlPr>
            </control>
          </mc:Choice>
        </mc:AlternateContent>
        <mc:AlternateContent xmlns:mc="http://schemas.openxmlformats.org/markup-compatibility/2006">
          <mc:Choice Requires="x14">
            <control shapeId="8201" name="Spinner 9" r:id="rId9">
              <controlPr defaultSize="0">
                <anchor moveWithCells="1" sizeWithCells="1">
                  <from>
                    <xdr:col>9</xdr:col>
                    <xdr:colOff>812800</xdr:colOff>
                    <xdr:row>26</xdr:row>
                    <xdr:rowOff>12700</xdr:rowOff>
                  </from>
                  <to>
                    <xdr:col>9</xdr:col>
                    <xdr:colOff>939800</xdr:colOff>
                    <xdr:row>27</xdr:row>
                    <xdr:rowOff>0</xdr:rowOff>
                  </to>
                </anchor>
              </controlPr>
            </control>
          </mc:Choice>
        </mc:AlternateContent>
        <mc:AlternateContent xmlns:mc="http://schemas.openxmlformats.org/markup-compatibility/2006">
          <mc:Choice Requires="x14">
            <control shapeId="8202" name="Spinner 10" r:id="rId10">
              <controlPr defaultSize="0">
                <anchor moveWithCells="1" sizeWithCells="1">
                  <from>
                    <xdr:col>8</xdr:col>
                    <xdr:colOff>800100</xdr:colOff>
                    <xdr:row>27</xdr:row>
                    <xdr:rowOff>12700</xdr:rowOff>
                  </from>
                  <to>
                    <xdr:col>8</xdr:col>
                    <xdr:colOff>927100</xdr:colOff>
                    <xdr:row>28</xdr:row>
                    <xdr:rowOff>0</xdr:rowOff>
                  </to>
                </anchor>
              </controlPr>
            </control>
          </mc:Choice>
        </mc:AlternateContent>
        <mc:AlternateContent xmlns:mc="http://schemas.openxmlformats.org/markup-compatibility/2006">
          <mc:Choice Requires="x14">
            <control shapeId="8203" name="Spinner 11" r:id="rId11">
              <controlPr defaultSize="0">
                <anchor moveWithCells="1" sizeWithCells="1">
                  <from>
                    <xdr:col>9</xdr:col>
                    <xdr:colOff>812800</xdr:colOff>
                    <xdr:row>27</xdr:row>
                    <xdr:rowOff>12700</xdr:rowOff>
                  </from>
                  <to>
                    <xdr:col>9</xdr:col>
                    <xdr:colOff>939800</xdr:colOff>
                    <xdr:row>28</xdr:row>
                    <xdr:rowOff>0</xdr:rowOff>
                  </to>
                </anchor>
              </controlPr>
            </control>
          </mc:Choice>
        </mc:AlternateContent>
        <mc:AlternateContent xmlns:mc="http://schemas.openxmlformats.org/markup-compatibility/2006">
          <mc:Choice Requires="x14">
            <control shapeId="8204" name="Spinner 12" r:id="rId12">
              <controlPr defaultSize="0">
                <anchor moveWithCells="1" sizeWithCells="1">
                  <from>
                    <xdr:col>10</xdr:col>
                    <xdr:colOff>876300</xdr:colOff>
                    <xdr:row>24</xdr:row>
                    <xdr:rowOff>12700</xdr:rowOff>
                  </from>
                  <to>
                    <xdr:col>10</xdr:col>
                    <xdr:colOff>1003300</xdr:colOff>
                    <xdr:row>25</xdr:row>
                    <xdr:rowOff>0</xdr:rowOff>
                  </to>
                </anchor>
              </controlPr>
            </control>
          </mc:Choice>
        </mc:AlternateContent>
        <mc:AlternateContent xmlns:mc="http://schemas.openxmlformats.org/markup-compatibility/2006">
          <mc:Choice Requires="x14">
            <control shapeId="8205" name="Spinner 13" r:id="rId13">
              <controlPr defaultSize="0">
                <anchor moveWithCells="1" sizeWithCells="1">
                  <from>
                    <xdr:col>11</xdr:col>
                    <xdr:colOff>1016000</xdr:colOff>
                    <xdr:row>24</xdr:row>
                    <xdr:rowOff>12700</xdr:rowOff>
                  </from>
                  <to>
                    <xdr:col>11</xdr:col>
                    <xdr:colOff>1136650</xdr:colOff>
                    <xdr:row>25</xdr:row>
                    <xdr:rowOff>0</xdr:rowOff>
                  </to>
                </anchor>
              </controlPr>
            </control>
          </mc:Choice>
        </mc:AlternateContent>
        <mc:AlternateContent xmlns:mc="http://schemas.openxmlformats.org/markup-compatibility/2006">
          <mc:Choice Requires="x14">
            <control shapeId="8206" name="Spinner 14" r:id="rId14">
              <controlPr defaultSize="0">
                <anchor moveWithCells="1" sizeWithCells="1">
                  <from>
                    <xdr:col>10</xdr:col>
                    <xdr:colOff>876300</xdr:colOff>
                    <xdr:row>25</xdr:row>
                    <xdr:rowOff>12700</xdr:rowOff>
                  </from>
                  <to>
                    <xdr:col>10</xdr:col>
                    <xdr:colOff>1003300</xdr:colOff>
                    <xdr:row>26</xdr:row>
                    <xdr:rowOff>0</xdr:rowOff>
                  </to>
                </anchor>
              </controlPr>
            </control>
          </mc:Choice>
        </mc:AlternateContent>
        <mc:AlternateContent xmlns:mc="http://schemas.openxmlformats.org/markup-compatibility/2006">
          <mc:Choice Requires="x14">
            <control shapeId="8207" name="Spinner 15" r:id="rId15">
              <controlPr defaultSize="0">
                <anchor moveWithCells="1" sizeWithCells="1">
                  <from>
                    <xdr:col>11</xdr:col>
                    <xdr:colOff>1016000</xdr:colOff>
                    <xdr:row>25</xdr:row>
                    <xdr:rowOff>12700</xdr:rowOff>
                  </from>
                  <to>
                    <xdr:col>11</xdr:col>
                    <xdr:colOff>1143000</xdr:colOff>
                    <xdr:row>26</xdr:row>
                    <xdr:rowOff>0</xdr:rowOff>
                  </to>
                </anchor>
              </controlPr>
            </control>
          </mc:Choice>
        </mc:AlternateContent>
        <mc:AlternateContent xmlns:mc="http://schemas.openxmlformats.org/markup-compatibility/2006">
          <mc:Choice Requires="x14">
            <control shapeId="8208" name="Spinner 16" r:id="rId16">
              <controlPr defaultSize="0">
                <anchor moveWithCells="1" sizeWithCells="1">
                  <from>
                    <xdr:col>10</xdr:col>
                    <xdr:colOff>876300</xdr:colOff>
                    <xdr:row>26</xdr:row>
                    <xdr:rowOff>12700</xdr:rowOff>
                  </from>
                  <to>
                    <xdr:col>10</xdr:col>
                    <xdr:colOff>1003300</xdr:colOff>
                    <xdr:row>27</xdr:row>
                    <xdr:rowOff>0</xdr:rowOff>
                  </to>
                </anchor>
              </controlPr>
            </control>
          </mc:Choice>
        </mc:AlternateContent>
        <mc:AlternateContent xmlns:mc="http://schemas.openxmlformats.org/markup-compatibility/2006">
          <mc:Choice Requires="x14">
            <control shapeId="8209" name="Spinner 17" r:id="rId17">
              <controlPr defaultSize="0">
                <anchor moveWithCells="1" sizeWithCells="1">
                  <from>
                    <xdr:col>11</xdr:col>
                    <xdr:colOff>1016000</xdr:colOff>
                    <xdr:row>26</xdr:row>
                    <xdr:rowOff>12700</xdr:rowOff>
                  </from>
                  <to>
                    <xdr:col>11</xdr:col>
                    <xdr:colOff>1143000</xdr:colOff>
                    <xdr:row>27</xdr:row>
                    <xdr:rowOff>0</xdr:rowOff>
                  </to>
                </anchor>
              </controlPr>
            </control>
          </mc:Choice>
        </mc:AlternateContent>
        <mc:AlternateContent xmlns:mc="http://schemas.openxmlformats.org/markup-compatibility/2006">
          <mc:Choice Requires="x14">
            <control shapeId="8210" name="Spinner 18" r:id="rId18">
              <controlPr defaultSize="0">
                <anchor moveWithCells="1" sizeWithCells="1">
                  <from>
                    <xdr:col>10</xdr:col>
                    <xdr:colOff>876300</xdr:colOff>
                    <xdr:row>27</xdr:row>
                    <xdr:rowOff>12700</xdr:rowOff>
                  </from>
                  <to>
                    <xdr:col>10</xdr:col>
                    <xdr:colOff>1003300</xdr:colOff>
                    <xdr:row>28</xdr:row>
                    <xdr:rowOff>0</xdr:rowOff>
                  </to>
                </anchor>
              </controlPr>
            </control>
          </mc:Choice>
        </mc:AlternateContent>
        <mc:AlternateContent xmlns:mc="http://schemas.openxmlformats.org/markup-compatibility/2006">
          <mc:Choice Requires="x14">
            <control shapeId="8211" name="Spinner 19" r:id="rId19">
              <controlPr defaultSize="0">
                <anchor moveWithCells="1" sizeWithCells="1">
                  <from>
                    <xdr:col>11</xdr:col>
                    <xdr:colOff>1016000</xdr:colOff>
                    <xdr:row>27</xdr:row>
                    <xdr:rowOff>12700</xdr:rowOff>
                  </from>
                  <to>
                    <xdr:col>11</xdr:col>
                    <xdr:colOff>1143000</xdr:colOff>
                    <xdr:row>28</xdr:row>
                    <xdr:rowOff>0</xdr:rowOff>
                  </to>
                </anchor>
              </controlPr>
            </control>
          </mc:Choice>
        </mc:AlternateContent>
        <mc:AlternateContent xmlns:mc="http://schemas.openxmlformats.org/markup-compatibility/2006">
          <mc:Choice Requires="x14">
            <control shapeId="8212" name="Spinner 20" r:id="rId20">
              <controlPr defaultSize="0">
                <anchor moveWithCells="1" sizeWithCells="1">
                  <from>
                    <xdr:col>8</xdr:col>
                    <xdr:colOff>800100</xdr:colOff>
                    <xdr:row>62</xdr:row>
                    <xdr:rowOff>12700</xdr:rowOff>
                  </from>
                  <to>
                    <xdr:col>8</xdr:col>
                    <xdr:colOff>927100</xdr:colOff>
                    <xdr:row>63</xdr:row>
                    <xdr:rowOff>0</xdr:rowOff>
                  </to>
                </anchor>
              </controlPr>
            </control>
          </mc:Choice>
        </mc:AlternateContent>
        <mc:AlternateContent xmlns:mc="http://schemas.openxmlformats.org/markup-compatibility/2006">
          <mc:Choice Requires="x14">
            <control shapeId="8213" name="Spinner 21" r:id="rId21">
              <controlPr defaultSize="0">
                <anchor moveWithCells="1" sizeWithCells="1">
                  <from>
                    <xdr:col>9</xdr:col>
                    <xdr:colOff>812800</xdr:colOff>
                    <xdr:row>62</xdr:row>
                    <xdr:rowOff>12700</xdr:rowOff>
                  </from>
                  <to>
                    <xdr:col>9</xdr:col>
                    <xdr:colOff>927100</xdr:colOff>
                    <xdr:row>63</xdr:row>
                    <xdr:rowOff>0</xdr:rowOff>
                  </to>
                </anchor>
              </controlPr>
            </control>
          </mc:Choice>
        </mc:AlternateContent>
        <mc:AlternateContent xmlns:mc="http://schemas.openxmlformats.org/markup-compatibility/2006">
          <mc:Choice Requires="x14">
            <control shapeId="8214" name="Spinner 22" r:id="rId22">
              <controlPr defaultSize="0">
                <anchor moveWithCells="1" sizeWithCells="1">
                  <from>
                    <xdr:col>10</xdr:col>
                    <xdr:colOff>869950</xdr:colOff>
                    <xdr:row>62</xdr:row>
                    <xdr:rowOff>12700</xdr:rowOff>
                  </from>
                  <to>
                    <xdr:col>10</xdr:col>
                    <xdr:colOff>1003300</xdr:colOff>
                    <xdr:row>63</xdr:row>
                    <xdr:rowOff>0</xdr:rowOff>
                  </to>
                </anchor>
              </controlPr>
            </control>
          </mc:Choice>
        </mc:AlternateContent>
        <mc:AlternateContent xmlns:mc="http://schemas.openxmlformats.org/markup-compatibility/2006">
          <mc:Choice Requires="x14">
            <control shapeId="8215" name="Spinner 23" r:id="rId23">
              <controlPr defaultSize="0">
                <anchor moveWithCells="1" sizeWithCells="1">
                  <from>
                    <xdr:col>11</xdr:col>
                    <xdr:colOff>1003300</xdr:colOff>
                    <xdr:row>62</xdr:row>
                    <xdr:rowOff>0</xdr:rowOff>
                  </from>
                  <to>
                    <xdr:col>11</xdr:col>
                    <xdr:colOff>1130300</xdr:colOff>
                    <xdr:row>62</xdr:row>
                    <xdr:rowOff>190500</xdr:rowOff>
                  </to>
                </anchor>
              </controlPr>
            </control>
          </mc:Choice>
        </mc:AlternateContent>
        <mc:AlternateContent xmlns:mc="http://schemas.openxmlformats.org/markup-compatibility/2006">
          <mc:Choice Requires="x14">
            <control shapeId="8216" name="Spinner 24" r:id="rId24">
              <controlPr defaultSize="0">
                <anchor moveWithCells="1" sizeWithCells="1">
                  <from>
                    <xdr:col>8</xdr:col>
                    <xdr:colOff>800100</xdr:colOff>
                    <xdr:row>63</xdr:row>
                    <xdr:rowOff>12700</xdr:rowOff>
                  </from>
                  <to>
                    <xdr:col>8</xdr:col>
                    <xdr:colOff>927100</xdr:colOff>
                    <xdr:row>64</xdr:row>
                    <xdr:rowOff>0</xdr:rowOff>
                  </to>
                </anchor>
              </controlPr>
            </control>
          </mc:Choice>
        </mc:AlternateContent>
        <mc:AlternateContent xmlns:mc="http://schemas.openxmlformats.org/markup-compatibility/2006">
          <mc:Choice Requires="x14">
            <control shapeId="8217" name="Spinner 25" r:id="rId25">
              <controlPr defaultSize="0">
                <anchor moveWithCells="1" sizeWithCells="1">
                  <from>
                    <xdr:col>9</xdr:col>
                    <xdr:colOff>812800</xdr:colOff>
                    <xdr:row>63</xdr:row>
                    <xdr:rowOff>12700</xdr:rowOff>
                  </from>
                  <to>
                    <xdr:col>9</xdr:col>
                    <xdr:colOff>927100</xdr:colOff>
                    <xdr:row>64</xdr:row>
                    <xdr:rowOff>0</xdr:rowOff>
                  </to>
                </anchor>
              </controlPr>
            </control>
          </mc:Choice>
        </mc:AlternateContent>
        <mc:AlternateContent xmlns:mc="http://schemas.openxmlformats.org/markup-compatibility/2006">
          <mc:Choice Requires="x14">
            <control shapeId="8218" name="Spinner 26" r:id="rId26">
              <controlPr defaultSize="0">
                <anchor moveWithCells="1" sizeWithCells="1">
                  <from>
                    <xdr:col>10</xdr:col>
                    <xdr:colOff>869950</xdr:colOff>
                    <xdr:row>63</xdr:row>
                    <xdr:rowOff>12700</xdr:rowOff>
                  </from>
                  <to>
                    <xdr:col>10</xdr:col>
                    <xdr:colOff>1003300</xdr:colOff>
                    <xdr:row>64</xdr:row>
                    <xdr:rowOff>0</xdr:rowOff>
                  </to>
                </anchor>
              </controlPr>
            </control>
          </mc:Choice>
        </mc:AlternateContent>
        <mc:AlternateContent xmlns:mc="http://schemas.openxmlformats.org/markup-compatibility/2006">
          <mc:Choice Requires="x14">
            <control shapeId="8219" name="Spinner 27" r:id="rId27">
              <controlPr defaultSize="0">
                <anchor moveWithCells="1" sizeWithCells="1">
                  <from>
                    <xdr:col>11</xdr:col>
                    <xdr:colOff>1003300</xdr:colOff>
                    <xdr:row>63</xdr:row>
                    <xdr:rowOff>0</xdr:rowOff>
                  </from>
                  <to>
                    <xdr:col>11</xdr:col>
                    <xdr:colOff>1130300</xdr:colOff>
                    <xdr:row>63</xdr:row>
                    <xdr:rowOff>190500</xdr:rowOff>
                  </to>
                </anchor>
              </controlPr>
            </control>
          </mc:Choice>
        </mc:AlternateContent>
        <mc:AlternateContent xmlns:mc="http://schemas.openxmlformats.org/markup-compatibility/2006">
          <mc:Choice Requires="x14">
            <control shapeId="8220" name="Spinner 28" r:id="rId28">
              <controlPr defaultSize="0">
                <anchor moveWithCells="1" sizeWithCells="1">
                  <from>
                    <xdr:col>8</xdr:col>
                    <xdr:colOff>800100</xdr:colOff>
                    <xdr:row>64</xdr:row>
                    <xdr:rowOff>12700</xdr:rowOff>
                  </from>
                  <to>
                    <xdr:col>8</xdr:col>
                    <xdr:colOff>927100</xdr:colOff>
                    <xdr:row>65</xdr:row>
                    <xdr:rowOff>0</xdr:rowOff>
                  </to>
                </anchor>
              </controlPr>
            </control>
          </mc:Choice>
        </mc:AlternateContent>
        <mc:AlternateContent xmlns:mc="http://schemas.openxmlformats.org/markup-compatibility/2006">
          <mc:Choice Requires="x14">
            <control shapeId="8221" name="Spinner 29" r:id="rId29">
              <controlPr defaultSize="0">
                <anchor moveWithCells="1" sizeWithCells="1">
                  <from>
                    <xdr:col>9</xdr:col>
                    <xdr:colOff>812800</xdr:colOff>
                    <xdr:row>64</xdr:row>
                    <xdr:rowOff>12700</xdr:rowOff>
                  </from>
                  <to>
                    <xdr:col>9</xdr:col>
                    <xdr:colOff>927100</xdr:colOff>
                    <xdr:row>65</xdr:row>
                    <xdr:rowOff>0</xdr:rowOff>
                  </to>
                </anchor>
              </controlPr>
            </control>
          </mc:Choice>
        </mc:AlternateContent>
        <mc:AlternateContent xmlns:mc="http://schemas.openxmlformats.org/markup-compatibility/2006">
          <mc:Choice Requires="x14">
            <control shapeId="8222" name="Spinner 30" r:id="rId30">
              <controlPr defaultSize="0">
                <anchor moveWithCells="1" sizeWithCells="1">
                  <from>
                    <xdr:col>10</xdr:col>
                    <xdr:colOff>869950</xdr:colOff>
                    <xdr:row>64</xdr:row>
                    <xdr:rowOff>12700</xdr:rowOff>
                  </from>
                  <to>
                    <xdr:col>10</xdr:col>
                    <xdr:colOff>1003300</xdr:colOff>
                    <xdr:row>65</xdr:row>
                    <xdr:rowOff>0</xdr:rowOff>
                  </to>
                </anchor>
              </controlPr>
            </control>
          </mc:Choice>
        </mc:AlternateContent>
        <mc:AlternateContent xmlns:mc="http://schemas.openxmlformats.org/markup-compatibility/2006">
          <mc:Choice Requires="x14">
            <control shapeId="8223" name="Spinner 31" r:id="rId31">
              <controlPr defaultSize="0">
                <anchor moveWithCells="1" sizeWithCells="1">
                  <from>
                    <xdr:col>11</xdr:col>
                    <xdr:colOff>1003300</xdr:colOff>
                    <xdr:row>64</xdr:row>
                    <xdr:rowOff>0</xdr:rowOff>
                  </from>
                  <to>
                    <xdr:col>11</xdr:col>
                    <xdr:colOff>1130300</xdr:colOff>
                    <xdr:row>64</xdr:row>
                    <xdr:rowOff>190500</xdr:rowOff>
                  </to>
                </anchor>
              </controlPr>
            </control>
          </mc:Choice>
        </mc:AlternateContent>
        <mc:AlternateContent xmlns:mc="http://schemas.openxmlformats.org/markup-compatibility/2006">
          <mc:Choice Requires="x14">
            <control shapeId="8224" name="Spinner 32" r:id="rId32">
              <controlPr defaultSize="0">
                <anchor moveWithCells="1" sizeWithCells="1">
                  <from>
                    <xdr:col>8</xdr:col>
                    <xdr:colOff>800100</xdr:colOff>
                    <xdr:row>65</xdr:row>
                    <xdr:rowOff>12700</xdr:rowOff>
                  </from>
                  <to>
                    <xdr:col>8</xdr:col>
                    <xdr:colOff>927100</xdr:colOff>
                    <xdr:row>66</xdr:row>
                    <xdr:rowOff>0</xdr:rowOff>
                  </to>
                </anchor>
              </controlPr>
            </control>
          </mc:Choice>
        </mc:AlternateContent>
        <mc:AlternateContent xmlns:mc="http://schemas.openxmlformats.org/markup-compatibility/2006">
          <mc:Choice Requires="x14">
            <control shapeId="8225" name="Spinner 33" r:id="rId33">
              <controlPr defaultSize="0">
                <anchor moveWithCells="1" sizeWithCells="1">
                  <from>
                    <xdr:col>9</xdr:col>
                    <xdr:colOff>812800</xdr:colOff>
                    <xdr:row>65</xdr:row>
                    <xdr:rowOff>12700</xdr:rowOff>
                  </from>
                  <to>
                    <xdr:col>9</xdr:col>
                    <xdr:colOff>927100</xdr:colOff>
                    <xdr:row>66</xdr:row>
                    <xdr:rowOff>0</xdr:rowOff>
                  </to>
                </anchor>
              </controlPr>
            </control>
          </mc:Choice>
        </mc:AlternateContent>
        <mc:AlternateContent xmlns:mc="http://schemas.openxmlformats.org/markup-compatibility/2006">
          <mc:Choice Requires="x14">
            <control shapeId="8226" name="Spinner 34" r:id="rId34">
              <controlPr defaultSize="0">
                <anchor moveWithCells="1" sizeWithCells="1">
                  <from>
                    <xdr:col>10</xdr:col>
                    <xdr:colOff>869950</xdr:colOff>
                    <xdr:row>65</xdr:row>
                    <xdr:rowOff>12700</xdr:rowOff>
                  </from>
                  <to>
                    <xdr:col>10</xdr:col>
                    <xdr:colOff>1003300</xdr:colOff>
                    <xdr:row>66</xdr:row>
                    <xdr:rowOff>0</xdr:rowOff>
                  </to>
                </anchor>
              </controlPr>
            </control>
          </mc:Choice>
        </mc:AlternateContent>
        <mc:AlternateContent xmlns:mc="http://schemas.openxmlformats.org/markup-compatibility/2006">
          <mc:Choice Requires="x14">
            <control shapeId="8227" name="Spinner 35" r:id="rId35">
              <controlPr defaultSize="0">
                <anchor moveWithCells="1" sizeWithCells="1">
                  <from>
                    <xdr:col>11</xdr:col>
                    <xdr:colOff>1003300</xdr:colOff>
                    <xdr:row>65</xdr:row>
                    <xdr:rowOff>0</xdr:rowOff>
                  </from>
                  <to>
                    <xdr:col>11</xdr:col>
                    <xdr:colOff>1130300</xdr:colOff>
                    <xdr:row>65</xdr:row>
                    <xdr:rowOff>190500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dimension ref="A1:DQ259"/>
  <sheetViews>
    <sheetView zoomScale="70" zoomScaleNormal="70" topLeftCell="I1" workbookViewId="0">
      <selection activeCell="L27" sqref="L27"/>
    </sheetView>
  </sheetViews>
  <sheetFormatPr defaultColWidth="9" defaultRowHeight="35.25"/>
  <cols>
    <col min="1" max="1" width="16.3628318584071" style="62" customWidth="1"/>
    <col min="2" max="2" width="10" style="62" customWidth="1"/>
    <col min="3" max="3" width="10.6371681415929" style="62" customWidth="1"/>
    <col min="4" max="4" width="15.8141592920354" style="62" customWidth="1"/>
    <col min="5" max="5" width="13.9026548672566" style="62" customWidth="1"/>
    <col min="6" max="6" width="14.6371681415929" style="62" customWidth="1"/>
    <col min="7" max="7" width="9.90265486725664" style="63" customWidth="1"/>
    <col min="8" max="8" width="11.9026548672566" style="62" customWidth="1"/>
    <col min="9" max="9" width="14.4513274336283" style="62" customWidth="1"/>
    <col min="10" max="10" width="13.1769911504425" style="62" customWidth="1"/>
    <col min="11" max="11" width="15.0884955752212" style="62" customWidth="1"/>
    <col min="12" max="12" width="15.9026548672566" style="62" customWidth="1"/>
    <col min="13" max="13" width="11.6371681415929" style="62" customWidth="1"/>
    <col min="14" max="16" width="13.9026548672566" style="62" customWidth="1"/>
    <col min="17" max="17" width="14" style="62" customWidth="1"/>
    <col min="18" max="19" width="13.9026548672566" style="62" customWidth="1"/>
    <col min="20" max="20" width="14.6371681415929" style="64" customWidth="1"/>
    <col min="21" max="21" width="13.9026548672566" style="62" customWidth="1"/>
    <col min="22" max="26" width="9.63716814159292" style="62" customWidth="1"/>
    <col min="27" max="27" width="9" style="63"/>
    <col min="28" max="28" width="13.9026548672566" style="62" customWidth="1"/>
    <col min="29" max="29" width="10" style="62" customWidth="1"/>
    <col min="30" max="33" width="9.63716814159292" style="62" customWidth="1"/>
    <col min="34" max="34" width="9" style="63"/>
    <col min="35" max="35" width="8.90265486725664" style="62" customWidth="1"/>
    <col min="36" max="39" width="13.9026548672566" style="62" customWidth="1"/>
    <col min="40" max="40" width="10.6371681415929" style="62" customWidth="1"/>
    <col min="41" max="41" width="13.9026548672566" style="62" customWidth="1"/>
    <col min="42" max="42" width="15" style="62" customWidth="1"/>
    <col min="43" max="44" width="10.6371681415929" style="62" customWidth="1"/>
    <col min="45" max="45" width="12.3628318584071" style="62" customWidth="1"/>
    <col min="46" max="51" width="10.6371681415929" style="62" customWidth="1"/>
    <col min="52" max="52" width="9" style="63"/>
    <col min="53" max="53" width="11.9026548672566" style="62" customWidth="1"/>
    <col min="54" max="57" width="11" style="62" customWidth="1"/>
    <col min="58" max="58" width="11.9026548672566" style="62" customWidth="1"/>
    <col min="59" max="59" width="10" style="62" customWidth="1"/>
    <col min="60" max="69" width="9.63716814159292" style="62" customWidth="1"/>
    <col min="70" max="71" width="9" style="62"/>
    <col min="72" max="74" width="9.63716814159292" style="62" customWidth="1"/>
    <col min="75" max="75" width="10" style="62" customWidth="1"/>
    <col min="76" max="76" width="9.63716814159292" style="62" customWidth="1"/>
    <col min="77" max="77" width="10" style="62" customWidth="1"/>
    <col min="78" max="78" width="9" style="62"/>
    <col min="79" max="87" width="9.63716814159292" style="62" customWidth="1"/>
    <col min="88" max="16384" width="9" style="62"/>
  </cols>
  <sheetData>
    <row r="1" ht="16" customHeight="1" spans="1:121">
      <c r="A1" s="65" t="s">
        <v>489</v>
      </c>
      <c r="B1" s="65"/>
      <c r="C1" s="65"/>
      <c r="D1" s="65"/>
      <c r="E1" s="65"/>
      <c r="F1" s="65"/>
      <c r="G1" s="65"/>
      <c r="H1" s="65" t="s">
        <v>490</v>
      </c>
      <c r="I1" s="65"/>
      <c r="J1" s="65"/>
      <c r="K1" s="65"/>
      <c r="L1" s="65"/>
      <c r="M1" s="65"/>
      <c r="N1" s="65"/>
      <c r="O1" s="65"/>
      <c r="P1" s="65"/>
      <c r="Q1" s="65"/>
      <c r="R1" s="65"/>
      <c r="S1" s="65"/>
      <c r="T1" s="119"/>
      <c r="U1" s="65" t="s">
        <v>491</v>
      </c>
      <c r="V1" s="65"/>
      <c r="W1" s="65"/>
      <c r="X1" s="65"/>
      <c r="Y1" s="65"/>
      <c r="Z1" s="65"/>
      <c r="AA1" s="65"/>
      <c r="AB1" s="65" t="s">
        <v>492</v>
      </c>
      <c r="AC1" s="65"/>
      <c r="AD1" s="65"/>
      <c r="AE1" s="65"/>
      <c r="AF1" s="65"/>
      <c r="AG1" s="65"/>
      <c r="AH1" s="65"/>
      <c r="AI1" s="65" t="s">
        <v>493</v>
      </c>
      <c r="AJ1" s="65"/>
      <c r="AK1" s="65"/>
      <c r="AL1" s="65"/>
      <c r="AM1" s="65"/>
      <c r="AN1" s="65"/>
      <c r="AO1" s="65"/>
      <c r="AP1" s="65"/>
      <c r="AQ1" s="65"/>
      <c r="AR1" s="65"/>
      <c r="AS1" s="65"/>
      <c r="AT1" s="65"/>
      <c r="AU1" s="65"/>
      <c r="AV1" s="65"/>
      <c r="AW1" s="65"/>
      <c r="AX1" s="65"/>
      <c r="AY1" s="65"/>
      <c r="AZ1" s="191"/>
      <c r="BA1" s="191" t="s">
        <v>494</v>
      </c>
      <c r="BB1" s="191"/>
      <c r="BC1" s="191"/>
      <c r="BD1" s="191"/>
      <c r="BE1" s="191"/>
      <c r="BF1" s="191"/>
      <c r="BG1" s="191"/>
      <c r="BH1" s="191"/>
      <c r="BI1" s="191"/>
      <c r="BJ1" s="191"/>
      <c r="BK1" s="191"/>
      <c r="BL1" s="191"/>
      <c r="BM1" s="191"/>
      <c r="BN1" s="191"/>
      <c r="BO1" s="191"/>
      <c r="BP1" s="191"/>
      <c r="BQ1" s="191"/>
      <c r="BR1" s="210"/>
      <c r="BS1" s="191" t="s">
        <v>495</v>
      </c>
      <c r="BT1" s="191"/>
      <c r="BU1" s="191"/>
      <c r="BV1" s="191"/>
      <c r="BW1" s="191"/>
      <c r="BX1" s="191"/>
      <c r="BY1" s="191"/>
      <c r="BZ1" s="191"/>
      <c r="CA1" s="191"/>
      <c r="CB1" s="191"/>
      <c r="CC1" s="191"/>
      <c r="CD1" s="191"/>
      <c r="CE1" s="191"/>
      <c r="CF1" s="191"/>
      <c r="CG1" s="191"/>
      <c r="CH1" s="191"/>
      <c r="CI1" s="191"/>
      <c r="CJ1" s="224"/>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453"/>
      <c r="DI1" s="453"/>
      <c r="DJ1" s="453"/>
      <c r="DK1" s="453"/>
      <c r="DL1" s="453"/>
      <c r="DM1" s="453"/>
      <c r="DN1" s="453"/>
      <c r="DO1" s="453"/>
      <c r="DP1" s="453"/>
      <c r="DQ1" s="453"/>
    </row>
    <row r="2" ht="16" customHeight="1" spans="1:121">
      <c r="A2" s="65"/>
      <c r="B2" s="65"/>
      <c r="C2" s="65"/>
      <c r="D2" s="65"/>
      <c r="E2" s="65"/>
      <c r="F2" s="65"/>
      <c r="G2" s="65"/>
      <c r="H2" s="65"/>
      <c r="I2" s="65"/>
      <c r="J2" s="65"/>
      <c r="K2" s="65"/>
      <c r="L2" s="65"/>
      <c r="M2" s="65"/>
      <c r="N2" s="65"/>
      <c r="O2" s="65"/>
      <c r="P2" s="65"/>
      <c r="Q2" s="65"/>
      <c r="R2" s="65"/>
      <c r="S2" s="65"/>
      <c r="T2" s="119"/>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191"/>
      <c r="BA2" s="191"/>
      <c r="BB2" s="191"/>
      <c r="BC2" s="191"/>
      <c r="BD2" s="191"/>
      <c r="BE2" s="191"/>
      <c r="BF2" s="191"/>
      <c r="BG2" s="191"/>
      <c r="BH2" s="191"/>
      <c r="BI2" s="191"/>
      <c r="BJ2" s="191"/>
      <c r="BK2" s="191"/>
      <c r="BL2" s="191"/>
      <c r="BM2" s="191"/>
      <c r="BN2" s="191"/>
      <c r="BO2" s="191"/>
      <c r="BP2" s="191"/>
      <c r="BQ2" s="191"/>
      <c r="BR2" s="210"/>
      <c r="BS2" s="191"/>
      <c r="BT2" s="191"/>
      <c r="BU2" s="191"/>
      <c r="BV2" s="191"/>
      <c r="BW2" s="191"/>
      <c r="BX2" s="191"/>
      <c r="BY2" s="191"/>
      <c r="BZ2" s="191"/>
      <c r="CA2" s="191"/>
      <c r="CB2" s="191"/>
      <c r="CC2" s="191"/>
      <c r="CD2" s="191"/>
      <c r="CE2" s="191"/>
      <c r="CF2" s="191"/>
      <c r="CG2" s="191"/>
      <c r="CH2" s="191"/>
      <c r="CI2" s="191"/>
      <c r="CJ2" s="224"/>
      <c r="CK2" s="232"/>
      <c r="CL2" s="232"/>
      <c r="CM2" s="232"/>
      <c r="CN2" s="232"/>
      <c r="CO2" s="232"/>
      <c r="CP2" s="232"/>
      <c r="CQ2" s="232"/>
      <c r="CR2" s="232"/>
      <c r="CS2" s="232"/>
      <c r="CT2" s="232"/>
      <c r="CU2" s="232"/>
      <c r="CV2" s="232"/>
      <c r="CW2" s="232"/>
      <c r="CX2" s="232"/>
      <c r="CY2" s="232"/>
      <c r="CZ2" s="232"/>
      <c r="DA2" s="232"/>
      <c r="DB2" s="232"/>
      <c r="DC2" s="232"/>
      <c r="DD2" s="232"/>
      <c r="DE2" s="232"/>
      <c r="DF2" s="232"/>
      <c r="DG2" s="232"/>
      <c r="DH2" s="453"/>
      <c r="DI2" s="453"/>
      <c r="DJ2" s="453"/>
      <c r="DK2" s="453"/>
      <c r="DL2" s="453"/>
      <c r="DM2" s="453"/>
      <c r="DN2" s="453"/>
      <c r="DO2" s="453"/>
      <c r="DP2" s="453"/>
      <c r="DQ2" s="453"/>
    </row>
    <row r="3" s="61" customFormat="1" ht="16" customHeight="1" spans="1:121">
      <c r="A3" s="430"/>
      <c r="B3" s="430"/>
      <c r="C3" s="430"/>
      <c r="D3" s="430"/>
      <c r="E3" s="430"/>
      <c r="F3" s="430"/>
      <c r="G3" s="73"/>
      <c r="H3" s="74"/>
      <c r="I3" s="74"/>
      <c r="J3" s="74"/>
      <c r="K3" s="74"/>
      <c r="L3" s="74"/>
      <c r="M3" s="85"/>
      <c r="N3" s="74"/>
      <c r="O3" s="74"/>
      <c r="P3" s="74"/>
      <c r="Q3" s="74"/>
      <c r="R3" s="74"/>
      <c r="S3" s="74"/>
      <c r="T3" s="120"/>
      <c r="U3" s="74"/>
      <c r="V3" s="74"/>
      <c r="W3" s="74"/>
      <c r="X3" s="74"/>
      <c r="Y3" s="74"/>
      <c r="Z3" s="74"/>
      <c r="AA3" s="73"/>
      <c r="AB3" s="74"/>
      <c r="AC3" s="74"/>
      <c r="AD3" s="74"/>
      <c r="AE3" s="74"/>
      <c r="AF3" s="74"/>
      <c r="AG3" s="74"/>
      <c r="AH3" s="73"/>
      <c r="AI3" s="74"/>
      <c r="AJ3" s="74"/>
      <c r="AK3" s="74"/>
      <c r="AL3" s="74"/>
      <c r="AM3" s="74"/>
      <c r="AN3" s="74"/>
      <c r="AO3" s="74"/>
      <c r="AP3" s="74"/>
      <c r="AQ3" s="74"/>
      <c r="AR3" s="74"/>
      <c r="AS3" s="74"/>
      <c r="AT3" s="74"/>
      <c r="AU3" s="74"/>
      <c r="AV3" s="74"/>
      <c r="AW3" s="74"/>
      <c r="AX3" s="74"/>
      <c r="AY3" s="74"/>
      <c r="AZ3" s="441"/>
      <c r="BA3" s="442"/>
      <c r="BB3" s="442"/>
      <c r="BC3" s="442"/>
      <c r="BD3" s="442"/>
      <c r="BE3" s="442"/>
      <c r="BF3" s="442"/>
      <c r="BG3" s="442"/>
      <c r="BH3" s="442"/>
      <c r="BI3" s="442"/>
      <c r="BJ3" s="442"/>
      <c r="BK3" s="442"/>
      <c r="BL3" s="442"/>
      <c r="BM3" s="442"/>
      <c r="BN3" s="442"/>
      <c r="BO3" s="442"/>
      <c r="BP3" s="442"/>
      <c r="BQ3" s="442"/>
      <c r="BR3" s="448"/>
      <c r="BS3" s="442"/>
      <c r="BT3" s="442"/>
      <c r="BU3" s="442"/>
      <c r="BV3" s="442"/>
      <c r="BW3" s="442"/>
      <c r="BX3" s="442"/>
      <c r="BY3" s="442"/>
      <c r="BZ3" s="442"/>
      <c r="CA3" s="442"/>
      <c r="CB3" s="442"/>
      <c r="CC3" s="442"/>
      <c r="CD3" s="442"/>
      <c r="CE3" s="450" t="s">
        <v>496</v>
      </c>
      <c r="CF3" s="442"/>
      <c r="CG3" s="442"/>
      <c r="CH3" s="442"/>
      <c r="CI3" s="442"/>
      <c r="CJ3" s="226"/>
      <c r="CK3" s="451"/>
      <c r="CL3" s="452"/>
      <c r="CM3" s="452"/>
      <c r="CN3" s="452"/>
      <c r="CO3" s="452"/>
      <c r="CP3" s="452"/>
      <c r="CQ3" s="452"/>
      <c r="CR3" s="452"/>
      <c r="CS3" s="452"/>
      <c r="CT3" s="228"/>
      <c r="CU3" s="228"/>
      <c r="CV3" s="228"/>
      <c r="CW3" s="228"/>
      <c r="CX3" s="228"/>
      <c r="CY3" s="228"/>
      <c r="CZ3" s="228"/>
      <c r="DA3" s="228"/>
      <c r="DB3" s="228"/>
      <c r="DC3" s="228"/>
      <c r="DD3" s="228"/>
      <c r="DE3" s="228"/>
      <c r="DF3" s="228"/>
      <c r="DG3" s="228"/>
      <c r="DH3" s="228"/>
      <c r="DI3" s="228"/>
      <c r="DJ3" s="228"/>
      <c r="DK3" s="228"/>
      <c r="DL3" s="228"/>
      <c r="DM3" s="228"/>
      <c r="DN3" s="228"/>
      <c r="DO3" s="228"/>
      <c r="DP3" s="228"/>
      <c r="DQ3" s="228"/>
    </row>
    <row r="4" s="61" customFormat="1" ht="16" customHeight="1" spans="1:121">
      <c r="A4" s="269" t="s">
        <v>274</v>
      </c>
      <c r="B4" s="270"/>
      <c r="C4" s="270"/>
      <c r="D4" s="270"/>
      <c r="E4" s="270"/>
      <c r="F4" s="270"/>
      <c r="G4" s="70" t="e">
        <f>IF(O20=0,"未做决策",IF(MAX(T20:T23)&gt;=6,"价格打错","决策无误"))</f>
        <v>#DIV/0!</v>
      </c>
      <c r="H4" s="269" t="s">
        <v>497</v>
      </c>
      <c r="I4" s="270"/>
      <c r="J4" s="270"/>
      <c r="K4" s="270"/>
      <c r="L4" s="270"/>
      <c r="M4" s="85"/>
      <c r="N4" s="269" t="s">
        <v>475</v>
      </c>
      <c r="O4" s="270"/>
      <c r="P4" s="270"/>
      <c r="Q4" s="270"/>
      <c r="R4" s="270"/>
      <c r="S4" s="74"/>
      <c r="T4" s="120"/>
      <c r="U4" s="68" t="s">
        <v>498</v>
      </c>
      <c r="V4" s="68" t="s">
        <v>459</v>
      </c>
      <c r="W4" s="68" t="s">
        <v>460</v>
      </c>
      <c r="X4" s="68" t="s">
        <v>461</v>
      </c>
      <c r="Y4" s="68" t="s">
        <v>462</v>
      </c>
      <c r="Z4" s="68" t="s">
        <v>499</v>
      </c>
      <c r="AA4" s="68" t="s">
        <v>500</v>
      </c>
      <c r="AB4" s="151" t="s">
        <v>501</v>
      </c>
      <c r="AC4" s="151" t="s">
        <v>241</v>
      </c>
      <c r="AD4" s="151" t="s">
        <v>38</v>
      </c>
      <c r="AE4" s="151" t="s">
        <v>39</v>
      </c>
      <c r="AF4" s="151" t="s">
        <v>40</v>
      </c>
      <c r="AG4" s="151" t="s">
        <v>41</v>
      </c>
      <c r="AH4" s="73"/>
      <c r="AI4" s="68" t="s">
        <v>502</v>
      </c>
      <c r="AJ4" s="69"/>
      <c r="AK4" s="69"/>
      <c r="AL4" s="69"/>
      <c r="AM4" s="69"/>
      <c r="AN4" s="69"/>
      <c r="AO4" s="69"/>
      <c r="AP4" s="69"/>
      <c r="AQ4" s="69"/>
      <c r="AR4" s="69"/>
      <c r="AS4" s="69"/>
      <c r="AT4" s="69"/>
      <c r="AU4" s="69"/>
      <c r="AV4" s="69"/>
      <c r="AW4" s="69"/>
      <c r="AX4" s="69"/>
      <c r="AY4" s="69"/>
      <c r="AZ4" s="193"/>
      <c r="BA4" s="194" t="s">
        <v>503</v>
      </c>
      <c r="BB4" s="195"/>
      <c r="BC4" s="195"/>
      <c r="BD4" s="195"/>
      <c r="BE4" s="195"/>
      <c r="BF4" s="195"/>
      <c r="BG4" s="195"/>
      <c r="BH4" s="195"/>
      <c r="BI4" s="195"/>
      <c r="BJ4" s="195"/>
      <c r="BK4" s="195"/>
      <c r="BL4" s="195"/>
      <c r="BM4" s="195"/>
      <c r="BN4" s="195"/>
      <c r="BO4" s="195"/>
      <c r="BP4" s="195"/>
      <c r="BQ4" s="195"/>
      <c r="BR4" s="211"/>
      <c r="BS4" s="194" t="s">
        <v>504</v>
      </c>
      <c r="BT4" s="194" t="s">
        <v>505</v>
      </c>
      <c r="BU4" s="194" t="s">
        <v>506</v>
      </c>
      <c r="BV4" s="194" t="s">
        <v>262</v>
      </c>
      <c r="BW4" s="194" t="s">
        <v>507</v>
      </c>
      <c r="BX4" s="194" t="s">
        <v>508</v>
      </c>
      <c r="BY4" s="194" t="s">
        <v>264</v>
      </c>
      <c r="BZ4" s="194" t="s">
        <v>268</v>
      </c>
      <c r="CA4" s="194" t="s">
        <v>272</v>
      </c>
      <c r="CB4" s="194" t="s">
        <v>270</v>
      </c>
      <c r="CC4" s="194" t="s">
        <v>509</v>
      </c>
      <c r="CD4" s="194" t="s">
        <v>510</v>
      </c>
      <c r="CE4" s="194" t="s">
        <v>511</v>
      </c>
      <c r="CF4" s="194" t="s">
        <v>512</v>
      </c>
      <c r="CG4" s="226"/>
      <c r="CH4" s="226"/>
      <c r="CI4" s="227"/>
      <c r="CJ4" s="228"/>
      <c r="CK4" s="227"/>
      <c r="CL4" s="228"/>
      <c r="CM4" s="228"/>
      <c r="CN4" s="228"/>
      <c r="CO4" s="228"/>
      <c r="CP4" s="228"/>
      <c r="CQ4" s="228"/>
      <c r="CR4" s="228"/>
      <c r="CS4" s="228"/>
      <c r="CT4" s="227"/>
      <c r="CU4" s="227"/>
      <c r="CV4" s="227"/>
      <c r="CW4" s="227"/>
      <c r="CX4" s="227"/>
      <c r="CY4" s="227"/>
      <c r="CZ4" s="227"/>
      <c r="DA4" s="227"/>
      <c r="DB4" s="228"/>
      <c r="DC4" s="228"/>
      <c r="DD4" s="228"/>
      <c r="DE4" s="228"/>
      <c r="DF4" s="228"/>
      <c r="DG4" s="228"/>
      <c r="DH4" s="228"/>
      <c r="DI4" s="228"/>
      <c r="DJ4" s="228"/>
      <c r="DK4" s="228"/>
      <c r="DL4" s="228"/>
      <c r="DM4" s="228"/>
      <c r="DN4" s="228"/>
      <c r="DO4" s="228"/>
      <c r="DP4" s="228"/>
      <c r="DQ4" s="228"/>
    </row>
    <row r="5" s="61" customFormat="1" ht="16" customHeight="1" spans="1:121">
      <c r="A5" s="269" t="s">
        <v>475</v>
      </c>
      <c r="B5" s="269" t="s">
        <v>513</v>
      </c>
      <c r="C5" s="269" t="s">
        <v>514</v>
      </c>
      <c r="D5" s="269" t="s">
        <v>515</v>
      </c>
      <c r="E5" s="269" t="s">
        <v>516</v>
      </c>
      <c r="F5" s="269" t="s">
        <v>276</v>
      </c>
      <c r="G5" s="70" t="str">
        <f>IF(AI24="","未粘报表","已粘报表")</f>
        <v>未粘报表</v>
      </c>
      <c r="H5" s="269" t="s">
        <v>283</v>
      </c>
      <c r="I5" s="269" t="s">
        <v>347</v>
      </c>
      <c r="J5" s="269" t="s">
        <v>517</v>
      </c>
      <c r="K5" s="269" t="s">
        <v>518</v>
      </c>
      <c r="L5" s="269" t="s">
        <v>519</v>
      </c>
      <c r="M5" s="85"/>
      <c r="N5" s="269" t="s">
        <v>520</v>
      </c>
      <c r="O5" s="269" t="s">
        <v>521</v>
      </c>
      <c r="P5" s="269" t="s">
        <v>522</v>
      </c>
      <c r="Q5" s="269" t="s">
        <v>523</v>
      </c>
      <c r="R5" s="269" t="s">
        <v>524</v>
      </c>
      <c r="S5" s="121"/>
      <c r="T5" s="120"/>
      <c r="U5" s="68" t="s">
        <v>464</v>
      </c>
      <c r="V5" s="77">
        <f>第2期!AP9</f>
        <v>0</v>
      </c>
      <c r="W5" s="77">
        <f>第2期!AP10</f>
        <v>0</v>
      </c>
      <c r="X5" s="77">
        <f>第2期!AP11</f>
        <v>0</v>
      </c>
      <c r="Y5" s="77">
        <f>第2期!AP12</f>
        <v>0</v>
      </c>
      <c r="Z5" s="77">
        <f>第2期!AJ26</f>
        <v>0</v>
      </c>
      <c r="AA5" s="77" t="e">
        <f>(V5+W5+X5+Y5)*AC11</f>
        <v>#DIV/0!</v>
      </c>
      <c r="AB5" s="151" t="s">
        <v>464</v>
      </c>
      <c r="AC5" s="152" t="e">
        <f>初始化表!$B$8*初始化表!E17*初始化表!$H$5/1300+初始化表!$B$12*初始化表!E17/1300+初始化表!E19+初始化表!E18*(-C35-C44)/(SUM(B17:E17)*初始化表!E18+SUM(B18:E18)*初始化表!F18+SUM(B19:E19)*初始化表!G18+SUM(B20:E20)*初始化表!H18)</f>
        <v>#DIV/0!</v>
      </c>
      <c r="AD5" s="153" t="e">
        <f>$AC5+初始化表!L19+$F6*B6/SUMPRODUCT($B6:$E6,$V42:$Y42)+B$10*B6/SUMPRODUCT(B$6:B$9,V$42:V$45)+初始化表!L13/I63+(IF(I25+J25=0,0,1)*初始化表!H25+IF(K25+L25=0,0,1)*初始化表!I25)/(I63+J63+K63+L63)</f>
        <v>#DIV/0!</v>
      </c>
      <c r="AE5" s="153" t="e">
        <f>$AC5+初始化表!M19+$F6*C6/SUMPRODUCT($B6:$E6,$V42:$Y42)+C$10*C6/SUMPRODUCT(C$6:C$9,W$42:W$45)+初始化表!M13/J63+(IF(I25+J25=0,0,1)*初始化表!H25+IF(K25+L25=0,0,1)*初始化表!I25)/(I63+J63+K63+L63)</f>
        <v>#DIV/0!</v>
      </c>
      <c r="AF5" s="153" t="e">
        <f>$AC5+初始化表!N19+$F6*D6/SUMPRODUCT($B6:$E6,$V42:$Y42)+D$10*D6/SUMPRODUCT(D$6:D$9,X$42:X$45)+初始化表!N13/K63+(IF(I25+J25=0,0,1)*初始化表!H25+IF(K25+L25=0,0,1)*初始化表!I25)/(I63+J63+K63+L63)</f>
        <v>#DIV/0!</v>
      </c>
      <c r="AG5" s="153" t="e">
        <f>$AC5+初始化表!O19+$F6*E6/SUMPRODUCT($B6:$E6,$V42:$Y42)+E$10*E6/SUMPRODUCT(E$6:E$9,Y$42:Y$45)+初始化表!O13/L63+(IF(I25+J25=0,0,1)*初始化表!H25+IF(K25+L25=0,0,1)*初始化表!I25)/(I63+J63+K63+L63)</f>
        <v>#DIV/0!</v>
      </c>
      <c r="AH5" s="73"/>
      <c r="AI5" s="69"/>
      <c r="AJ5" s="69"/>
      <c r="AK5" s="69"/>
      <c r="AL5" s="69"/>
      <c r="AM5" s="69"/>
      <c r="AN5" s="69"/>
      <c r="AO5" s="69"/>
      <c r="AP5" s="69"/>
      <c r="AQ5" s="69"/>
      <c r="AR5" s="69"/>
      <c r="AS5" s="69"/>
      <c r="AT5" s="69"/>
      <c r="AU5" s="69"/>
      <c r="AV5" s="69"/>
      <c r="AW5" s="69"/>
      <c r="AX5" s="69"/>
      <c r="AY5" s="69"/>
      <c r="AZ5" s="193"/>
      <c r="BA5" s="194" t="s">
        <v>37</v>
      </c>
      <c r="BB5" s="194" t="s">
        <v>521</v>
      </c>
      <c r="BC5" s="195"/>
      <c r="BD5" s="195"/>
      <c r="BE5" s="195"/>
      <c r="BF5" s="194" t="s">
        <v>522</v>
      </c>
      <c r="BG5" s="195"/>
      <c r="BH5" s="195"/>
      <c r="BI5" s="195"/>
      <c r="BJ5" s="194" t="s">
        <v>523</v>
      </c>
      <c r="BK5" s="195"/>
      <c r="BL5" s="195"/>
      <c r="BM5" s="195"/>
      <c r="BN5" s="194" t="s">
        <v>524</v>
      </c>
      <c r="BO5" s="195"/>
      <c r="BP5" s="195"/>
      <c r="BQ5" s="195"/>
      <c r="BR5" s="211"/>
      <c r="BS5" s="195">
        <f t="shared" ref="BS5:BS24" si="0">BA7</f>
        <v>0</v>
      </c>
      <c r="BT5" s="201">
        <f t="shared" ref="BT5:BT24" si="1">IF(BS5=0,0,1)</f>
        <v>0</v>
      </c>
      <c r="BU5" s="201">
        <f>第2期!AQ107*0.5</f>
        <v>0</v>
      </c>
      <c r="BV5" s="205" t="e">
        <f>AVERAGE(BT30:CI30)*初始化表!B$31</f>
        <v>#DIV/0!</v>
      </c>
      <c r="BW5" s="205" t="e">
        <f>$BT5*(AL107-BW$25)/BW$26*初始化表!B$30</f>
        <v>#DIV/0!</v>
      </c>
      <c r="BX5" s="205" t="e">
        <f>$BT5*(AM107-BX$25)/BX$26*初始化表!B$33</f>
        <v>#DIV/0!</v>
      </c>
      <c r="BY5" s="205" t="e">
        <f>$BT5*(AN107-BY$25)/BY$26*初始化表!B$32</f>
        <v>#DIV/0!</v>
      </c>
      <c r="BZ5" s="205" t="e">
        <f>$BT5*(AP107-BZ$25)/BZ$26*初始化表!B$34</f>
        <v>#DIV/0!</v>
      </c>
      <c r="CA5" s="205" t="e">
        <f>$BT$5*(AW107-CA$25)/CA$26*初始化表!B$36</f>
        <v>#DIV/0!</v>
      </c>
      <c r="CB5" s="205" t="e">
        <f>CE5-CC5-BU5-SUM(BV5:CA5)/2</f>
        <v>#DIV/0!</v>
      </c>
      <c r="CC5" s="201">
        <f>IF(AO107-AX107&gt;=0,0,-0.1*(1-EXP(2*10^(-6)*(AO107-AX107))))</f>
        <v>0</v>
      </c>
      <c r="CD5" s="229" t="e">
        <f>SUM(BV5:CB5)</f>
        <v>#DIV/0!</v>
      </c>
      <c r="CE5" s="229">
        <f>AQ107</f>
        <v>0</v>
      </c>
      <c r="CF5" s="229">
        <f>BU5*2</f>
        <v>0</v>
      </c>
      <c r="CG5" s="226"/>
      <c r="CH5" s="226"/>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c r="DP5" s="228"/>
      <c r="DQ5" s="228"/>
    </row>
    <row r="6" s="61" customFormat="1" ht="16" customHeight="1" spans="1:121">
      <c r="A6" s="269" t="s">
        <v>521</v>
      </c>
      <c r="B6" s="71" t="e">
        <f>O20</f>
        <v>#DIV/0!</v>
      </c>
      <c r="C6" s="71" t="e">
        <f t="shared" ref="C6:E9" si="2">P20</f>
        <v>#DIV/0!</v>
      </c>
      <c r="D6" s="71" t="e">
        <f t="shared" si="2"/>
        <v>#DIV/0!</v>
      </c>
      <c r="E6" s="71" t="e">
        <f t="shared" si="2"/>
        <v>#DIV/0!</v>
      </c>
      <c r="F6" s="72" t="e">
        <f>O28</f>
        <v>#DIV/0!</v>
      </c>
      <c r="G6" s="73"/>
      <c r="H6" s="269" t="s">
        <v>521</v>
      </c>
      <c r="I6" s="72">
        <f>第2期!I6+第2期!J6</f>
        <v>0</v>
      </c>
      <c r="J6" s="86"/>
      <c r="K6" s="87">
        <f>IF(IF((I6+F17)&gt;=初始化表!I31,5,IF((I6+F17)&gt;=初始化表!H31,4,IF((I6+F17)&gt;=初始化表!G31,3,IF((I6+F17)&gt;=初始化表!F31,2,IF((I6+F17)&gt;=初始化表!E31,1,0)))))+IF(I6+F17&gt;初始化表!E31,O$45)&lt;第2期!K6+1,IF((I6+F17)&gt;=初始化表!I31,5,IF((I6+F17)&gt;=初始化表!H31,4,IF((I6+F17)&gt;=初始化表!G31,3,IF((I6+F17)&gt;=初始化表!F31,2,IF((I6+F17)&gt;=初始化表!E31,1,0)))))+IF(I6+F17&gt;初始化表!E31,O$45),第2期!K6+1)</f>
        <v>3</v>
      </c>
      <c r="L6" s="72">
        <f>IF(I6&lt;初始化表!E31,初始化表!E31-I6,IF(I6&lt;初始化表!F31,初始化表!F31-I6,IF(I6&lt;初始化表!G31,初始化表!G31-I6,IF(I6&lt;初始化表!H31,初始化表!H31-I6,IF(I6&lt;初始化表!I31,初始化表!I31-I6,0)))))</f>
        <v>0</v>
      </c>
      <c r="M6" s="85"/>
      <c r="N6" s="269" t="s">
        <v>525</v>
      </c>
      <c r="O6" s="88">
        <v>0.039</v>
      </c>
      <c r="P6" s="88">
        <v>0.039</v>
      </c>
      <c r="Q6" s="88">
        <v>0.039</v>
      </c>
      <c r="R6" s="88">
        <v>0.039</v>
      </c>
      <c r="S6" s="122"/>
      <c r="T6" s="120"/>
      <c r="U6" s="68" t="s">
        <v>465</v>
      </c>
      <c r="V6" s="77">
        <f>第2期!AP13</f>
        <v>0</v>
      </c>
      <c r="W6" s="77">
        <f>第2期!AP14</f>
        <v>0</v>
      </c>
      <c r="X6" s="77">
        <f>第2期!AP15</f>
        <v>0</v>
      </c>
      <c r="Y6" s="77">
        <f>第2期!AP16</f>
        <v>0</v>
      </c>
      <c r="Z6" s="77">
        <f>第2期!AJ27</f>
        <v>0</v>
      </c>
      <c r="AA6" s="77" t="e">
        <f t="shared" ref="AA6:AA8" si="3">(V6+W6+X6+Y6)*AC12</f>
        <v>#DIV/0!</v>
      </c>
      <c r="AB6" s="151" t="s">
        <v>465</v>
      </c>
      <c r="AC6" s="152" t="e">
        <f>初始化表!$B$8*初始化表!F17*初始化表!$H$5/1300+初始化表!$B$12*初始化表!F17/1300+初始化表!F19+初始化表!F18*(-C35-C44)/(SUM(B17:E17)*初始化表!E18+SUM(B18:E18)*初始化表!F18+SUM(B19:E19)*初始化表!G18+SUM(B20:E20)*初始化表!H18)</f>
        <v>#DIV/0!</v>
      </c>
      <c r="AD6" s="153" t="e">
        <f>$AC6+初始化表!L20+$F7*B7/SUMPRODUCT($B7:$E7,$V43:$Y43)+B$10*B7/SUMPRODUCT(B$6:B$9,V$42:V$45)+初始化表!L14/I64+(IF(I26+J26=0,0,1)*初始化表!H26+IF(K26+L26=0,0,1)*初始化表!I26)/(I64+J64+K64+L64)</f>
        <v>#DIV/0!</v>
      </c>
      <c r="AE6" s="153" t="e">
        <f>$AC6+初始化表!M20+$F7*C7/SUMPRODUCT($B7:$E7,$V43:$Y43)+C$10*C7/SUMPRODUCT(C$6:C$9,W$42:W$45)+初始化表!M14/J64+(IF(I26+J26=0,0,1)*初始化表!H26+IF(K26+L26=0,0,1)*初始化表!I26)/(I64+J64+K64+L64)</f>
        <v>#DIV/0!</v>
      </c>
      <c r="AF6" s="153" t="e">
        <f>$AC6+初始化表!N20+$F7*D7/SUMPRODUCT($B7:$E7,$V43:$Y43)+D$10*D7/SUMPRODUCT(D$6:D$9,X$42:X$45)+初始化表!N14/K64+(IF(I26+J26=0,0,1)*初始化表!H26+IF(K26+L26=0,0,1)*初始化表!I26)/(I64+J64+K64+L64)</f>
        <v>#DIV/0!</v>
      </c>
      <c r="AG6" s="153" t="e">
        <f>$AC6+初始化表!O20+$F7*E7/SUMPRODUCT($B7:$E7,$V43:$Y43)+E$10*E7/SUMPRODUCT(E$6:E$9,Y$42:Y$45)+初始化表!O14/L64+(IF(I26+J26=0,0,1)*初始化表!H26+IF(K26+L26=0,0,1)*初始化表!I26)/(I64+J64+K64+L64)</f>
        <v>#DIV/0!</v>
      </c>
      <c r="AH6" s="73"/>
      <c r="AZ6" s="193"/>
      <c r="BA6" s="195"/>
      <c r="BB6" s="194" t="s">
        <v>513</v>
      </c>
      <c r="BC6" s="194" t="s">
        <v>514</v>
      </c>
      <c r="BD6" s="194" t="s">
        <v>515</v>
      </c>
      <c r="BE6" s="194" t="s">
        <v>516</v>
      </c>
      <c r="BF6" s="194" t="s">
        <v>513</v>
      </c>
      <c r="BG6" s="194" t="s">
        <v>514</v>
      </c>
      <c r="BH6" s="194" t="s">
        <v>515</v>
      </c>
      <c r="BI6" s="194" t="s">
        <v>516</v>
      </c>
      <c r="BJ6" s="194" t="s">
        <v>513</v>
      </c>
      <c r="BK6" s="194" t="s">
        <v>514</v>
      </c>
      <c r="BL6" s="194" t="s">
        <v>515</v>
      </c>
      <c r="BM6" s="194" t="s">
        <v>516</v>
      </c>
      <c r="BN6" s="194" t="s">
        <v>513</v>
      </c>
      <c r="BO6" s="194" t="s">
        <v>514</v>
      </c>
      <c r="BP6" s="194" t="s">
        <v>515</v>
      </c>
      <c r="BQ6" s="194" t="s">
        <v>516</v>
      </c>
      <c r="BR6" s="211"/>
      <c r="BS6" s="195">
        <f t="shared" si="0"/>
        <v>0</v>
      </c>
      <c r="BT6" s="201">
        <f t="shared" si="1"/>
        <v>0</v>
      </c>
      <c r="BU6" s="201">
        <f>第2期!AQ108*0.5</f>
        <v>0</v>
      </c>
      <c r="BV6" s="205" t="e">
        <f>AVERAGE(BT31:CI31)*初始化表!B$31</f>
        <v>#DIV/0!</v>
      </c>
      <c r="BW6" s="205" t="e">
        <f>$BT6*(AL108-BW$25)/BW$26*初始化表!B$30</f>
        <v>#DIV/0!</v>
      </c>
      <c r="BX6" s="205" t="e">
        <f>$BT6*(AM108-BX$25)/BX$26*初始化表!B$33</f>
        <v>#DIV/0!</v>
      </c>
      <c r="BY6" s="205" t="e">
        <f>$BT6*(AN108-BY$25)/BY$26*初始化表!B$32</f>
        <v>#DIV/0!</v>
      </c>
      <c r="BZ6" s="205" t="e">
        <f>$BT6*(AP108-BZ$25)/BZ$26*初始化表!B$34</f>
        <v>#DIV/0!</v>
      </c>
      <c r="CA6" s="205" t="e">
        <f>$BT$5*(AW108-CA$25)/CA$26*初始化表!B$36</f>
        <v>#DIV/0!</v>
      </c>
      <c r="CB6" s="205" t="e">
        <f t="shared" ref="CB6:CB24" si="4">CE6-CC6-BU6-SUM(BV6:CA6)/2</f>
        <v>#DIV/0!</v>
      </c>
      <c r="CC6" s="201">
        <f t="shared" ref="CC6:CC24" si="5">IF(AO108-AX108&gt;=0,0,-0.1*(1-EXP(2*10^(-6)*(AO108-AX108))))</f>
        <v>0</v>
      </c>
      <c r="CD6" s="229" t="e">
        <f t="shared" ref="CD6:CD24" si="6">SUM(BV6:CB6)</f>
        <v>#DIV/0!</v>
      </c>
      <c r="CE6" s="229">
        <f t="shared" ref="CE6:CE24" si="7">AQ108</f>
        <v>0</v>
      </c>
      <c r="CF6" s="229">
        <f t="shared" ref="CF6:CF24" si="8">BU6*2</f>
        <v>0</v>
      </c>
      <c r="CG6" s="226"/>
      <c r="CH6" s="226"/>
      <c r="CI6" s="227"/>
      <c r="CJ6" s="228"/>
      <c r="CK6" s="227"/>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c r="DP6" s="228"/>
      <c r="DQ6" s="228"/>
    </row>
    <row r="7" s="61" customFormat="1" ht="16" customHeight="1" spans="1:121">
      <c r="A7" s="269" t="s">
        <v>522</v>
      </c>
      <c r="B7" s="71" t="e">
        <f t="shared" ref="B7:B9" si="9">O21</f>
        <v>#DIV/0!</v>
      </c>
      <c r="C7" s="71" t="e">
        <f t="shared" si="2"/>
        <v>#DIV/0!</v>
      </c>
      <c r="D7" s="71" t="e">
        <f t="shared" si="2"/>
        <v>#DIV/0!</v>
      </c>
      <c r="E7" s="71" t="e">
        <f t="shared" si="2"/>
        <v>#DIV/0!</v>
      </c>
      <c r="F7" s="72" t="e">
        <f>P28</f>
        <v>#DIV/0!</v>
      </c>
      <c r="G7" s="73"/>
      <c r="H7" s="269" t="s">
        <v>522</v>
      </c>
      <c r="I7" s="72">
        <f>第2期!I7+第2期!J7</f>
        <v>0</v>
      </c>
      <c r="J7" s="86"/>
      <c r="K7" s="87">
        <f>IF(IF((I7+F18)&gt;=初始化表!I32,5,IF((I7+F18)&gt;=初始化表!H32,4,IF((I7+F18)&gt;=初始化表!G32,3,IF((I7+F18)&gt;=初始化表!F32,2,IF((I7+F18)&gt;=初始化表!E32,1,0)))))+IF(I7+F18&gt;初始化表!E32,O$45)&lt;第2期!K7+1,IF((I7+F18)&gt;=初始化表!I32,5,IF((I7+F18)&gt;=初始化表!H32,4,IF((I7+F18)&gt;=初始化表!G32,3,IF((I7+F18)&gt;=初始化表!F32,2,IF((I7+F18)&gt;=初始化表!E32,1,0)))))+IF(I7+F18&gt;初始化表!E32,O$45),第2期!K7+1)</f>
        <v>3</v>
      </c>
      <c r="L7" s="72">
        <f>IF(I7&lt;初始化表!E32,初始化表!E32-I7,IF(I7&lt;初始化表!F32,初始化表!F32-I7,IF(I7&lt;初始化表!G32,初始化表!G32-I7,IF(I7&lt;初始化表!H32,初始化表!H32-I7,IF(I7&lt;初始化表!I32,初始化表!I32-I7,0)))))</f>
        <v>0</v>
      </c>
      <c r="M7" s="85"/>
      <c r="N7" s="269" t="s">
        <v>526</v>
      </c>
      <c r="O7" s="269" t="s">
        <v>38</v>
      </c>
      <c r="P7" s="269" t="s">
        <v>39</v>
      </c>
      <c r="Q7" s="269" t="s">
        <v>40</v>
      </c>
      <c r="R7" s="269" t="s">
        <v>41</v>
      </c>
      <c r="S7" s="121"/>
      <c r="T7" s="120"/>
      <c r="U7" s="68" t="s">
        <v>466</v>
      </c>
      <c r="V7" s="77">
        <f>第2期!AP17</f>
        <v>0</v>
      </c>
      <c r="W7" s="77">
        <f>第2期!AP18</f>
        <v>0</v>
      </c>
      <c r="X7" s="77">
        <f>第2期!AP19</f>
        <v>0</v>
      </c>
      <c r="Y7" s="77">
        <f>第2期!AP20</f>
        <v>0</v>
      </c>
      <c r="Z7" s="77">
        <f>第2期!AJ28</f>
        <v>0</v>
      </c>
      <c r="AA7" s="77" t="e">
        <f t="shared" si="3"/>
        <v>#DIV/0!</v>
      </c>
      <c r="AB7" s="151" t="s">
        <v>466</v>
      </c>
      <c r="AC7" s="152" t="e">
        <f>初始化表!$B$8*初始化表!G17*初始化表!$H$5/1300+初始化表!$B$12*初始化表!G17/1300+初始化表!G19+初始化表!G18*(-C35-C44)/(SUM(B17:E17)*初始化表!E18+SUM(B18:E18)*初始化表!F18+SUM(B19:E19)*初始化表!G18+SUM(B20:E20)*初始化表!H18)</f>
        <v>#DIV/0!</v>
      </c>
      <c r="AD7" s="153" t="e">
        <f>$AC7+初始化表!L21+$F8*B8/SUMPRODUCT($B8:$E8,$V44:$Y44)+B$10*B8/SUMPRODUCT(B$6:B$9,V$42:V$45)+初始化表!L15/I65+(IF(I27+J27=0,0,1)*初始化表!H27+IF(K27+L27=0,0,1)*初始化表!I27)/(I65+J65+K65+L65)</f>
        <v>#DIV/0!</v>
      </c>
      <c r="AE7" s="153" t="e">
        <f>$AC7+初始化表!M21+$F8*C8/SUMPRODUCT($B8:$E8,$V44:$Y44)+C$10*C8/SUMPRODUCT(C$6:C$9,W$42:W$45)+初始化表!M15/J65+(IF(I27+J27=0,0,1)*初始化表!H27+IF(K27+L27=0,0,1)*初始化表!I27)/(I65+J65+K65+L65)</f>
        <v>#DIV/0!</v>
      </c>
      <c r="AF7" s="153" t="e">
        <f>$AC7+初始化表!N21+$F8*D8/SUMPRODUCT($B8:$E8,$V44:$Y44)+D$10*D8/SUMPRODUCT(D$6:D$9,X$42:X$45)+初始化表!N15/K65+(IF(I27+J27=0,0,1)*初始化表!H27+IF(K27+L27=0,0,1)*初始化表!I27)/(I65+J65+K65+L65)</f>
        <v>#DIV/0!</v>
      </c>
      <c r="AG7" s="153" t="e">
        <f>$AC7+初始化表!O21+$F8*E8/SUMPRODUCT($B8:$E8,$V44:$Y44)+E$10*E8/SUMPRODUCT(E$6:E$9,Y$42:Y$45)+初始化表!O15/L65+(IF(I27+J27=0,0,1)*初始化表!H27+IF(K27+L27=0,0,1)*初始化表!I27)/(I65+J65+K65+L65)</f>
        <v>#DIV/0!</v>
      </c>
      <c r="AH7" s="73"/>
      <c r="AI7" s="68" t="s">
        <v>424</v>
      </c>
      <c r="AJ7" s="69"/>
      <c r="AK7" s="69"/>
      <c r="AL7" s="69"/>
      <c r="AM7" s="69"/>
      <c r="AN7" s="69"/>
      <c r="AO7" s="69"/>
      <c r="AP7" s="69"/>
      <c r="AQ7" s="69"/>
      <c r="AZ7" s="193"/>
      <c r="BA7" s="196">
        <f t="shared" ref="BA7:BA26" si="10">AI37</f>
        <v>0</v>
      </c>
      <c r="BB7" s="443">
        <f t="shared" ref="BB7:BB26" si="11">IF($BA7="","",INT(BB$28*AJ61))</f>
        <v>0</v>
      </c>
      <c r="BC7" s="197">
        <f t="shared" ref="BC7:BC26" si="12">IF($BA7="","",INT(BC$28*AK61))</f>
        <v>0</v>
      </c>
      <c r="BD7" s="197">
        <f t="shared" ref="BD7:BD26" si="13">IF($BA7="","",INT(BD$28*AL61))</f>
        <v>0</v>
      </c>
      <c r="BE7" s="197">
        <f t="shared" ref="BE7:BE26" si="14">IF($BA7="","",INT(BE$28*AM61))</f>
        <v>0</v>
      </c>
      <c r="BF7" s="197">
        <f t="shared" ref="BF7:BF26" si="15">IF($BA7="","",INT(BF$28*AN61))</f>
        <v>0</v>
      </c>
      <c r="BG7" s="197">
        <f t="shared" ref="BG7:BG26" si="16">IF($BA7="","",INT(BG$28*AO61))</f>
        <v>0</v>
      </c>
      <c r="BH7" s="197">
        <f t="shared" ref="BH7:BH26" si="17">IF($BA7="","",INT(BH$28*AP61))</f>
        <v>0</v>
      </c>
      <c r="BI7" s="197">
        <f t="shared" ref="BI7:BI26" si="18">IF($BA7="","",INT(BI$28*AQ61))</f>
        <v>0</v>
      </c>
      <c r="BJ7" s="197">
        <f t="shared" ref="BJ7:BJ26" si="19">IF($BA7="","",INT(BJ$28*AR61))</f>
        <v>0</v>
      </c>
      <c r="BK7" s="197">
        <f t="shared" ref="BK7:BK26" si="20">IF($BA7="","",INT(BK$28*AS61))</f>
        <v>0</v>
      </c>
      <c r="BL7" s="197">
        <f t="shared" ref="BL7:BL26" si="21">IF($BA7="","",INT(BL$28*AT61))</f>
        <v>0</v>
      </c>
      <c r="BM7" s="197">
        <f t="shared" ref="BM7:BM26" si="22">IF($BA7="","",INT(BM$28*AU61))</f>
        <v>0</v>
      </c>
      <c r="BN7" s="197">
        <f t="shared" ref="BN7:BN26" si="23">IF($BA7="","",INT(BN$28*AV61))</f>
        <v>0</v>
      </c>
      <c r="BO7" s="197">
        <f t="shared" ref="BO7:BO26" si="24">IF($BA7="","",INT(BO$28*AW61))</f>
        <v>0</v>
      </c>
      <c r="BP7" s="197">
        <f t="shared" ref="BP7:BP26" si="25">IF($BA7="","",INT(BP$28*AX61))</f>
        <v>0</v>
      </c>
      <c r="BQ7" s="197">
        <f t="shared" ref="BQ7:BQ26" si="26">IF($BA7="","",INT(BQ$28*AY61))</f>
        <v>0</v>
      </c>
      <c r="BR7" s="211"/>
      <c r="BS7" s="195">
        <f t="shared" si="0"/>
        <v>0</v>
      </c>
      <c r="BT7" s="201">
        <f t="shared" si="1"/>
        <v>0</v>
      </c>
      <c r="BU7" s="201">
        <f>第2期!AQ109*0.5</f>
        <v>0</v>
      </c>
      <c r="BV7" s="205" t="e">
        <f>AVERAGE(BT32:CI32)*初始化表!B$31</f>
        <v>#DIV/0!</v>
      </c>
      <c r="BW7" s="205" t="e">
        <f>$BT7*(AL109-BW$25)/BW$26*初始化表!B$30</f>
        <v>#DIV/0!</v>
      </c>
      <c r="BX7" s="205" t="e">
        <f>$BT7*(AM109-BX$25)/BX$26*初始化表!B$33</f>
        <v>#DIV/0!</v>
      </c>
      <c r="BY7" s="205" t="e">
        <f>$BT7*(AN109-BY$25)/BY$26*初始化表!B$32</f>
        <v>#DIV/0!</v>
      </c>
      <c r="BZ7" s="205" t="e">
        <f>$BT7*(AP109-BZ$25)/BZ$26*初始化表!B$34</f>
        <v>#DIV/0!</v>
      </c>
      <c r="CA7" s="205" t="e">
        <f>$BT$5*(AW109-CA$25)/CA$26*初始化表!B$36</f>
        <v>#DIV/0!</v>
      </c>
      <c r="CB7" s="205" t="e">
        <f t="shared" si="4"/>
        <v>#DIV/0!</v>
      </c>
      <c r="CC7" s="201">
        <f t="shared" si="5"/>
        <v>0</v>
      </c>
      <c r="CD7" s="229" t="e">
        <f t="shared" si="6"/>
        <v>#DIV/0!</v>
      </c>
      <c r="CE7" s="229">
        <f t="shared" si="7"/>
        <v>0</v>
      </c>
      <c r="CF7" s="229">
        <f t="shared" si="8"/>
        <v>0</v>
      </c>
      <c r="CG7" s="226"/>
      <c r="CH7" s="226"/>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row>
    <row r="8" s="61" customFormat="1" ht="16" customHeight="1" spans="1:121">
      <c r="A8" s="269" t="s">
        <v>523</v>
      </c>
      <c r="B8" s="71" t="e">
        <f t="shared" si="9"/>
        <v>#DIV/0!</v>
      </c>
      <c r="C8" s="71" t="e">
        <f t="shared" si="2"/>
        <v>#DIV/0!</v>
      </c>
      <c r="D8" s="71" t="e">
        <f t="shared" si="2"/>
        <v>#DIV/0!</v>
      </c>
      <c r="E8" s="71" t="e">
        <f t="shared" si="2"/>
        <v>#DIV/0!</v>
      </c>
      <c r="F8" s="72" t="e">
        <f>Q28</f>
        <v>#DIV/0!</v>
      </c>
      <c r="G8" s="73"/>
      <c r="H8" s="269" t="s">
        <v>523</v>
      </c>
      <c r="I8" s="72">
        <f>第2期!I8+第2期!J8</f>
        <v>0</v>
      </c>
      <c r="J8" s="86"/>
      <c r="K8" s="87">
        <f>IF(IF((I8+F19)&gt;=初始化表!I33,5,IF((I8+F19)&gt;=初始化表!H33,4,IF((I8+F19)&gt;=初始化表!G33,3,IF((I8+F19)&gt;=初始化表!F33,2,IF((I8+F19)&gt;=初始化表!E33,1,0)))))+IF(I8+F19&gt;初始化表!E33,O$45)&lt;第2期!K8+1,IF((I8+F19)&gt;=初始化表!I33,5,IF((I8+F19)&gt;=初始化表!H33,4,IF((I8+F19)&gt;=初始化表!G33,3,IF((I8+F19)&gt;=初始化表!F33,2,IF((I8+F19)&gt;=初始化表!E33,1,0)))))+IF(I8+F19&gt;初始化表!E33,O$45),第2期!K8+1)</f>
        <v>3</v>
      </c>
      <c r="L8" s="72">
        <f>IF(I8&lt;初始化表!E33,初始化表!E33-I8,IF(I8&lt;初始化表!F33,初始化表!F33-I8,IF(I8&lt;初始化表!G33,初始化表!G33-I8,IF(I8&lt;初始化表!H33,初始化表!H33-I8,IF(I8&lt;初始化表!I33,初始化表!I33-I8,0)))))</f>
        <v>0</v>
      </c>
      <c r="M8" s="85"/>
      <c r="N8" s="269" t="s">
        <v>525</v>
      </c>
      <c r="O8" s="88">
        <v>0.039</v>
      </c>
      <c r="P8" s="88">
        <v>0.039</v>
      </c>
      <c r="Q8" s="88">
        <v>0.039</v>
      </c>
      <c r="R8" s="88">
        <v>0.039</v>
      </c>
      <c r="S8" s="122"/>
      <c r="T8" s="120"/>
      <c r="U8" s="68" t="s">
        <v>468</v>
      </c>
      <c r="V8" s="77">
        <f>第2期!AP21</f>
        <v>0</v>
      </c>
      <c r="W8" s="77">
        <f>第2期!AP22</f>
        <v>0</v>
      </c>
      <c r="X8" s="77">
        <f>第2期!AP23</f>
        <v>0</v>
      </c>
      <c r="Y8" s="77">
        <f>第2期!AP24</f>
        <v>0</v>
      </c>
      <c r="Z8" s="77">
        <f>第2期!AJ29</f>
        <v>0</v>
      </c>
      <c r="AA8" s="77" t="e">
        <f t="shared" si="3"/>
        <v>#DIV/0!</v>
      </c>
      <c r="AB8" s="151" t="s">
        <v>468</v>
      </c>
      <c r="AC8" s="152" t="e">
        <f>初始化表!$B$8*初始化表!H17*初始化表!$H$5/1300+初始化表!$B$12*初始化表!H17/1300+初始化表!H19+初始化表!H18*(-C35-C44)/(SUM(B17:E17)*初始化表!E18+SUM(B18:E18)*初始化表!F18+SUM(B19:E19)*初始化表!G18+SUM(B20:E20)*初始化表!H18)</f>
        <v>#DIV/0!</v>
      </c>
      <c r="AD8" s="153" t="e">
        <f>$AC8+初始化表!L22+$F9*B9/SUMPRODUCT($B9:$E9,$V45:$Y45)+B$10*B9/SUMPRODUCT(B$6:B$9,V$42:V$45)+初始化表!L16/I66+(IF(I28+J28=0,0,1)*初始化表!H28+IF(K28+L28=0,0,1)*初始化表!I28)/(I66+J66+K66+L66)</f>
        <v>#DIV/0!</v>
      </c>
      <c r="AE8" s="153" t="e">
        <f>$AC8+初始化表!M22+$F9*C9/SUMPRODUCT($B9:$E9,$V45:$Y45)+C$10*C9/SUMPRODUCT(C$6:C$9,W$42:W$45)+初始化表!M16/J66+(IF(I28+J28=0,0,1)*初始化表!H28+IF(K28+L28=0,0,1)*初始化表!I28)/(I66+J66+K66+L66)</f>
        <v>#DIV/0!</v>
      </c>
      <c r="AF8" s="153" t="e">
        <f>$AC8+初始化表!N22+$F9*D9/SUMPRODUCT($B9:$E9,$V45:$Y45)+D$10*D9/SUMPRODUCT(D$6:D$9,X$42:X$45)+初始化表!N16/K66+(IF(I28+J28=0,0,1)*初始化表!H28+IF(K28+L28=0,0,1)*初始化表!I28)/(I66+J66+K66+L66)</f>
        <v>#DIV/0!</v>
      </c>
      <c r="AG8" s="153" t="e">
        <f>$AC8+初始化表!O22+$F9*E9/SUMPRODUCT($B9:$E9,$V45:$Y45)+E$10*E9/SUMPRODUCT(E$6:E$9,Y$42:Y$45)+初始化表!O16/L66+(IF(I28+J28=0,0,1)*初始化表!H28+IF(K28+L28=0,0,1)*初始化表!I28)/(I66+J66+K66+L66)</f>
        <v>#DIV/0!</v>
      </c>
      <c r="AH8" s="73"/>
      <c r="AI8" s="298" t="s">
        <v>283</v>
      </c>
      <c r="AJ8" s="298" t="s">
        <v>284</v>
      </c>
      <c r="AK8" s="298" t="s">
        <v>285</v>
      </c>
      <c r="AL8" s="298" t="s">
        <v>286</v>
      </c>
      <c r="AM8" s="298" t="s">
        <v>287</v>
      </c>
      <c r="AN8" s="298" t="s">
        <v>288</v>
      </c>
      <c r="AO8" s="298" t="s">
        <v>289</v>
      </c>
      <c r="AP8" s="298" t="s">
        <v>290</v>
      </c>
      <c r="AQ8" s="314" t="s">
        <v>291</v>
      </c>
      <c r="AR8" s="185" t="s">
        <v>433</v>
      </c>
      <c r="AS8" s="185" t="s">
        <v>434</v>
      </c>
      <c r="AT8" s="185" t="s">
        <v>435</v>
      </c>
      <c r="AU8" s="185" t="s">
        <v>436</v>
      </c>
      <c r="AV8" s="185" t="s">
        <v>437</v>
      </c>
      <c r="AW8" s="185" t="s">
        <v>438</v>
      </c>
      <c r="AZ8" s="193"/>
      <c r="BA8" s="196">
        <f t="shared" si="10"/>
        <v>0</v>
      </c>
      <c r="BB8" s="443">
        <f t="shared" si="11"/>
        <v>0</v>
      </c>
      <c r="BC8" s="197">
        <f t="shared" si="12"/>
        <v>0</v>
      </c>
      <c r="BD8" s="197">
        <f t="shared" si="13"/>
        <v>0</v>
      </c>
      <c r="BE8" s="197">
        <f t="shared" si="14"/>
        <v>0</v>
      </c>
      <c r="BF8" s="197">
        <f t="shared" si="15"/>
        <v>0</v>
      </c>
      <c r="BG8" s="197">
        <f t="shared" si="16"/>
        <v>0</v>
      </c>
      <c r="BH8" s="197">
        <f t="shared" si="17"/>
        <v>0</v>
      </c>
      <c r="BI8" s="197">
        <f t="shared" si="18"/>
        <v>0</v>
      </c>
      <c r="BJ8" s="197">
        <f t="shared" si="19"/>
        <v>0</v>
      </c>
      <c r="BK8" s="197">
        <f t="shared" si="20"/>
        <v>0</v>
      </c>
      <c r="BL8" s="197">
        <f t="shared" si="21"/>
        <v>0</v>
      </c>
      <c r="BM8" s="197">
        <f t="shared" si="22"/>
        <v>0</v>
      </c>
      <c r="BN8" s="197">
        <f t="shared" si="23"/>
        <v>0</v>
      </c>
      <c r="BO8" s="197">
        <f t="shared" si="24"/>
        <v>0</v>
      </c>
      <c r="BP8" s="197">
        <f t="shared" si="25"/>
        <v>0</v>
      </c>
      <c r="BQ8" s="197">
        <f t="shared" si="26"/>
        <v>0</v>
      </c>
      <c r="BR8" s="211"/>
      <c r="BS8" s="195">
        <f t="shared" si="0"/>
        <v>0</v>
      </c>
      <c r="BT8" s="201">
        <f t="shared" si="1"/>
        <v>0</v>
      </c>
      <c r="BU8" s="201">
        <f>第2期!AQ110*0.5</f>
        <v>0</v>
      </c>
      <c r="BV8" s="205" t="e">
        <f>AVERAGE(BT33:CI33)*初始化表!B$31</f>
        <v>#DIV/0!</v>
      </c>
      <c r="BW8" s="205" t="e">
        <f>$BT8*(AL110-BW$25)/BW$26*初始化表!B$30</f>
        <v>#DIV/0!</v>
      </c>
      <c r="BX8" s="205" t="e">
        <f>$BT8*(AM110-BX$25)/BX$26*初始化表!B$33</f>
        <v>#DIV/0!</v>
      </c>
      <c r="BY8" s="205" t="e">
        <f>$BT8*(AN110-BY$25)/BY$26*初始化表!B$32</f>
        <v>#DIV/0!</v>
      </c>
      <c r="BZ8" s="205" t="e">
        <f>$BT8*(AP110-BZ$25)/BZ$26*初始化表!B$34</f>
        <v>#DIV/0!</v>
      </c>
      <c r="CA8" s="205" t="e">
        <f>$BT$5*(AW110-CA$25)/CA$26*初始化表!B$36</f>
        <v>#DIV/0!</v>
      </c>
      <c r="CB8" s="205" t="e">
        <f t="shared" si="4"/>
        <v>#DIV/0!</v>
      </c>
      <c r="CC8" s="201">
        <f t="shared" si="5"/>
        <v>0</v>
      </c>
      <c r="CD8" s="229" t="e">
        <f t="shared" si="6"/>
        <v>#DIV/0!</v>
      </c>
      <c r="CE8" s="229">
        <f t="shared" si="7"/>
        <v>0</v>
      </c>
      <c r="CF8" s="229">
        <f t="shared" si="8"/>
        <v>0</v>
      </c>
      <c r="CG8" s="226"/>
      <c r="CH8" s="226"/>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c r="DQ8" s="228"/>
    </row>
    <row r="9" s="61" customFormat="1" ht="16" customHeight="1" spans="1:121">
      <c r="A9" s="269" t="s">
        <v>524</v>
      </c>
      <c r="B9" s="71" t="e">
        <f t="shared" si="9"/>
        <v>#DIV/0!</v>
      </c>
      <c r="C9" s="71" t="e">
        <f t="shared" si="2"/>
        <v>#DIV/0!</v>
      </c>
      <c r="D9" s="71" t="e">
        <f t="shared" si="2"/>
        <v>#DIV/0!</v>
      </c>
      <c r="E9" s="71" t="e">
        <f t="shared" si="2"/>
        <v>#DIV/0!</v>
      </c>
      <c r="F9" s="72" t="e">
        <f>R28</f>
        <v>#DIV/0!</v>
      </c>
      <c r="G9" s="73"/>
      <c r="H9" s="269" t="s">
        <v>524</v>
      </c>
      <c r="I9" s="72">
        <f>第2期!I9+第2期!J9</f>
        <v>0</v>
      </c>
      <c r="J9" s="86"/>
      <c r="K9" s="87">
        <f>IF(IF((I9+F20)&gt;=初始化表!I34,5,IF((I9+F20)&gt;=初始化表!H34,4,IF((I9+F20)&gt;=初始化表!G34,3,IF((I9+F20)&gt;=初始化表!F34,2,IF((I9+F20)&gt;=初始化表!E34,1,0)))))+IF(I9+F20&gt;初始化表!E34,O$45)&lt;第2期!K9+1,IF((I9+F20)&gt;=初始化表!I34,5,IF((I9+F20)&gt;=初始化表!H34,4,IF((I9+F20)&gt;=初始化表!G34,3,IF((I9+F20)&gt;=初始化表!F34,2,IF((I9+F20)&gt;=初始化表!E34,1,0)))))+IF(I9+F20&gt;初始化表!E34,O$45),第2期!K9+1)</f>
        <v>3</v>
      </c>
      <c r="L9" s="72">
        <f>IF(I9&lt;初始化表!E34,初始化表!E34-I9,IF(I9&lt;初始化表!F34,初始化表!F34-I9,IF(I9&lt;初始化表!G34,初始化表!G34-I9,IF(I9&lt;初始化表!H34,初始化表!H34-I9,IF(I9&lt;初始化表!I34,初始化表!I34-I9,0)))))</f>
        <v>0</v>
      </c>
      <c r="M9" s="85"/>
      <c r="N9" s="269" t="s">
        <v>527</v>
      </c>
      <c r="O9" s="269" t="s">
        <v>513</v>
      </c>
      <c r="P9" s="269" t="s">
        <v>514</v>
      </c>
      <c r="Q9" s="269" t="s">
        <v>515</v>
      </c>
      <c r="R9" s="269" t="s">
        <v>516</v>
      </c>
      <c r="S9" s="121"/>
      <c r="T9" s="68" t="s">
        <v>528</v>
      </c>
      <c r="U9" s="123"/>
      <c r="V9" s="74"/>
      <c r="W9" s="74"/>
      <c r="X9" s="74"/>
      <c r="Y9" s="74"/>
      <c r="Z9" s="74" t="e">
        <f>SUMPRODUCT(V5:Y8,V23:Y26)</f>
        <v>#DIV/0!</v>
      </c>
      <c r="AA9" s="73"/>
      <c r="AB9" s="155"/>
      <c r="AC9" s="155"/>
      <c r="AD9" s="155"/>
      <c r="AE9" s="155"/>
      <c r="AF9" s="155"/>
      <c r="AG9" s="155"/>
      <c r="AH9" s="73"/>
      <c r="AI9" s="359"/>
      <c r="AJ9" s="359"/>
      <c r="AK9" s="360"/>
      <c r="AL9" s="360">
        <f>V42</f>
        <v>0</v>
      </c>
      <c r="AM9" s="361"/>
      <c r="AN9" s="362"/>
      <c r="AO9" s="360"/>
      <c r="AP9" s="360"/>
      <c r="AQ9" s="369"/>
      <c r="AR9" s="103"/>
      <c r="AS9" s="103">
        <f t="shared" ref="AS9:AS24" si="27">AM9-AK9</f>
        <v>0</v>
      </c>
      <c r="AT9" s="103"/>
      <c r="AU9" s="103"/>
      <c r="AV9" s="103"/>
      <c r="AW9" s="103"/>
      <c r="AZ9" s="193"/>
      <c r="BA9" s="196">
        <f t="shared" si="10"/>
        <v>0</v>
      </c>
      <c r="BB9" s="443">
        <f t="shared" si="11"/>
        <v>0</v>
      </c>
      <c r="BC9" s="197">
        <f t="shared" si="12"/>
        <v>0</v>
      </c>
      <c r="BD9" s="197">
        <f t="shared" si="13"/>
        <v>0</v>
      </c>
      <c r="BE9" s="197">
        <f t="shared" si="14"/>
        <v>0</v>
      </c>
      <c r="BF9" s="197">
        <f t="shared" si="15"/>
        <v>0</v>
      </c>
      <c r="BG9" s="197">
        <f t="shared" si="16"/>
        <v>0</v>
      </c>
      <c r="BH9" s="197">
        <f t="shared" si="17"/>
        <v>0</v>
      </c>
      <c r="BI9" s="197">
        <f t="shared" si="18"/>
        <v>0</v>
      </c>
      <c r="BJ9" s="197">
        <f t="shared" si="19"/>
        <v>0</v>
      </c>
      <c r="BK9" s="197">
        <f t="shared" si="20"/>
        <v>0</v>
      </c>
      <c r="BL9" s="197">
        <f t="shared" si="21"/>
        <v>0</v>
      </c>
      <c r="BM9" s="197">
        <f t="shared" si="22"/>
        <v>0</v>
      </c>
      <c r="BN9" s="197">
        <f t="shared" si="23"/>
        <v>0</v>
      </c>
      <c r="BO9" s="197">
        <f t="shared" si="24"/>
        <v>0</v>
      </c>
      <c r="BP9" s="197">
        <f t="shared" si="25"/>
        <v>0</v>
      </c>
      <c r="BQ9" s="197">
        <f t="shared" si="26"/>
        <v>0</v>
      </c>
      <c r="BR9" s="211"/>
      <c r="BS9" s="195">
        <f t="shared" si="0"/>
        <v>0</v>
      </c>
      <c r="BT9" s="201">
        <f t="shared" si="1"/>
        <v>0</v>
      </c>
      <c r="BU9" s="201">
        <f>第2期!AQ111*0.5</f>
        <v>0</v>
      </c>
      <c r="BV9" s="205" t="e">
        <f>AVERAGE(BT34:CI34)*初始化表!B$31</f>
        <v>#DIV/0!</v>
      </c>
      <c r="BW9" s="205" t="e">
        <f>$BT9*(AL111-BW$25)/BW$26*初始化表!B$30</f>
        <v>#DIV/0!</v>
      </c>
      <c r="BX9" s="205" t="e">
        <f>$BT9*(AM111-BX$25)/BX$26*初始化表!B$33</f>
        <v>#DIV/0!</v>
      </c>
      <c r="BY9" s="205" t="e">
        <f>$BT9*(AN111-BY$25)/BY$26*初始化表!B$32</f>
        <v>#DIV/0!</v>
      </c>
      <c r="BZ9" s="205" t="e">
        <f>$BT9*(AP111-BZ$25)/BZ$26*初始化表!B$34</f>
        <v>#DIV/0!</v>
      </c>
      <c r="CA9" s="205" t="e">
        <f>$BT$5*(AW111-CA$25)/CA$26*初始化表!B$36</f>
        <v>#DIV/0!</v>
      </c>
      <c r="CB9" s="205" t="e">
        <f t="shared" si="4"/>
        <v>#DIV/0!</v>
      </c>
      <c r="CC9" s="201">
        <f t="shared" si="5"/>
        <v>0</v>
      </c>
      <c r="CD9" s="229" t="e">
        <f t="shared" si="6"/>
        <v>#DIV/0!</v>
      </c>
      <c r="CE9" s="229">
        <f t="shared" si="7"/>
        <v>0</v>
      </c>
      <c r="CF9" s="229">
        <f t="shared" si="8"/>
        <v>0</v>
      </c>
      <c r="CG9" s="226"/>
      <c r="CH9" s="226"/>
      <c r="CI9" s="228"/>
      <c r="CJ9" s="230"/>
      <c r="CK9" s="228"/>
      <c r="CL9" s="230"/>
      <c r="CM9" s="230"/>
      <c r="CN9" s="230"/>
      <c r="CO9" s="230"/>
      <c r="CP9" s="228"/>
      <c r="CQ9" s="228"/>
      <c r="CR9" s="228"/>
      <c r="CS9" s="228"/>
      <c r="CT9" s="228"/>
      <c r="CU9" s="228"/>
      <c r="CV9" s="231"/>
      <c r="CW9" s="231"/>
      <c r="CX9" s="231"/>
      <c r="CY9" s="231"/>
      <c r="CZ9" s="228"/>
      <c r="DA9" s="228"/>
      <c r="DB9" s="228"/>
      <c r="DC9" s="228"/>
      <c r="DD9" s="228"/>
      <c r="DE9" s="228"/>
      <c r="DF9" s="228"/>
      <c r="DG9" s="228"/>
      <c r="DH9" s="228"/>
      <c r="DI9" s="228"/>
      <c r="DJ9" s="228"/>
      <c r="DK9" s="228"/>
      <c r="DL9" s="228"/>
      <c r="DM9" s="228"/>
      <c r="DN9" s="228"/>
      <c r="DO9" s="228"/>
      <c r="DP9" s="228"/>
      <c r="DQ9" s="228"/>
    </row>
    <row r="10" s="61" customFormat="1" ht="16" customHeight="1" spans="1:121">
      <c r="A10" s="269" t="s">
        <v>280</v>
      </c>
      <c r="B10" s="72" t="e">
        <f>O29</f>
        <v>#DIV/0!</v>
      </c>
      <c r="C10" s="72" t="e">
        <f>P29</f>
        <v>#DIV/0!</v>
      </c>
      <c r="D10" s="72" t="e">
        <f t="shared" ref="D10:E10" si="28">Q29</f>
        <v>#DIV/0!</v>
      </c>
      <c r="E10" s="72" t="e">
        <f t="shared" si="28"/>
        <v>#DIV/0!</v>
      </c>
      <c r="F10" s="269" t="s">
        <v>281</v>
      </c>
      <c r="G10" s="73"/>
      <c r="H10" s="74"/>
      <c r="I10" s="74"/>
      <c r="J10" s="74"/>
      <c r="K10" s="74"/>
      <c r="L10" s="74"/>
      <c r="M10" s="85"/>
      <c r="N10" s="269" t="s">
        <v>198</v>
      </c>
      <c r="O10" s="89">
        <f>S10+T10</f>
        <v>0.02</v>
      </c>
      <c r="P10" s="89"/>
      <c r="Q10" s="89"/>
      <c r="R10" s="89"/>
      <c r="S10" s="433">
        <v>0.02</v>
      </c>
      <c r="T10" s="125">
        <f t="shared" ref="T10:T13" si="29">(Z17-Z42)/10000</f>
        <v>0</v>
      </c>
      <c r="U10" s="68" t="s">
        <v>529</v>
      </c>
      <c r="V10" s="68" t="s">
        <v>459</v>
      </c>
      <c r="W10" s="68" t="s">
        <v>460</v>
      </c>
      <c r="X10" s="68" t="s">
        <v>461</v>
      </c>
      <c r="Y10" s="68" t="s">
        <v>462</v>
      </c>
      <c r="Z10" s="74"/>
      <c r="AA10" s="73"/>
      <c r="AB10" s="151" t="s">
        <v>530</v>
      </c>
      <c r="AC10" s="151" t="s">
        <v>459</v>
      </c>
      <c r="AD10" s="151" t="s">
        <v>460</v>
      </c>
      <c r="AE10" s="151" t="s">
        <v>461</v>
      </c>
      <c r="AF10" s="151" t="s">
        <v>462</v>
      </c>
      <c r="AG10" s="305" t="s">
        <v>402</v>
      </c>
      <c r="AH10" s="168" t="s">
        <v>531</v>
      </c>
      <c r="AI10" s="359"/>
      <c r="AJ10" s="359"/>
      <c r="AK10" s="360"/>
      <c r="AL10" s="360">
        <f>W42</f>
        <v>0</v>
      </c>
      <c r="AM10" s="361"/>
      <c r="AN10" s="362"/>
      <c r="AO10" s="360"/>
      <c r="AP10" s="360"/>
      <c r="AQ10" s="369"/>
      <c r="AR10" s="103"/>
      <c r="AS10" s="103">
        <f t="shared" si="27"/>
        <v>0</v>
      </c>
      <c r="AT10" s="103"/>
      <c r="AU10" s="103"/>
      <c r="AV10" s="103"/>
      <c r="AW10" s="103"/>
      <c r="AZ10" s="193"/>
      <c r="BA10" s="196">
        <f t="shared" si="10"/>
        <v>0</v>
      </c>
      <c r="BB10" s="443">
        <f t="shared" si="11"/>
        <v>0</v>
      </c>
      <c r="BC10" s="197">
        <f t="shared" si="12"/>
        <v>0</v>
      </c>
      <c r="BD10" s="197">
        <f t="shared" si="13"/>
        <v>0</v>
      </c>
      <c r="BE10" s="197">
        <f t="shared" si="14"/>
        <v>0</v>
      </c>
      <c r="BF10" s="197">
        <f t="shared" si="15"/>
        <v>0</v>
      </c>
      <c r="BG10" s="197">
        <f t="shared" si="16"/>
        <v>0</v>
      </c>
      <c r="BH10" s="197">
        <f t="shared" si="17"/>
        <v>0</v>
      </c>
      <c r="BI10" s="197">
        <f t="shared" si="18"/>
        <v>0</v>
      </c>
      <c r="BJ10" s="197">
        <f t="shared" si="19"/>
        <v>0</v>
      </c>
      <c r="BK10" s="197">
        <f t="shared" si="20"/>
        <v>0</v>
      </c>
      <c r="BL10" s="197">
        <f t="shared" si="21"/>
        <v>0</v>
      </c>
      <c r="BM10" s="197">
        <f t="shared" si="22"/>
        <v>0</v>
      </c>
      <c r="BN10" s="197">
        <f t="shared" si="23"/>
        <v>0</v>
      </c>
      <c r="BO10" s="197">
        <f t="shared" si="24"/>
        <v>0</v>
      </c>
      <c r="BP10" s="197">
        <f t="shared" si="25"/>
        <v>0</v>
      </c>
      <c r="BQ10" s="197">
        <f t="shared" si="26"/>
        <v>0</v>
      </c>
      <c r="BR10" s="211"/>
      <c r="BS10" s="195">
        <f t="shared" si="0"/>
        <v>0</v>
      </c>
      <c r="BT10" s="201">
        <f t="shared" si="1"/>
        <v>0</v>
      </c>
      <c r="BU10" s="201">
        <f>第2期!AQ112*0.5</f>
        <v>0</v>
      </c>
      <c r="BV10" s="205" t="e">
        <f>AVERAGE(BT35:CI35)*初始化表!B$31</f>
        <v>#DIV/0!</v>
      </c>
      <c r="BW10" s="205" t="e">
        <f>$BT10*(AL112-BW$25)/BW$26*初始化表!B$30</f>
        <v>#DIV/0!</v>
      </c>
      <c r="BX10" s="205" t="e">
        <f>$BT10*(AM112-BX$25)/BX$26*初始化表!B$33</f>
        <v>#DIV/0!</v>
      </c>
      <c r="BY10" s="205" t="e">
        <f>$BT10*(AN112-BY$25)/BY$26*初始化表!B$32</f>
        <v>#DIV/0!</v>
      </c>
      <c r="BZ10" s="205" t="e">
        <f>$BT10*(AP112-BZ$25)/BZ$26*初始化表!B$34</f>
        <v>#DIV/0!</v>
      </c>
      <c r="CA10" s="205" t="e">
        <f>$BT$5*(AW112-CA$25)/CA$26*初始化表!B$36</f>
        <v>#DIV/0!</v>
      </c>
      <c r="CB10" s="205" t="e">
        <f t="shared" si="4"/>
        <v>#DIV/0!</v>
      </c>
      <c r="CC10" s="201">
        <f t="shared" si="5"/>
        <v>0</v>
      </c>
      <c r="CD10" s="229" t="e">
        <f t="shared" si="6"/>
        <v>#DIV/0!</v>
      </c>
      <c r="CE10" s="229">
        <f t="shared" si="7"/>
        <v>0</v>
      </c>
      <c r="CF10" s="229">
        <f t="shared" si="8"/>
        <v>0</v>
      </c>
      <c r="CG10" s="226"/>
      <c r="CH10" s="226"/>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c r="DP10" s="228"/>
      <c r="DQ10" s="228"/>
    </row>
    <row r="11" s="61" customFormat="1" ht="16" customHeight="1" spans="1:121">
      <c r="A11" s="269" t="s">
        <v>282</v>
      </c>
      <c r="B11" s="269" t="s">
        <v>513</v>
      </c>
      <c r="C11" s="269" t="s">
        <v>514</v>
      </c>
      <c r="D11" s="269" t="s">
        <v>515</v>
      </c>
      <c r="E11" s="269" t="s">
        <v>516</v>
      </c>
      <c r="F11" s="271" t="e">
        <f>F77</f>
        <v>#DIV/0!</v>
      </c>
      <c r="G11" s="73"/>
      <c r="H11" s="269" t="s">
        <v>532</v>
      </c>
      <c r="I11" s="270"/>
      <c r="J11" s="270"/>
      <c r="K11" s="270"/>
      <c r="L11" s="270"/>
      <c r="M11" s="85"/>
      <c r="N11" s="269" t="s">
        <v>202</v>
      </c>
      <c r="O11" s="89">
        <f>S11+T11</f>
        <v>0.03</v>
      </c>
      <c r="P11" s="89"/>
      <c r="Q11" s="89"/>
      <c r="R11" s="89"/>
      <c r="S11" s="433">
        <v>0.03</v>
      </c>
      <c r="T11" s="125">
        <f t="shared" si="29"/>
        <v>0</v>
      </c>
      <c r="U11" s="68" t="s">
        <v>464</v>
      </c>
      <c r="V11" s="115">
        <f>第2期!AO9</f>
        <v>0</v>
      </c>
      <c r="W11" s="115">
        <f>第2期!AO10</f>
        <v>0</v>
      </c>
      <c r="X11" s="115">
        <f>第2期!AO11</f>
        <v>0</v>
      </c>
      <c r="Y11" s="115">
        <f>第2期!AO12</f>
        <v>0</v>
      </c>
      <c r="Z11" s="74"/>
      <c r="AA11" s="73"/>
      <c r="AB11" s="151" t="s">
        <v>198</v>
      </c>
      <c r="AC11" s="153" t="e">
        <f t="shared" ref="AC11:AF14" si="30">B6-AD5</f>
        <v>#DIV/0!</v>
      </c>
      <c r="AD11" s="153" t="e">
        <f t="shared" si="30"/>
        <v>#DIV/0!</v>
      </c>
      <c r="AE11" s="153" t="e">
        <f t="shared" si="30"/>
        <v>#DIV/0!</v>
      </c>
      <c r="AF11" s="153" t="e">
        <f t="shared" si="30"/>
        <v>#DIV/0!</v>
      </c>
      <c r="AG11" s="306" t="str">
        <f>IF(AJ24="","未粘报表",IF(AND(V72=AQ9,W72=AQ10,X72=AQ11,Y72=AQ12,V73=AQ13,W73=AQ14,X73=AQ15,Y73=AQ16,V74=AQ17,W74=AQ18,X74=AQ19,Y74=AQ20,V75=AQ21,W75=AQ22,X75=AQ23,Y75=AQ24),"正确","错误"))</f>
        <v>未粘报表</v>
      </c>
      <c r="AH11" s="170" t="str">
        <f>IF(AJ24="","未粘报表",IF(INT(VLOOKUP(初期!$G$52,$AI$107:$AQ$126,7,0))=INT(F64),"现金正确","现金错误"))</f>
        <v>未粘报表</v>
      </c>
      <c r="AI11" s="359"/>
      <c r="AJ11" s="359"/>
      <c r="AK11" s="360"/>
      <c r="AL11" s="360">
        <f>X42</f>
        <v>0</v>
      </c>
      <c r="AM11" s="361"/>
      <c r="AN11" s="362"/>
      <c r="AO11" s="360"/>
      <c r="AP11" s="360"/>
      <c r="AQ11" s="369"/>
      <c r="AR11" s="103"/>
      <c r="AS11" s="103">
        <f t="shared" si="27"/>
        <v>0</v>
      </c>
      <c r="AT11" s="103"/>
      <c r="AU11" s="103"/>
      <c r="AV11" s="103"/>
      <c r="AW11" s="103"/>
      <c r="AZ11" s="193"/>
      <c r="BA11" s="196">
        <f t="shared" si="10"/>
        <v>0</v>
      </c>
      <c r="BB11" s="443">
        <f t="shared" si="11"/>
        <v>0</v>
      </c>
      <c r="BC11" s="197">
        <f t="shared" si="12"/>
        <v>0</v>
      </c>
      <c r="BD11" s="197">
        <f t="shared" si="13"/>
        <v>0</v>
      </c>
      <c r="BE11" s="197">
        <f t="shared" si="14"/>
        <v>0</v>
      </c>
      <c r="BF11" s="197">
        <f t="shared" si="15"/>
        <v>0</v>
      </c>
      <c r="BG11" s="197">
        <f t="shared" si="16"/>
        <v>0</v>
      </c>
      <c r="BH11" s="197">
        <f t="shared" si="17"/>
        <v>0</v>
      </c>
      <c r="BI11" s="197">
        <f t="shared" si="18"/>
        <v>0</v>
      </c>
      <c r="BJ11" s="197">
        <f t="shared" si="19"/>
        <v>0</v>
      </c>
      <c r="BK11" s="197">
        <f t="shared" si="20"/>
        <v>0</v>
      </c>
      <c r="BL11" s="197">
        <f t="shared" si="21"/>
        <v>0</v>
      </c>
      <c r="BM11" s="197">
        <f t="shared" si="22"/>
        <v>0</v>
      </c>
      <c r="BN11" s="197">
        <f t="shared" si="23"/>
        <v>0</v>
      </c>
      <c r="BO11" s="197">
        <f t="shared" si="24"/>
        <v>0</v>
      </c>
      <c r="BP11" s="197">
        <f t="shared" si="25"/>
        <v>0</v>
      </c>
      <c r="BQ11" s="197">
        <f t="shared" si="26"/>
        <v>0</v>
      </c>
      <c r="BR11" s="211"/>
      <c r="BS11" s="195">
        <f t="shared" si="0"/>
        <v>0</v>
      </c>
      <c r="BT11" s="201">
        <f t="shared" si="1"/>
        <v>0</v>
      </c>
      <c r="BU11" s="201">
        <f>第2期!AQ113*0.5</f>
        <v>0</v>
      </c>
      <c r="BV11" s="205" t="e">
        <f>AVERAGE(BT36:CI36)*初始化表!B$31</f>
        <v>#DIV/0!</v>
      </c>
      <c r="BW11" s="205" t="e">
        <f>$BT11*(AL113-BW$25)/BW$26*初始化表!B$30</f>
        <v>#DIV/0!</v>
      </c>
      <c r="BX11" s="205" t="e">
        <f>$BT11*(AM113-BX$25)/BX$26*初始化表!B$33</f>
        <v>#DIV/0!</v>
      </c>
      <c r="BY11" s="205" t="e">
        <f>$BT11*(AN113-BY$25)/BY$26*初始化表!B$32</f>
        <v>#DIV/0!</v>
      </c>
      <c r="BZ11" s="205" t="e">
        <f>$BT11*(AP113-BZ$25)/BZ$26*初始化表!B$34</f>
        <v>#DIV/0!</v>
      </c>
      <c r="CA11" s="205" t="e">
        <f>$BT$5*(AW113-CA$25)/CA$26*初始化表!B$36</f>
        <v>#DIV/0!</v>
      </c>
      <c r="CB11" s="205" t="e">
        <f t="shared" si="4"/>
        <v>#DIV/0!</v>
      </c>
      <c r="CC11" s="201">
        <f t="shared" si="5"/>
        <v>0</v>
      </c>
      <c r="CD11" s="229" t="e">
        <f t="shared" si="6"/>
        <v>#DIV/0!</v>
      </c>
      <c r="CE11" s="229">
        <f t="shared" si="7"/>
        <v>0</v>
      </c>
      <c r="CF11" s="229">
        <f t="shared" si="8"/>
        <v>0</v>
      </c>
      <c r="CG11" s="226"/>
      <c r="CH11" s="226"/>
      <c r="CI11" s="227"/>
      <c r="CJ11" s="228"/>
      <c r="CK11" s="227"/>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row>
    <row r="12" s="61" customFormat="1" ht="16" customHeight="1" spans="1:121">
      <c r="A12" s="269" t="s">
        <v>521</v>
      </c>
      <c r="B12" s="71">
        <f>I63</f>
        <v>0</v>
      </c>
      <c r="C12" s="71">
        <f t="shared" ref="C12:E15" si="31">J63</f>
        <v>0</v>
      </c>
      <c r="D12" s="71">
        <f t="shared" si="31"/>
        <v>0</v>
      </c>
      <c r="E12" s="71">
        <f t="shared" si="31"/>
        <v>0</v>
      </c>
      <c r="F12" s="269" t="s">
        <v>292</v>
      </c>
      <c r="G12" s="73"/>
      <c r="H12" s="269" t="s">
        <v>533</v>
      </c>
      <c r="I12" s="269" t="s">
        <v>521</v>
      </c>
      <c r="J12" s="269" t="s">
        <v>522</v>
      </c>
      <c r="K12" s="269" t="s">
        <v>523</v>
      </c>
      <c r="L12" s="269" t="s">
        <v>524</v>
      </c>
      <c r="M12" s="85"/>
      <c r="N12" s="269" t="s">
        <v>206</v>
      </c>
      <c r="O12" s="89">
        <f>S12+T12</f>
        <v>0.035</v>
      </c>
      <c r="P12" s="89"/>
      <c r="Q12" s="89"/>
      <c r="R12" s="89"/>
      <c r="S12" s="433">
        <v>0.035</v>
      </c>
      <c r="T12" s="125">
        <f t="shared" si="29"/>
        <v>0</v>
      </c>
      <c r="U12" s="68" t="s">
        <v>465</v>
      </c>
      <c r="V12" s="115">
        <f>第2期!AO13</f>
        <v>0</v>
      </c>
      <c r="W12" s="115">
        <f>第2期!AO14</f>
        <v>0</v>
      </c>
      <c r="X12" s="115">
        <f>第2期!AO15</f>
        <v>0</v>
      </c>
      <c r="Y12" s="115">
        <f>第2期!AO16</f>
        <v>0</v>
      </c>
      <c r="Z12" s="74"/>
      <c r="AA12" s="73"/>
      <c r="AB12" s="151" t="s">
        <v>202</v>
      </c>
      <c r="AC12" s="153" t="e">
        <f t="shared" si="30"/>
        <v>#DIV/0!</v>
      </c>
      <c r="AD12" s="153" t="e">
        <f t="shared" si="30"/>
        <v>#DIV/0!</v>
      </c>
      <c r="AE12" s="153" t="e">
        <f t="shared" si="30"/>
        <v>#DIV/0!</v>
      </c>
      <c r="AF12" s="153" t="e">
        <f t="shared" si="30"/>
        <v>#DIV/0!</v>
      </c>
      <c r="AG12" s="305" t="s">
        <v>534</v>
      </c>
      <c r="AH12" s="168" t="s">
        <v>535</v>
      </c>
      <c r="AI12" s="359"/>
      <c r="AJ12" s="359"/>
      <c r="AK12" s="360"/>
      <c r="AL12" s="360">
        <f>Y42</f>
        <v>0</v>
      </c>
      <c r="AM12" s="361"/>
      <c r="AN12" s="362"/>
      <c r="AO12" s="360"/>
      <c r="AP12" s="360"/>
      <c r="AQ12" s="369"/>
      <c r="AR12" s="103">
        <f>SUM(AL9:AL12)</f>
        <v>0</v>
      </c>
      <c r="AS12" s="103">
        <f t="shared" si="27"/>
        <v>0</v>
      </c>
      <c r="AT12" s="103">
        <f>SUMIF(AS9:AS12,"&gt;=0",AS9:AS12)</f>
        <v>0</v>
      </c>
      <c r="AU12" s="103">
        <f>SUM(AO9:AO12)</f>
        <v>0</v>
      </c>
      <c r="AV12" s="103">
        <f>SUM(AP9:AP12)</f>
        <v>0</v>
      </c>
      <c r="AW12" s="103">
        <f>SUM(AQ9:AQ12)</f>
        <v>0</v>
      </c>
      <c r="AZ12" s="193"/>
      <c r="BA12" s="196">
        <f t="shared" si="10"/>
        <v>0</v>
      </c>
      <c r="BB12" s="443">
        <f t="shared" si="11"/>
        <v>0</v>
      </c>
      <c r="BC12" s="197">
        <f t="shared" si="12"/>
        <v>0</v>
      </c>
      <c r="BD12" s="197">
        <f t="shared" si="13"/>
        <v>0</v>
      </c>
      <c r="BE12" s="197">
        <f t="shared" si="14"/>
        <v>0</v>
      </c>
      <c r="BF12" s="197">
        <f t="shared" si="15"/>
        <v>0</v>
      </c>
      <c r="BG12" s="197">
        <f t="shared" si="16"/>
        <v>0</v>
      </c>
      <c r="BH12" s="197">
        <f t="shared" si="17"/>
        <v>0</v>
      </c>
      <c r="BI12" s="197">
        <f t="shared" si="18"/>
        <v>0</v>
      </c>
      <c r="BJ12" s="197">
        <f t="shared" si="19"/>
        <v>0</v>
      </c>
      <c r="BK12" s="197">
        <f t="shared" si="20"/>
        <v>0</v>
      </c>
      <c r="BL12" s="197">
        <f t="shared" si="21"/>
        <v>0</v>
      </c>
      <c r="BM12" s="197">
        <f t="shared" si="22"/>
        <v>0</v>
      </c>
      <c r="BN12" s="197">
        <f t="shared" si="23"/>
        <v>0</v>
      </c>
      <c r="BO12" s="197">
        <f t="shared" si="24"/>
        <v>0</v>
      </c>
      <c r="BP12" s="197">
        <f t="shared" si="25"/>
        <v>0</v>
      </c>
      <c r="BQ12" s="197">
        <f t="shared" si="26"/>
        <v>0</v>
      </c>
      <c r="BR12" s="211"/>
      <c r="BS12" s="195">
        <f t="shared" si="0"/>
        <v>0</v>
      </c>
      <c r="BT12" s="201">
        <f t="shared" si="1"/>
        <v>0</v>
      </c>
      <c r="BU12" s="201">
        <f>第2期!AQ114*0.5</f>
        <v>0</v>
      </c>
      <c r="BV12" s="205" t="e">
        <f>AVERAGE(BT37:CI37)*初始化表!B$31</f>
        <v>#DIV/0!</v>
      </c>
      <c r="BW12" s="205" t="e">
        <f>$BT12*(AL114-BW$25)/BW$26*初始化表!B$30</f>
        <v>#DIV/0!</v>
      </c>
      <c r="BX12" s="205" t="e">
        <f>$BT12*(AM114-BX$25)/BX$26*初始化表!B$33</f>
        <v>#DIV/0!</v>
      </c>
      <c r="BY12" s="205" t="e">
        <f>$BT12*(AN114-BY$25)/BY$26*初始化表!B$32</f>
        <v>#DIV/0!</v>
      </c>
      <c r="BZ12" s="205" t="e">
        <f>$BT12*(AP114-BZ$25)/BZ$26*初始化表!B$34</f>
        <v>#DIV/0!</v>
      </c>
      <c r="CA12" s="205" t="e">
        <f>$BT$5*(AW114-CA$25)/CA$26*初始化表!B$36</f>
        <v>#DIV/0!</v>
      </c>
      <c r="CB12" s="205" t="e">
        <f t="shared" si="4"/>
        <v>#DIV/0!</v>
      </c>
      <c r="CC12" s="201">
        <f t="shared" si="5"/>
        <v>0</v>
      </c>
      <c r="CD12" s="229" t="e">
        <f t="shared" si="6"/>
        <v>#DIV/0!</v>
      </c>
      <c r="CE12" s="229">
        <f t="shared" si="7"/>
        <v>0</v>
      </c>
      <c r="CF12" s="229">
        <f t="shared" si="8"/>
        <v>0</v>
      </c>
      <c r="CG12" s="226"/>
      <c r="CH12" s="226"/>
      <c r="CI12" s="231"/>
      <c r="CJ12" s="231"/>
      <c r="CK12" s="231"/>
      <c r="CL12" s="231"/>
      <c r="CM12" s="231"/>
      <c r="CN12" s="231"/>
      <c r="CO12" s="231"/>
      <c r="CP12" s="231"/>
      <c r="CQ12" s="231"/>
      <c r="CR12" s="231"/>
      <c r="CS12" s="231"/>
      <c r="CT12" s="231"/>
      <c r="CU12" s="231"/>
      <c r="CV12" s="231"/>
      <c r="CW12" s="231"/>
      <c r="CX12" s="231"/>
      <c r="CY12" s="231"/>
      <c r="CZ12" s="231"/>
      <c r="DA12" s="228"/>
      <c r="DB12" s="228"/>
      <c r="DC12" s="228"/>
      <c r="DD12" s="228"/>
      <c r="DE12" s="228"/>
      <c r="DF12" s="228"/>
      <c r="DG12" s="228"/>
      <c r="DH12" s="228"/>
      <c r="DI12" s="228"/>
      <c r="DJ12" s="228"/>
      <c r="DK12" s="228"/>
      <c r="DL12" s="228"/>
      <c r="DM12" s="228"/>
      <c r="DN12" s="228"/>
      <c r="DO12" s="228"/>
      <c r="DP12" s="228"/>
      <c r="DQ12" s="228"/>
    </row>
    <row r="13" s="61" customFormat="1" ht="16" customHeight="1" spans="1:121">
      <c r="A13" s="269" t="s">
        <v>522</v>
      </c>
      <c r="B13" s="71">
        <f t="shared" ref="B13:B15" si="32">I64</f>
        <v>0</v>
      </c>
      <c r="C13" s="71">
        <f t="shared" si="31"/>
        <v>0</v>
      </c>
      <c r="D13" s="71">
        <f t="shared" si="31"/>
        <v>0</v>
      </c>
      <c r="E13" s="71">
        <f t="shared" si="31"/>
        <v>0</v>
      </c>
      <c r="F13" s="272" t="e">
        <f>E60</f>
        <v>#DIV/0!</v>
      </c>
      <c r="G13" s="73"/>
      <c r="H13" s="269" t="s">
        <v>536</v>
      </c>
      <c r="I13" s="90">
        <v>8</v>
      </c>
      <c r="J13" s="90"/>
      <c r="K13" s="90">
        <v>1</v>
      </c>
      <c r="L13" s="90">
        <v>1</v>
      </c>
      <c r="M13" s="85"/>
      <c r="N13" s="269" t="s">
        <v>208</v>
      </c>
      <c r="O13" s="89">
        <f>S13+T13</f>
        <v>0.05</v>
      </c>
      <c r="P13" s="89"/>
      <c r="Q13" s="89"/>
      <c r="R13" s="89"/>
      <c r="S13" s="433">
        <v>0.05</v>
      </c>
      <c r="T13" s="125">
        <f t="shared" si="29"/>
        <v>0</v>
      </c>
      <c r="U13" s="68" t="s">
        <v>466</v>
      </c>
      <c r="V13" s="115">
        <f>第2期!AO17</f>
        <v>0</v>
      </c>
      <c r="W13" s="115">
        <f>第2期!AO18</f>
        <v>0</v>
      </c>
      <c r="X13" s="115">
        <f>第2期!AO19</f>
        <v>0</v>
      </c>
      <c r="Y13" s="115">
        <f>第2期!AO20</f>
        <v>0</v>
      </c>
      <c r="Z13" s="74"/>
      <c r="AA13" s="73"/>
      <c r="AB13" s="151" t="s">
        <v>206</v>
      </c>
      <c r="AC13" s="153" t="e">
        <f t="shared" si="30"/>
        <v>#DIV/0!</v>
      </c>
      <c r="AD13" s="153" t="e">
        <f t="shared" si="30"/>
        <v>#DIV/0!</v>
      </c>
      <c r="AE13" s="153" t="e">
        <f t="shared" si="30"/>
        <v>#DIV/0!</v>
      </c>
      <c r="AF13" s="153" t="e">
        <f t="shared" si="30"/>
        <v>#DIV/0!</v>
      </c>
      <c r="AG13" s="306" t="str">
        <f>IF(AJ24="","未粘报表",IF(INT(VLOOKUP(初期!$G$52,$AI$107:$AQ$126,3,0))=INT($E$60),"成本正确","成本错误"))</f>
        <v>未粘报表</v>
      </c>
      <c r="AH13" s="170" t="str">
        <f>IF(AJ24="","未粘报表",IF(INT(VLOOKUP(初期!$G$52,$AI$107:$AQ$126,6,0))=INT($F$81),"分红正确","分红错误"))</f>
        <v>未粘报表</v>
      </c>
      <c r="AI13" s="359"/>
      <c r="AJ13" s="359"/>
      <c r="AK13" s="360"/>
      <c r="AL13" s="360">
        <f>V43</f>
        <v>0</v>
      </c>
      <c r="AM13" s="361"/>
      <c r="AN13" s="362"/>
      <c r="AO13" s="360"/>
      <c r="AP13" s="360"/>
      <c r="AQ13" s="369"/>
      <c r="AR13" s="103"/>
      <c r="AS13" s="103">
        <f t="shared" si="27"/>
        <v>0</v>
      </c>
      <c r="AT13" s="103"/>
      <c r="AU13" s="103"/>
      <c r="AV13" s="103"/>
      <c r="AW13" s="103"/>
      <c r="AZ13" s="193"/>
      <c r="BA13" s="196">
        <f t="shared" si="10"/>
        <v>0</v>
      </c>
      <c r="BB13" s="443">
        <f t="shared" si="11"/>
        <v>0</v>
      </c>
      <c r="BC13" s="197">
        <f t="shared" si="12"/>
        <v>0</v>
      </c>
      <c r="BD13" s="197">
        <f t="shared" si="13"/>
        <v>0</v>
      </c>
      <c r="BE13" s="197">
        <f t="shared" si="14"/>
        <v>0</v>
      </c>
      <c r="BF13" s="197">
        <f t="shared" si="15"/>
        <v>0</v>
      </c>
      <c r="BG13" s="197">
        <f t="shared" si="16"/>
        <v>0</v>
      </c>
      <c r="BH13" s="197">
        <f t="shared" si="17"/>
        <v>0</v>
      </c>
      <c r="BI13" s="197">
        <f t="shared" si="18"/>
        <v>0</v>
      </c>
      <c r="BJ13" s="197">
        <f t="shared" si="19"/>
        <v>0</v>
      </c>
      <c r="BK13" s="197">
        <f t="shared" si="20"/>
        <v>0</v>
      </c>
      <c r="BL13" s="197">
        <f t="shared" si="21"/>
        <v>0</v>
      </c>
      <c r="BM13" s="197">
        <f t="shared" si="22"/>
        <v>0</v>
      </c>
      <c r="BN13" s="197">
        <f t="shared" si="23"/>
        <v>0</v>
      </c>
      <c r="BO13" s="197">
        <f t="shared" si="24"/>
        <v>0</v>
      </c>
      <c r="BP13" s="197">
        <f t="shared" si="25"/>
        <v>0</v>
      </c>
      <c r="BQ13" s="197">
        <f t="shared" si="26"/>
        <v>0</v>
      </c>
      <c r="BR13" s="211"/>
      <c r="BS13" s="195">
        <f t="shared" si="0"/>
        <v>0</v>
      </c>
      <c r="BT13" s="201">
        <f t="shared" si="1"/>
        <v>0</v>
      </c>
      <c r="BU13" s="201">
        <f>第2期!AQ115*0.5</f>
        <v>0</v>
      </c>
      <c r="BV13" s="205" t="e">
        <f>AVERAGE(BT38:CI38)*初始化表!B$31</f>
        <v>#DIV/0!</v>
      </c>
      <c r="BW13" s="205" t="e">
        <f>$BT13*(AL115-BW$25)/BW$26*初始化表!B$30</f>
        <v>#DIV/0!</v>
      </c>
      <c r="BX13" s="205" t="e">
        <f>$BT13*(AM115-BX$25)/BX$26*初始化表!B$33</f>
        <v>#DIV/0!</v>
      </c>
      <c r="BY13" s="205" t="e">
        <f>$BT13*(AN115-BY$25)/BY$26*初始化表!B$32</f>
        <v>#DIV/0!</v>
      </c>
      <c r="BZ13" s="205" t="e">
        <f>$BT13*(AP115-BZ$25)/BZ$26*初始化表!B$34</f>
        <v>#DIV/0!</v>
      </c>
      <c r="CA13" s="205" t="e">
        <f>$BT$5*(AW115-CA$25)/CA$26*初始化表!B$36</f>
        <v>#DIV/0!</v>
      </c>
      <c r="CB13" s="205" t="e">
        <f t="shared" si="4"/>
        <v>#DIV/0!</v>
      </c>
      <c r="CC13" s="201">
        <f t="shared" si="5"/>
        <v>0</v>
      </c>
      <c r="CD13" s="229" t="e">
        <f t="shared" si="6"/>
        <v>#DIV/0!</v>
      </c>
      <c r="CE13" s="229">
        <f t="shared" si="7"/>
        <v>0</v>
      </c>
      <c r="CF13" s="229">
        <f t="shared" si="8"/>
        <v>0</v>
      </c>
      <c r="CG13" s="226"/>
      <c r="CH13" s="226"/>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row>
    <row r="14" s="61" customFormat="1" ht="16" customHeight="1" spans="1:121">
      <c r="A14" s="269" t="s">
        <v>523</v>
      </c>
      <c r="B14" s="71">
        <f t="shared" si="32"/>
        <v>0</v>
      </c>
      <c r="C14" s="71">
        <f t="shared" si="31"/>
        <v>0</v>
      </c>
      <c r="D14" s="71">
        <f t="shared" si="31"/>
        <v>0</v>
      </c>
      <c r="E14" s="71">
        <f t="shared" si="31"/>
        <v>0</v>
      </c>
      <c r="F14" s="269" t="s">
        <v>296</v>
      </c>
      <c r="G14" s="73"/>
      <c r="H14" s="269" t="s">
        <v>537</v>
      </c>
      <c r="I14" s="87" t="e">
        <f>2*(I13*初始化表!E18+J13*初始化表!F18+K13*初始化表!G18+初始化表!H18/初始化表!H17*(L13*初始化表!H17-1/5*(I13*初始化表!E17+J13*初始化表!F17+K13*初始化表!G17+L13*初始化表!H17)))/((I13*初始化表!E17+J13*初始化表!F17+K13*初始化表!G17+L13*初始化表!H17)*4/5)</f>
        <v>#DIV/0!</v>
      </c>
      <c r="J14" s="269" t="s">
        <v>538</v>
      </c>
      <c r="K14" s="269" t="s">
        <v>539</v>
      </c>
      <c r="L14" s="269" t="s">
        <v>540</v>
      </c>
      <c r="M14" s="85"/>
      <c r="N14" s="269" t="s">
        <v>541</v>
      </c>
      <c r="O14" s="269" t="s">
        <v>513</v>
      </c>
      <c r="P14" s="269" t="s">
        <v>514</v>
      </c>
      <c r="Q14" s="269" t="s">
        <v>515</v>
      </c>
      <c r="R14" s="269" t="s">
        <v>516</v>
      </c>
      <c r="S14" s="121"/>
      <c r="T14" s="120"/>
      <c r="U14" s="68" t="s">
        <v>468</v>
      </c>
      <c r="V14" s="115">
        <f>第2期!AO21</f>
        <v>0</v>
      </c>
      <c r="W14" s="115">
        <f>第2期!AO22</f>
        <v>0</v>
      </c>
      <c r="X14" s="115">
        <f>第2期!AO23</f>
        <v>0</v>
      </c>
      <c r="Y14" s="115">
        <f>第2期!AO24</f>
        <v>0</v>
      </c>
      <c r="Z14" s="74"/>
      <c r="AA14" s="73"/>
      <c r="AB14" s="151" t="s">
        <v>208</v>
      </c>
      <c r="AC14" s="153" t="e">
        <f t="shared" si="30"/>
        <v>#DIV/0!</v>
      </c>
      <c r="AD14" s="153" t="e">
        <f t="shared" si="30"/>
        <v>#DIV/0!</v>
      </c>
      <c r="AE14" s="153" t="e">
        <f t="shared" si="30"/>
        <v>#DIV/0!</v>
      </c>
      <c r="AF14" s="153" t="e">
        <f t="shared" si="30"/>
        <v>#DIV/0!</v>
      </c>
      <c r="AH14" s="425"/>
      <c r="AI14" s="359"/>
      <c r="AJ14" s="359"/>
      <c r="AK14" s="360"/>
      <c r="AL14" s="360">
        <f>W43</f>
        <v>0</v>
      </c>
      <c r="AM14" s="361"/>
      <c r="AN14" s="362"/>
      <c r="AO14" s="360"/>
      <c r="AP14" s="360"/>
      <c r="AQ14" s="369"/>
      <c r="AR14" s="103"/>
      <c r="AS14" s="103">
        <f t="shared" si="27"/>
        <v>0</v>
      </c>
      <c r="AT14" s="103"/>
      <c r="AU14" s="103"/>
      <c r="AV14" s="103"/>
      <c r="AW14" s="103"/>
      <c r="AZ14" s="193"/>
      <c r="BA14" s="196">
        <f t="shared" si="10"/>
        <v>0</v>
      </c>
      <c r="BB14" s="443">
        <f t="shared" si="11"/>
        <v>0</v>
      </c>
      <c r="BC14" s="197">
        <f t="shared" si="12"/>
        <v>0</v>
      </c>
      <c r="BD14" s="197">
        <f t="shared" si="13"/>
        <v>0</v>
      </c>
      <c r="BE14" s="197">
        <f t="shared" si="14"/>
        <v>0</v>
      </c>
      <c r="BF14" s="197">
        <f t="shared" si="15"/>
        <v>0</v>
      </c>
      <c r="BG14" s="197">
        <f t="shared" si="16"/>
        <v>0</v>
      </c>
      <c r="BH14" s="197">
        <f t="shared" si="17"/>
        <v>0</v>
      </c>
      <c r="BI14" s="197">
        <f t="shared" si="18"/>
        <v>0</v>
      </c>
      <c r="BJ14" s="197">
        <f t="shared" si="19"/>
        <v>0</v>
      </c>
      <c r="BK14" s="197">
        <f t="shared" si="20"/>
        <v>0</v>
      </c>
      <c r="BL14" s="197">
        <f t="shared" si="21"/>
        <v>0</v>
      </c>
      <c r="BM14" s="197">
        <f t="shared" si="22"/>
        <v>0</v>
      </c>
      <c r="BN14" s="197">
        <f t="shared" si="23"/>
        <v>0</v>
      </c>
      <c r="BO14" s="197">
        <f t="shared" si="24"/>
        <v>0</v>
      </c>
      <c r="BP14" s="197">
        <f t="shared" si="25"/>
        <v>0</v>
      </c>
      <c r="BQ14" s="197">
        <f t="shared" si="26"/>
        <v>0</v>
      </c>
      <c r="BR14" s="211"/>
      <c r="BS14" s="195">
        <f t="shared" si="0"/>
        <v>0</v>
      </c>
      <c r="BT14" s="201">
        <f t="shared" si="1"/>
        <v>0</v>
      </c>
      <c r="BU14" s="201">
        <f>第2期!AQ116*0.5</f>
        <v>0</v>
      </c>
      <c r="BV14" s="205" t="e">
        <f>AVERAGE(BT39:CI39)*初始化表!B$31</f>
        <v>#DIV/0!</v>
      </c>
      <c r="BW14" s="205" t="e">
        <f>$BT14*(AL116-BW$25)/BW$26*初始化表!B$30</f>
        <v>#DIV/0!</v>
      </c>
      <c r="BX14" s="205" t="e">
        <f>$BT14*(AM116-BX$25)/BX$26*初始化表!B$33</f>
        <v>#DIV/0!</v>
      </c>
      <c r="BY14" s="205" t="e">
        <f>$BT14*(AN116-BY$25)/BY$26*初始化表!B$32</f>
        <v>#DIV/0!</v>
      </c>
      <c r="BZ14" s="205" t="e">
        <f>$BT14*(AP116-BZ$25)/BZ$26*初始化表!B$34</f>
        <v>#DIV/0!</v>
      </c>
      <c r="CA14" s="205" t="e">
        <f>$BT$5*(AW116-CA$25)/CA$26*初始化表!B$36</f>
        <v>#DIV/0!</v>
      </c>
      <c r="CB14" s="205" t="e">
        <f t="shared" si="4"/>
        <v>#DIV/0!</v>
      </c>
      <c r="CC14" s="201">
        <f t="shared" si="5"/>
        <v>0</v>
      </c>
      <c r="CD14" s="229" t="e">
        <f t="shared" si="6"/>
        <v>#DIV/0!</v>
      </c>
      <c r="CE14" s="229">
        <f t="shared" si="7"/>
        <v>0</v>
      </c>
      <c r="CF14" s="229">
        <f t="shared" si="8"/>
        <v>0</v>
      </c>
      <c r="CG14" s="226"/>
      <c r="CH14" s="226"/>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c r="DP14" s="228"/>
      <c r="DQ14" s="228"/>
    </row>
    <row r="15" s="61" customFormat="1" ht="16" customHeight="1" spans="1:121">
      <c r="A15" s="269" t="s">
        <v>524</v>
      </c>
      <c r="B15" s="71">
        <f t="shared" si="32"/>
        <v>0</v>
      </c>
      <c r="C15" s="71">
        <f t="shared" si="31"/>
        <v>0</v>
      </c>
      <c r="D15" s="71">
        <f t="shared" si="31"/>
        <v>0</v>
      </c>
      <c r="E15" s="71">
        <f t="shared" si="31"/>
        <v>0</v>
      </c>
      <c r="F15" s="272" t="e">
        <f>F64</f>
        <v>#DIV/0!</v>
      </c>
      <c r="G15" s="73"/>
      <c r="H15" s="269" t="s">
        <v>542</v>
      </c>
      <c r="I15" s="87" t="e">
        <f>第2期!H17/第2期!N49</f>
        <v>#DIV/0!</v>
      </c>
      <c r="J15" s="87" t="e">
        <f>N49*I14-H17</f>
        <v>#DIV/0!</v>
      </c>
      <c r="K15" s="87" t="e">
        <f>N49*I15-H17</f>
        <v>#DIV/0!</v>
      </c>
      <c r="L15" s="77" t="e">
        <f>C22+I15*(O49-N49)</f>
        <v>#DIV/0!</v>
      </c>
      <c r="M15" s="85"/>
      <c r="N15" s="269" t="s">
        <v>198</v>
      </c>
      <c r="O15" s="71" t="e">
        <f t="shared" ref="O15:R16" si="33">INT((1+O10+IF(V42&gt;V17,(V17-V42)/V17/15,(V17-V42)/V17/10))*V23)</f>
        <v>#DIV/0!</v>
      </c>
      <c r="P15" s="71" t="e">
        <f t="shared" si="33"/>
        <v>#DIV/0!</v>
      </c>
      <c r="Q15" s="71" t="e">
        <f t="shared" si="33"/>
        <v>#DIV/0!</v>
      </c>
      <c r="R15" s="71" t="e">
        <f t="shared" si="33"/>
        <v>#DIV/0!</v>
      </c>
      <c r="S15" s="126"/>
      <c r="T15" s="120"/>
      <c r="U15" s="123"/>
      <c r="V15" s="74"/>
      <c r="W15" s="74"/>
      <c r="X15" s="74"/>
      <c r="Y15" s="74"/>
      <c r="Z15" s="74"/>
      <c r="AA15" s="73"/>
      <c r="AB15" s="155"/>
      <c r="AC15" s="155"/>
      <c r="AD15" s="155"/>
      <c r="AE15" s="155"/>
      <c r="AF15" s="155"/>
      <c r="AG15" s="155"/>
      <c r="AH15" s="73"/>
      <c r="AI15" s="359"/>
      <c r="AJ15" s="359"/>
      <c r="AK15" s="360"/>
      <c r="AL15" s="360">
        <f>X43</f>
        <v>0</v>
      </c>
      <c r="AM15" s="361"/>
      <c r="AN15" s="362"/>
      <c r="AO15" s="360"/>
      <c r="AP15" s="360"/>
      <c r="AQ15" s="369"/>
      <c r="AR15" s="103"/>
      <c r="AS15" s="103">
        <f t="shared" si="27"/>
        <v>0</v>
      </c>
      <c r="AT15" s="103"/>
      <c r="AU15" s="103"/>
      <c r="AV15" s="103"/>
      <c r="AW15" s="103"/>
      <c r="AZ15" s="193"/>
      <c r="BA15" s="196">
        <f t="shared" si="10"/>
        <v>0</v>
      </c>
      <c r="BB15" s="443">
        <f t="shared" si="11"/>
        <v>0</v>
      </c>
      <c r="BC15" s="197">
        <f t="shared" si="12"/>
        <v>0</v>
      </c>
      <c r="BD15" s="197">
        <f t="shared" si="13"/>
        <v>0</v>
      </c>
      <c r="BE15" s="197">
        <f t="shared" si="14"/>
        <v>0</v>
      </c>
      <c r="BF15" s="197">
        <f t="shared" si="15"/>
        <v>0</v>
      </c>
      <c r="BG15" s="197">
        <f t="shared" si="16"/>
        <v>0</v>
      </c>
      <c r="BH15" s="197">
        <f t="shared" si="17"/>
        <v>0</v>
      </c>
      <c r="BI15" s="197">
        <f t="shared" si="18"/>
        <v>0</v>
      </c>
      <c r="BJ15" s="197">
        <f t="shared" si="19"/>
        <v>0</v>
      </c>
      <c r="BK15" s="197">
        <f t="shared" si="20"/>
        <v>0</v>
      </c>
      <c r="BL15" s="197">
        <f t="shared" si="21"/>
        <v>0</v>
      </c>
      <c r="BM15" s="197">
        <f t="shared" si="22"/>
        <v>0</v>
      </c>
      <c r="BN15" s="197">
        <f t="shared" si="23"/>
        <v>0</v>
      </c>
      <c r="BO15" s="197">
        <f t="shared" si="24"/>
        <v>0</v>
      </c>
      <c r="BP15" s="197">
        <f t="shared" si="25"/>
        <v>0</v>
      </c>
      <c r="BQ15" s="197">
        <f t="shared" si="26"/>
        <v>0</v>
      </c>
      <c r="BR15" s="211"/>
      <c r="BS15" s="195">
        <f t="shared" si="0"/>
        <v>0</v>
      </c>
      <c r="BT15" s="201">
        <f t="shared" si="1"/>
        <v>0</v>
      </c>
      <c r="BU15" s="201">
        <f>第2期!AQ117*0.5</f>
        <v>0</v>
      </c>
      <c r="BV15" s="205" t="e">
        <f>AVERAGE(BT40:CI40)*初始化表!B$31</f>
        <v>#DIV/0!</v>
      </c>
      <c r="BW15" s="205" t="e">
        <f>$BT15*(AL117-BW$25)/BW$26*初始化表!B$30</f>
        <v>#DIV/0!</v>
      </c>
      <c r="BX15" s="205" t="e">
        <f>$BT15*(AM117-BX$25)/BX$26*初始化表!B$33</f>
        <v>#DIV/0!</v>
      </c>
      <c r="BY15" s="205" t="e">
        <f>$BT15*(AN117-BY$25)/BY$26*初始化表!B$32</f>
        <v>#DIV/0!</v>
      </c>
      <c r="BZ15" s="205" t="e">
        <f>$BT15*(AP117-BZ$25)/BZ$26*初始化表!B$34</f>
        <v>#DIV/0!</v>
      </c>
      <c r="CA15" s="205" t="e">
        <f>$BT$5*(AW117-CA$25)/CA$26*初始化表!B$36</f>
        <v>#DIV/0!</v>
      </c>
      <c r="CB15" s="205" t="e">
        <f t="shared" si="4"/>
        <v>#DIV/0!</v>
      </c>
      <c r="CC15" s="201">
        <f t="shared" si="5"/>
        <v>0</v>
      </c>
      <c r="CD15" s="229" t="e">
        <f t="shared" si="6"/>
        <v>#DIV/0!</v>
      </c>
      <c r="CE15" s="229">
        <f t="shared" si="7"/>
        <v>0</v>
      </c>
      <c r="CF15" s="229">
        <f t="shared" si="8"/>
        <v>0</v>
      </c>
      <c r="CG15" s="226"/>
      <c r="CH15" s="226"/>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c r="DP15" s="228"/>
      <c r="DQ15" s="228"/>
    </row>
    <row r="16" s="61" customFormat="1" ht="16" customHeight="1" spans="1:121">
      <c r="A16" s="269" t="s">
        <v>298</v>
      </c>
      <c r="B16" s="269" t="s">
        <v>103</v>
      </c>
      <c r="C16" s="269" t="s">
        <v>299</v>
      </c>
      <c r="D16" s="269" t="s">
        <v>104</v>
      </c>
      <c r="E16" s="269" t="s">
        <v>300</v>
      </c>
      <c r="F16" s="269" t="s">
        <v>110</v>
      </c>
      <c r="G16" s="73"/>
      <c r="H16" s="269" t="s">
        <v>543</v>
      </c>
      <c r="I16" s="269" t="s">
        <v>544</v>
      </c>
      <c r="J16" s="269" t="s">
        <v>545</v>
      </c>
      <c r="K16" s="269" t="s">
        <v>546</v>
      </c>
      <c r="L16" s="269" t="s">
        <v>547</v>
      </c>
      <c r="M16" s="85"/>
      <c r="N16" s="269" t="s">
        <v>202</v>
      </c>
      <c r="O16" s="71" t="e">
        <f t="shared" si="33"/>
        <v>#DIV/0!</v>
      </c>
      <c r="P16" s="71" t="e">
        <f t="shared" si="33"/>
        <v>#DIV/0!</v>
      </c>
      <c r="Q16" s="71" t="e">
        <f t="shared" si="33"/>
        <v>#DIV/0!</v>
      </c>
      <c r="R16" s="71" t="e">
        <f t="shared" si="33"/>
        <v>#DIV/0!</v>
      </c>
      <c r="S16" s="126"/>
      <c r="T16" s="120"/>
      <c r="U16" s="68" t="s">
        <v>548</v>
      </c>
      <c r="V16" s="68" t="s">
        <v>459</v>
      </c>
      <c r="W16" s="68" t="s">
        <v>460</v>
      </c>
      <c r="X16" s="68" t="s">
        <v>461</v>
      </c>
      <c r="Y16" s="68" t="s">
        <v>462</v>
      </c>
      <c r="Z16" s="68" t="s">
        <v>549</v>
      </c>
      <c r="AA16" s="73"/>
      <c r="AB16" s="151" t="s">
        <v>550</v>
      </c>
      <c r="AC16" s="151" t="s">
        <v>459</v>
      </c>
      <c r="AD16" s="151" t="s">
        <v>460</v>
      </c>
      <c r="AE16" s="151" t="s">
        <v>461</v>
      </c>
      <c r="AF16" s="151" t="s">
        <v>462</v>
      </c>
      <c r="AG16" s="74"/>
      <c r="AH16" s="73"/>
      <c r="AI16" s="359"/>
      <c r="AJ16" s="359"/>
      <c r="AK16" s="360"/>
      <c r="AL16" s="360">
        <f>Y43</f>
        <v>0</v>
      </c>
      <c r="AM16" s="361"/>
      <c r="AN16" s="362"/>
      <c r="AO16" s="360"/>
      <c r="AP16" s="360"/>
      <c r="AQ16" s="369"/>
      <c r="AR16" s="103">
        <f>SUM(AL13:AL16)</f>
        <v>0</v>
      </c>
      <c r="AS16" s="103">
        <f t="shared" si="27"/>
        <v>0</v>
      </c>
      <c r="AT16" s="103">
        <f>SUMIF(AS13:AS16,"&gt;=0",AS13:AS16)</f>
        <v>0</v>
      </c>
      <c r="AU16" s="103">
        <f>SUM(AO13:AO16)</f>
        <v>0</v>
      </c>
      <c r="AV16" s="103">
        <f>SUM(AP13:AP16)</f>
        <v>0</v>
      </c>
      <c r="AW16" s="103">
        <f>SUM(AQ13:AQ16)</f>
        <v>0</v>
      </c>
      <c r="AZ16" s="193"/>
      <c r="BA16" s="196">
        <f t="shared" si="10"/>
        <v>0</v>
      </c>
      <c r="BB16" s="443">
        <f t="shared" si="11"/>
        <v>0</v>
      </c>
      <c r="BC16" s="197">
        <f t="shared" si="12"/>
        <v>0</v>
      </c>
      <c r="BD16" s="197">
        <f t="shared" si="13"/>
        <v>0</v>
      </c>
      <c r="BE16" s="197">
        <f t="shared" si="14"/>
        <v>0</v>
      </c>
      <c r="BF16" s="197">
        <f t="shared" si="15"/>
        <v>0</v>
      </c>
      <c r="BG16" s="197">
        <f t="shared" si="16"/>
        <v>0</v>
      </c>
      <c r="BH16" s="197">
        <f t="shared" si="17"/>
        <v>0</v>
      </c>
      <c r="BI16" s="197">
        <f t="shared" si="18"/>
        <v>0</v>
      </c>
      <c r="BJ16" s="197">
        <f t="shared" si="19"/>
        <v>0</v>
      </c>
      <c r="BK16" s="197">
        <f t="shared" si="20"/>
        <v>0</v>
      </c>
      <c r="BL16" s="197">
        <f t="shared" si="21"/>
        <v>0</v>
      </c>
      <c r="BM16" s="197">
        <f t="shared" si="22"/>
        <v>0</v>
      </c>
      <c r="BN16" s="197">
        <f t="shared" si="23"/>
        <v>0</v>
      </c>
      <c r="BO16" s="197">
        <f t="shared" si="24"/>
        <v>0</v>
      </c>
      <c r="BP16" s="197">
        <f t="shared" si="25"/>
        <v>0</v>
      </c>
      <c r="BQ16" s="197">
        <f t="shared" si="26"/>
        <v>0</v>
      </c>
      <c r="BR16" s="211"/>
      <c r="BS16" s="195">
        <f t="shared" si="0"/>
        <v>0</v>
      </c>
      <c r="BT16" s="201">
        <f t="shared" si="1"/>
        <v>0</v>
      </c>
      <c r="BU16" s="201">
        <f>第2期!AQ118*0.5</f>
        <v>0</v>
      </c>
      <c r="BV16" s="205" t="e">
        <f>AVERAGE(BT41:CI41)*初始化表!B$31</f>
        <v>#DIV/0!</v>
      </c>
      <c r="BW16" s="205" t="e">
        <f>$BT16*(AL118-BW$25)/BW$26*初始化表!B$30</f>
        <v>#DIV/0!</v>
      </c>
      <c r="BX16" s="205" t="e">
        <f>$BT16*(AM118-BX$25)/BX$26*初始化表!B$33</f>
        <v>#DIV/0!</v>
      </c>
      <c r="BY16" s="205" t="e">
        <f>$BT16*(AN118-BY$25)/BY$26*初始化表!B$32</f>
        <v>#DIV/0!</v>
      </c>
      <c r="BZ16" s="205" t="e">
        <f>$BT16*(AP118-BZ$25)/BZ$26*初始化表!B$34</f>
        <v>#DIV/0!</v>
      </c>
      <c r="CA16" s="205" t="e">
        <f>$BT$5*(AW118-CA$25)/CA$26*初始化表!B$36</f>
        <v>#DIV/0!</v>
      </c>
      <c r="CB16" s="205" t="e">
        <f t="shared" si="4"/>
        <v>#DIV/0!</v>
      </c>
      <c r="CC16" s="201">
        <f t="shared" si="5"/>
        <v>0</v>
      </c>
      <c r="CD16" s="229" t="e">
        <f t="shared" si="6"/>
        <v>#DIV/0!</v>
      </c>
      <c r="CE16" s="229">
        <f t="shared" si="7"/>
        <v>0</v>
      </c>
      <c r="CF16" s="229">
        <f t="shared" si="8"/>
        <v>0</v>
      </c>
      <c r="CG16" s="226"/>
      <c r="CH16" s="226"/>
      <c r="CI16" s="227"/>
      <c r="CJ16" s="228"/>
      <c r="CK16" s="227"/>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c r="DQ16" s="228"/>
    </row>
    <row r="17" s="61" customFormat="1" ht="16" customHeight="1" spans="1:121">
      <c r="A17" s="269" t="s">
        <v>521</v>
      </c>
      <c r="B17" s="71">
        <f>I25</f>
        <v>0</v>
      </c>
      <c r="C17" s="71">
        <f t="shared" ref="C17:E20" si="34">J25</f>
        <v>0</v>
      </c>
      <c r="D17" s="71">
        <f t="shared" si="34"/>
        <v>0</v>
      </c>
      <c r="E17" s="71">
        <f t="shared" si="34"/>
        <v>0</v>
      </c>
      <c r="F17" s="72">
        <f>J6</f>
        <v>0</v>
      </c>
      <c r="G17" s="73"/>
      <c r="H17" s="77">
        <f>第2期!F68</f>
        <v>0</v>
      </c>
      <c r="I17" s="77">
        <f>INT(0.5*H17)</f>
        <v>0</v>
      </c>
      <c r="J17" s="77">
        <f>IF(初始化表!B1=1,INT(3%*H17),INT(3%*H17+0.99))</f>
        <v>0</v>
      </c>
      <c r="K17" s="77">
        <f>INT(0.1*H17)</f>
        <v>0</v>
      </c>
      <c r="L17" s="77">
        <f>H17+B22-C22</f>
        <v>0</v>
      </c>
      <c r="M17" s="85"/>
      <c r="N17" s="269" t="s">
        <v>206</v>
      </c>
      <c r="O17" s="71" t="e">
        <f t="shared" ref="O17:R18" si="35">INT((1+O12+IF(V44&gt;V19,(V19-V44)/V19/20,(V19-V44)/V19/8))*V25)</f>
        <v>#DIV/0!</v>
      </c>
      <c r="P17" s="71" t="e">
        <f t="shared" si="35"/>
        <v>#DIV/0!</v>
      </c>
      <c r="Q17" s="71" t="e">
        <f t="shared" si="35"/>
        <v>#DIV/0!</v>
      </c>
      <c r="R17" s="71" t="e">
        <f t="shared" si="35"/>
        <v>#DIV/0!</v>
      </c>
      <c r="S17" s="126"/>
      <c r="T17" s="120"/>
      <c r="U17" s="68" t="s">
        <v>464</v>
      </c>
      <c r="V17" s="115">
        <f>第2期!AL9</f>
        <v>0</v>
      </c>
      <c r="W17" s="115">
        <f>第2期!AL10</f>
        <v>0</v>
      </c>
      <c r="X17" s="115">
        <f>第2期!AL11</f>
        <v>0</v>
      </c>
      <c r="Y17" s="115">
        <f>第2期!AL12</f>
        <v>0</v>
      </c>
      <c r="Z17" s="398">
        <f>SUM(V17:Y17)</f>
        <v>0</v>
      </c>
      <c r="AA17" s="73"/>
      <c r="AB17" s="151" t="s">
        <v>198</v>
      </c>
      <c r="AC17" s="156" t="e">
        <f>AC11/初始化表!$E$18</f>
        <v>#DIV/0!</v>
      </c>
      <c r="AD17" s="156" t="e">
        <f>AD11/初始化表!$E$18</f>
        <v>#DIV/0!</v>
      </c>
      <c r="AE17" s="156" t="e">
        <f>AE11/初始化表!$E$18</f>
        <v>#DIV/0!</v>
      </c>
      <c r="AF17" s="156" t="e">
        <f>AF11/初始化表!$E$18</f>
        <v>#DIV/0!</v>
      </c>
      <c r="AG17" s="74"/>
      <c r="AH17" s="73"/>
      <c r="AI17" s="359"/>
      <c r="AJ17" s="359"/>
      <c r="AK17" s="360"/>
      <c r="AL17" s="360">
        <f>V44</f>
        <v>0</v>
      </c>
      <c r="AM17" s="361"/>
      <c r="AN17" s="362"/>
      <c r="AO17" s="360"/>
      <c r="AP17" s="360"/>
      <c r="AQ17" s="369"/>
      <c r="AR17" s="103"/>
      <c r="AS17" s="103">
        <f t="shared" si="27"/>
        <v>0</v>
      </c>
      <c r="AT17" s="103"/>
      <c r="AU17" s="103"/>
      <c r="AV17" s="103"/>
      <c r="AW17" s="103"/>
      <c r="AZ17" s="193"/>
      <c r="BA17" s="196">
        <f t="shared" si="10"/>
        <v>0</v>
      </c>
      <c r="BB17" s="443">
        <f t="shared" si="11"/>
        <v>0</v>
      </c>
      <c r="BC17" s="197">
        <f t="shared" si="12"/>
        <v>0</v>
      </c>
      <c r="BD17" s="197">
        <f t="shared" si="13"/>
        <v>0</v>
      </c>
      <c r="BE17" s="197">
        <f t="shared" si="14"/>
        <v>0</v>
      </c>
      <c r="BF17" s="197">
        <f t="shared" si="15"/>
        <v>0</v>
      </c>
      <c r="BG17" s="197">
        <f t="shared" si="16"/>
        <v>0</v>
      </c>
      <c r="BH17" s="197">
        <f t="shared" si="17"/>
        <v>0</v>
      </c>
      <c r="BI17" s="197">
        <f t="shared" si="18"/>
        <v>0</v>
      </c>
      <c r="BJ17" s="197">
        <f t="shared" si="19"/>
        <v>0</v>
      </c>
      <c r="BK17" s="197">
        <f t="shared" si="20"/>
        <v>0</v>
      </c>
      <c r="BL17" s="197">
        <f t="shared" si="21"/>
        <v>0</v>
      </c>
      <c r="BM17" s="197">
        <f t="shared" si="22"/>
        <v>0</v>
      </c>
      <c r="BN17" s="197">
        <f t="shared" si="23"/>
        <v>0</v>
      </c>
      <c r="BO17" s="197">
        <f t="shared" si="24"/>
        <v>0</v>
      </c>
      <c r="BP17" s="197">
        <f t="shared" si="25"/>
        <v>0</v>
      </c>
      <c r="BQ17" s="197">
        <f t="shared" si="26"/>
        <v>0</v>
      </c>
      <c r="BR17" s="211"/>
      <c r="BS17" s="195">
        <f t="shared" si="0"/>
        <v>0</v>
      </c>
      <c r="BT17" s="201">
        <f t="shared" si="1"/>
        <v>0</v>
      </c>
      <c r="BU17" s="201">
        <f>第2期!AQ119*0.5</f>
        <v>0</v>
      </c>
      <c r="BV17" s="205" t="e">
        <f>AVERAGE(BT42:CI42)*初始化表!B$31</f>
        <v>#DIV/0!</v>
      </c>
      <c r="BW17" s="205" t="e">
        <f>$BT17*(AL119-BW$25)/BW$26*初始化表!B$30</f>
        <v>#DIV/0!</v>
      </c>
      <c r="BX17" s="205" t="e">
        <f>$BT17*(AM119-BX$25)/BX$26*初始化表!B$33</f>
        <v>#DIV/0!</v>
      </c>
      <c r="BY17" s="205" t="e">
        <f>$BT17*(AN119-BY$25)/BY$26*初始化表!B$32</f>
        <v>#DIV/0!</v>
      </c>
      <c r="BZ17" s="205" t="e">
        <f>$BT17*(AP119-BZ$25)/BZ$26*初始化表!B$34</f>
        <v>#DIV/0!</v>
      </c>
      <c r="CA17" s="205" t="e">
        <f>$BT$5*(AW119-CA$25)/CA$26*初始化表!B$36</f>
        <v>#DIV/0!</v>
      </c>
      <c r="CB17" s="205" t="e">
        <f t="shared" si="4"/>
        <v>#DIV/0!</v>
      </c>
      <c r="CC17" s="201">
        <f t="shared" si="5"/>
        <v>0</v>
      </c>
      <c r="CD17" s="229" t="e">
        <f t="shared" si="6"/>
        <v>#DIV/0!</v>
      </c>
      <c r="CE17" s="229">
        <f t="shared" si="7"/>
        <v>0</v>
      </c>
      <c r="CF17" s="229">
        <f t="shared" si="8"/>
        <v>0</v>
      </c>
      <c r="CG17" s="226"/>
      <c r="CH17" s="226"/>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c r="DP17" s="228"/>
      <c r="DQ17" s="228"/>
    </row>
    <row r="18" s="61" customFormat="1" ht="16" customHeight="1" spans="1:121">
      <c r="A18" s="269" t="s">
        <v>522</v>
      </c>
      <c r="B18" s="71">
        <f t="shared" ref="B18:B20" si="36">I26</f>
        <v>0</v>
      </c>
      <c r="C18" s="71">
        <f t="shared" si="34"/>
        <v>0</v>
      </c>
      <c r="D18" s="71">
        <f t="shared" si="34"/>
        <v>0</v>
      </c>
      <c r="E18" s="71">
        <f t="shared" si="34"/>
        <v>0</v>
      </c>
      <c r="F18" s="72">
        <f t="shared" ref="F18:F20" si="37">J7</f>
        <v>0</v>
      </c>
      <c r="G18" s="73"/>
      <c r="H18" s="269" t="s">
        <v>551</v>
      </c>
      <c r="I18" s="93"/>
      <c r="J18" s="269" t="s">
        <v>552</v>
      </c>
      <c r="K18" s="93"/>
      <c r="L18" s="74"/>
      <c r="M18" s="85"/>
      <c r="N18" s="269" t="s">
        <v>208</v>
      </c>
      <c r="O18" s="71" t="e">
        <f t="shared" si="35"/>
        <v>#DIV/0!</v>
      </c>
      <c r="P18" s="71" t="e">
        <f>INT((1+P13+IF(W45&gt;W20,(W20-W45)/W20/20,(W20-W45)/W20/8))*W26)</f>
        <v>#DIV/0!</v>
      </c>
      <c r="Q18" s="71" t="e">
        <f t="shared" si="35"/>
        <v>#DIV/0!</v>
      </c>
      <c r="R18" s="71" t="e">
        <f t="shared" si="35"/>
        <v>#DIV/0!</v>
      </c>
      <c r="S18" s="126"/>
      <c r="T18" s="434" t="s">
        <v>725</v>
      </c>
      <c r="U18" s="68" t="s">
        <v>465</v>
      </c>
      <c r="V18" s="115">
        <f>第2期!AL13</f>
        <v>0</v>
      </c>
      <c r="W18" s="115">
        <f>第2期!AL14</f>
        <v>0</v>
      </c>
      <c r="X18" s="115">
        <f>第2期!AL15</f>
        <v>0</v>
      </c>
      <c r="Y18" s="115">
        <f>第2期!AL16</f>
        <v>0</v>
      </c>
      <c r="Z18" s="398">
        <f>SUM(V18:Y18)</f>
        <v>0</v>
      </c>
      <c r="AA18" s="73"/>
      <c r="AB18" s="151" t="s">
        <v>202</v>
      </c>
      <c r="AC18" s="156" t="e">
        <f>AC12/初始化表!$F$18</f>
        <v>#DIV/0!</v>
      </c>
      <c r="AD18" s="156" t="e">
        <f>AD12/初始化表!$F$18</f>
        <v>#DIV/0!</v>
      </c>
      <c r="AE18" s="156" t="e">
        <f>AE12/初始化表!$F$18</f>
        <v>#DIV/0!</v>
      </c>
      <c r="AF18" s="156" t="e">
        <f>AF12/初始化表!$F$18</f>
        <v>#DIV/0!</v>
      </c>
      <c r="AG18" s="74"/>
      <c r="AH18" s="73"/>
      <c r="AI18" s="359"/>
      <c r="AJ18" s="359"/>
      <c r="AK18" s="360"/>
      <c r="AL18" s="360">
        <f>W44</f>
        <v>0</v>
      </c>
      <c r="AM18" s="361"/>
      <c r="AN18" s="362"/>
      <c r="AO18" s="360"/>
      <c r="AP18" s="360"/>
      <c r="AQ18" s="369"/>
      <c r="AR18" s="103"/>
      <c r="AS18" s="103">
        <f t="shared" si="27"/>
        <v>0</v>
      </c>
      <c r="AT18" s="103"/>
      <c r="AU18" s="103"/>
      <c r="AV18" s="103"/>
      <c r="AW18" s="103"/>
      <c r="AZ18" s="193"/>
      <c r="BA18" s="196">
        <f t="shared" si="10"/>
        <v>0</v>
      </c>
      <c r="BB18" s="443">
        <f t="shared" si="11"/>
        <v>0</v>
      </c>
      <c r="BC18" s="197">
        <f t="shared" si="12"/>
        <v>0</v>
      </c>
      <c r="BD18" s="197">
        <f t="shared" si="13"/>
        <v>0</v>
      </c>
      <c r="BE18" s="197">
        <f t="shared" si="14"/>
        <v>0</v>
      </c>
      <c r="BF18" s="197">
        <f t="shared" si="15"/>
        <v>0</v>
      </c>
      <c r="BG18" s="197">
        <f t="shared" si="16"/>
        <v>0</v>
      </c>
      <c r="BH18" s="197">
        <f t="shared" si="17"/>
        <v>0</v>
      </c>
      <c r="BI18" s="197">
        <f t="shared" si="18"/>
        <v>0</v>
      </c>
      <c r="BJ18" s="197">
        <f t="shared" si="19"/>
        <v>0</v>
      </c>
      <c r="BK18" s="197">
        <f t="shared" si="20"/>
        <v>0</v>
      </c>
      <c r="BL18" s="197">
        <f t="shared" si="21"/>
        <v>0</v>
      </c>
      <c r="BM18" s="197">
        <f t="shared" si="22"/>
        <v>0</v>
      </c>
      <c r="BN18" s="197">
        <f t="shared" si="23"/>
        <v>0</v>
      </c>
      <c r="BO18" s="197">
        <f t="shared" si="24"/>
        <v>0</v>
      </c>
      <c r="BP18" s="197">
        <f t="shared" si="25"/>
        <v>0</v>
      </c>
      <c r="BQ18" s="197">
        <f t="shared" si="26"/>
        <v>0</v>
      </c>
      <c r="BR18" s="211"/>
      <c r="BS18" s="195">
        <f t="shared" si="0"/>
        <v>0</v>
      </c>
      <c r="BT18" s="201">
        <f t="shared" si="1"/>
        <v>0</v>
      </c>
      <c r="BU18" s="201">
        <f>第2期!AQ120*0.5</f>
        <v>0</v>
      </c>
      <c r="BV18" s="205" t="e">
        <f>AVERAGE(BT43:CI43)*初始化表!B$31</f>
        <v>#DIV/0!</v>
      </c>
      <c r="BW18" s="205" t="e">
        <f>$BT18*(AL120-BW$25)/BW$26*初始化表!B$30</f>
        <v>#DIV/0!</v>
      </c>
      <c r="BX18" s="205" t="e">
        <f>$BT18*(AM120-BX$25)/BX$26*初始化表!B$33</f>
        <v>#DIV/0!</v>
      </c>
      <c r="BY18" s="205" t="e">
        <f>$BT18*(AN120-BY$25)/BY$26*初始化表!B$32</f>
        <v>#DIV/0!</v>
      </c>
      <c r="BZ18" s="205" t="e">
        <f>$BT18*(AP120-BZ$25)/BZ$26*初始化表!B$34</f>
        <v>#DIV/0!</v>
      </c>
      <c r="CA18" s="205" t="e">
        <f>$BT$5*(AW120-CA$25)/CA$26*初始化表!B$36</f>
        <v>#DIV/0!</v>
      </c>
      <c r="CB18" s="205" t="e">
        <f t="shared" si="4"/>
        <v>#DIV/0!</v>
      </c>
      <c r="CC18" s="201">
        <f t="shared" si="5"/>
        <v>0</v>
      </c>
      <c r="CD18" s="229" t="e">
        <f t="shared" si="6"/>
        <v>#DIV/0!</v>
      </c>
      <c r="CE18" s="229">
        <f t="shared" si="7"/>
        <v>0</v>
      </c>
      <c r="CF18" s="229">
        <f t="shared" si="8"/>
        <v>0</v>
      </c>
      <c r="CG18" s="226"/>
      <c r="CH18" s="226"/>
      <c r="CI18" s="227"/>
      <c r="CJ18" s="228"/>
      <c r="CK18" s="227"/>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c r="DP18" s="228"/>
      <c r="DQ18" s="228"/>
    </row>
    <row r="19" s="61" customFormat="1" ht="16" customHeight="1" spans="1:121">
      <c r="A19" s="269" t="s">
        <v>523</v>
      </c>
      <c r="B19" s="71">
        <f t="shared" si="36"/>
        <v>0</v>
      </c>
      <c r="C19" s="71">
        <f t="shared" si="34"/>
        <v>0</v>
      </c>
      <c r="D19" s="71">
        <f t="shared" si="34"/>
        <v>0</v>
      </c>
      <c r="E19" s="71">
        <f t="shared" si="34"/>
        <v>0</v>
      </c>
      <c r="F19" s="72">
        <f t="shared" si="37"/>
        <v>0</v>
      </c>
      <c r="G19" s="73"/>
      <c r="H19" s="270"/>
      <c r="I19" s="269" t="s">
        <v>554</v>
      </c>
      <c r="J19" s="269" t="s">
        <v>555</v>
      </c>
      <c r="K19" s="269" t="s">
        <v>556</v>
      </c>
      <c r="L19" s="91"/>
      <c r="M19" s="85"/>
      <c r="N19" s="269" t="s">
        <v>557</v>
      </c>
      <c r="O19" s="269" t="s">
        <v>513</v>
      </c>
      <c r="P19" s="269" t="s">
        <v>514</v>
      </c>
      <c r="Q19" s="269" t="s">
        <v>515</v>
      </c>
      <c r="R19" s="269" t="s">
        <v>516</v>
      </c>
      <c r="S19" s="121"/>
      <c r="T19" s="434"/>
      <c r="U19" s="68" t="s">
        <v>466</v>
      </c>
      <c r="V19" s="115">
        <f>第2期!AL17</f>
        <v>0</v>
      </c>
      <c r="W19" s="115">
        <f>第2期!AL18</f>
        <v>0</v>
      </c>
      <c r="X19" s="115">
        <f>第2期!AL19</f>
        <v>0</v>
      </c>
      <c r="Y19" s="115">
        <f>第2期!AL20</f>
        <v>0</v>
      </c>
      <c r="Z19" s="398">
        <f>SUM(V19:Y19)</f>
        <v>0</v>
      </c>
      <c r="AA19" s="73"/>
      <c r="AB19" s="151" t="s">
        <v>206</v>
      </c>
      <c r="AC19" s="156" t="e">
        <f>AC13/初始化表!$G$18</f>
        <v>#DIV/0!</v>
      </c>
      <c r="AD19" s="156" t="e">
        <f>AD13/初始化表!$G$18</f>
        <v>#DIV/0!</v>
      </c>
      <c r="AE19" s="156" t="e">
        <f>AE13/初始化表!$G$18</f>
        <v>#DIV/0!</v>
      </c>
      <c r="AF19" s="156" t="e">
        <f>AF13/初始化表!$G$18</f>
        <v>#DIV/0!</v>
      </c>
      <c r="AG19" s="74"/>
      <c r="AH19" s="73"/>
      <c r="AI19" s="359"/>
      <c r="AJ19" s="359"/>
      <c r="AK19" s="360"/>
      <c r="AL19" s="360">
        <f>X44</f>
        <v>0</v>
      </c>
      <c r="AM19" s="361"/>
      <c r="AN19" s="362"/>
      <c r="AO19" s="360"/>
      <c r="AP19" s="360"/>
      <c r="AQ19" s="369"/>
      <c r="AR19" s="103"/>
      <c r="AS19" s="103">
        <f t="shared" si="27"/>
        <v>0</v>
      </c>
      <c r="AT19" s="103"/>
      <c r="AU19" s="103"/>
      <c r="AV19" s="103"/>
      <c r="AW19" s="103"/>
      <c r="AZ19" s="193"/>
      <c r="BA19" s="196">
        <f t="shared" si="10"/>
        <v>0</v>
      </c>
      <c r="BB19" s="443">
        <f t="shared" si="11"/>
        <v>0</v>
      </c>
      <c r="BC19" s="197">
        <f t="shared" si="12"/>
        <v>0</v>
      </c>
      <c r="BD19" s="197">
        <f t="shared" si="13"/>
        <v>0</v>
      </c>
      <c r="BE19" s="197">
        <f t="shared" si="14"/>
        <v>0</v>
      </c>
      <c r="BF19" s="197">
        <f t="shared" si="15"/>
        <v>0</v>
      </c>
      <c r="BG19" s="197">
        <f t="shared" si="16"/>
        <v>0</v>
      </c>
      <c r="BH19" s="197">
        <f t="shared" si="17"/>
        <v>0</v>
      </c>
      <c r="BI19" s="197">
        <f t="shared" si="18"/>
        <v>0</v>
      </c>
      <c r="BJ19" s="197">
        <f t="shared" si="19"/>
        <v>0</v>
      </c>
      <c r="BK19" s="197">
        <f t="shared" si="20"/>
        <v>0</v>
      </c>
      <c r="BL19" s="197">
        <f t="shared" si="21"/>
        <v>0</v>
      </c>
      <c r="BM19" s="197">
        <f t="shared" si="22"/>
        <v>0</v>
      </c>
      <c r="BN19" s="197">
        <f t="shared" si="23"/>
        <v>0</v>
      </c>
      <c r="BO19" s="197">
        <f t="shared" si="24"/>
        <v>0</v>
      </c>
      <c r="BP19" s="197">
        <f t="shared" si="25"/>
        <v>0</v>
      </c>
      <c r="BQ19" s="197">
        <f t="shared" si="26"/>
        <v>0</v>
      </c>
      <c r="BR19" s="211"/>
      <c r="BS19" s="195">
        <f t="shared" si="0"/>
        <v>0</v>
      </c>
      <c r="BT19" s="201">
        <f t="shared" si="1"/>
        <v>0</v>
      </c>
      <c r="BU19" s="201">
        <f>第2期!AQ121*0.5</f>
        <v>0</v>
      </c>
      <c r="BV19" s="205" t="e">
        <f>AVERAGE(BT44:CI44)*初始化表!B$31</f>
        <v>#DIV/0!</v>
      </c>
      <c r="BW19" s="205" t="e">
        <f>$BT19*(AL121-BW$25)/BW$26*初始化表!B$30</f>
        <v>#DIV/0!</v>
      </c>
      <c r="BX19" s="205" t="e">
        <f>$BT19*(AM121-BX$25)/BX$26*初始化表!B$33</f>
        <v>#DIV/0!</v>
      </c>
      <c r="BY19" s="205" t="e">
        <f>$BT19*(AN121-BY$25)/BY$26*初始化表!B$32</f>
        <v>#DIV/0!</v>
      </c>
      <c r="BZ19" s="205" t="e">
        <f>$BT19*(AP121-BZ$25)/BZ$26*初始化表!B$34</f>
        <v>#DIV/0!</v>
      </c>
      <c r="CA19" s="205" t="e">
        <f>$BT$5*(AW121-CA$25)/CA$26*初始化表!B$36</f>
        <v>#DIV/0!</v>
      </c>
      <c r="CB19" s="205" t="e">
        <f t="shared" si="4"/>
        <v>#DIV/0!</v>
      </c>
      <c r="CC19" s="201">
        <f t="shared" si="5"/>
        <v>0</v>
      </c>
      <c r="CD19" s="229" t="e">
        <f t="shared" si="6"/>
        <v>#DIV/0!</v>
      </c>
      <c r="CE19" s="229">
        <f t="shared" si="7"/>
        <v>0</v>
      </c>
      <c r="CF19" s="229">
        <f t="shared" si="8"/>
        <v>0</v>
      </c>
      <c r="CG19" s="226"/>
      <c r="CH19" s="226"/>
      <c r="CI19" s="228"/>
      <c r="CJ19" s="228"/>
      <c r="CK19" s="228"/>
      <c r="CL19" s="228"/>
      <c r="CM19" s="228"/>
      <c r="CN19" s="228"/>
      <c r="CO19" s="228"/>
      <c r="CP19" s="228"/>
      <c r="CQ19" s="228"/>
      <c r="CR19" s="228"/>
      <c r="CS19" s="228"/>
      <c r="CT19" s="228"/>
      <c r="CU19" s="228"/>
      <c r="CV19" s="228"/>
      <c r="CW19" s="228"/>
      <c r="CX19" s="228"/>
      <c r="CY19" s="228"/>
      <c r="CZ19" s="228"/>
      <c r="DA19" s="228"/>
      <c r="DB19" s="228"/>
      <c r="DC19" s="228"/>
      <c r="DD19" s="228"/>
      <c r="DE19" s="228"/>
      <c r="DF19" s="228"/>
      <c r="DG19" s="228"/>
      <c r="DH19" s="228"/>
      <c r="DI19" s="228"/>
      <c r="DJ19" s="228"/>
      <c r="DK19" s="228"/>
      <c r="DL19" s="228"/>
      <c r="DM19" s="228"/>
      <c r="DN19" s="228"/>
      <c r="DO19" s="228"/>
      <c r="DP19" s="228"/>
      <c r="DQ19" s="228"/>
    </row>
    <row r="20" s="61" customFormat="1" ht="16" customHeight="1" spans="1:121">
      <c r="A20" s="269" t="s">
        <v>524</v>
      </c>
      <c r="B20" s="71">
        <f t="shared" si="36"/>
        <v>0</v>
      </c>
      <c r="C20" s="71">
        <f t="shared" si="34"/>
        <v>0</v>
      </c>
      <c r="D20" s="71">
        <f t="shared" si="34"/>
        <v>0</v>
      </c>
      <c r="E20" s="71">
        <f t="shared" si="34"/>
        <v>0</v>
      </c>
      <c r="F20" s="72">
        <f t="shared" si="37"/>
        <v>0</v>
      </c>
      <c r="G20" s="73"/>
      <c r="H20" s="269" t="s">
        <v>558</v>
      </c>
      <c r="I20" s="92" t="e">
        <f>(H17-K18)/N49</f>
        <v>#DIV/0!</v>
      </c>
      <c r="J20" s="92" t="e">
        <f>(H17-K18+I17/4)/N49</f>
        <v>#DIV/0!</v>
      </c>
      <c r="K20" s="92" t="e">
        <f>(H17-K18+I18/4)/N49</f>
        <v>#DIV/0!</v>
      </c>
      <c r="L20" s="91"/>
      <c r="M20" s="85"/>
      <c r="N20" s="269" t="s">
        <v>198</v>
      </c>
      <c r="O20" s="93" t="e">
        <f>O15</f>
        <v>#DIV/0!</v>
      </c>
      <c r="P20" s="93" t="e">
        <f t="shared" ref="P20:R20" si="38">P15</f>
        <v>#DIV/0!</v>
      </c>
      <c r="Q20" s="93" t="e">
        <f t="shared" si="38"/>
        <v>#DIV/0!</v>
      </c>
      <c r="R20" s="93" t="e">
        <f t="shared" si="38"/>
        <v>#DIV/0!</v>
      </c>
      <c r="S20" s="128"/>
      <c r="T20" s="129" t="e">
        <f>MAX(AC23,AD23,AE23,AF23)-MIN(AC23,AD23,AE23,AF23)</f>
        <v>#DIV/0!</v>
      </c>
      <c r="U20" s="68" t="s">
        <v>468</v>
      </c>
      <c r="V20" s="115">
        <f>第2期!AL21</f>
        <v>0</v>
      </c>
      <c r="W20" s="115">
        <f>第2期!AL22</f>
        <v>0</v>
      </c>
      <c r="X20" s="115">
        <f>第2期!AL23</f>
        <v>0</v>
      </c>
      <c r="Y20" s="115">
        <f>第2期!AL24</f>
        <v>0</v>
      </c>
      <c r="Z20" s="398">
        <f>SUM(V20:Y20)</f>
        <v>0</v>
      </c>
      <c r="AA20" s="73"/>
      <c r="AB20" s="151" t="s">
        <v>208</v>
      </c>
      <c r="AC20" s="156" t="e">
        <f>AC14/初始化表!$H$18</f>
        <v>#DIV/0!</v>
      </c>
      <c r="AD20" s="156" t="e">
        <f>AD14/初始化表!$H$18</f>
        <v>#DIV/0!</v>
      </c>
      <c r="AE20" s="156" t="e">
        <f>AE14/初始化表!$H$18</f>
        <v>#DIV/0!</v>
      </c>
      <c r="AF20" s="156" t="e">
        <f>AF14/初始化表!$H$18</f>
        <v>#DIV/0!</v>
      </c>
      <c r="AG20" s="74"/>
      <c r="AH20" s="73"/>
      <c r="AI20" s="359"/>
      <c r="AJ20" s="359"/>
      <c r="AK20" s="360"/>
      <c r="AL20" s="360">
        <f>Y44</f>
        <v>0</v>
      </c>
      <c r="AM20" s="361"/>
      <c r="AN20" s="362"/>
      <c r="AO20" s="360"/>
      <c r="AP20" s="360"/>
      <c r="AQ20" s="369"/>
      <c r="AR20" s="103">
        <f>SUM(AL17:AL20)</f>
        <v>0</v>
      </c>
      <c r="AS20" s="103">
        <f t="shared" si="27"/>
        <v>0</v>
      </c>
      <c r="AT20" s="103">
        <f>SUMIF(AS17:AS20,"&gt;=0",AS17:AS20)</f>
        <v>0</v>
      </c>
      <c r="AU20" s="103">
        <f>SUM(AO17:AO20)</f>
        <v>0</v>
      </c>
      <c r="AV20" s="103">
        <f>SUM(AP17:AP20)</f>
        <v>0</v>
      </c>
      <c r="AW20" s="103">
        <f>SUM(AQ17:AQ20)</f>
        <v>0</v>
      </c>
      <c r="AZ20" s="193"/>
      <c r="BA20" s="196">
        <f t="shared" si="10"/>
        <v>0</v>
      </c>
      <c r="BB20" s="443">
        <f t="shared" si="11"/>
        <v>0</v>
      </c>
      <c r="BC20" s="197">
        <f t="shared" si="12"/>
        <v>0</v>
      </c>
      <c r="BD20" s="197">
        <f t="shared" si="13"/>
        <v>0</v>
      </c>
      <c r="BE20" s="197">
        <f t="shared" si="14"/>
        <v>0</v>
      </c>
      <c r="BF20" s="197">
        <f t="shared" si="15"/>
        <v>0</v>
      </c>
      <c r="BG20" s="197">
        <f t="shared" si="16"/>
        <v>0</v>
      </c>
      <c r="BH20" s="197">
        <f t="shared" si="17"/>
        <v>0</v>
      </c>
      <c r="BI20" s="197">
        <f t="shared" si="18"/>
        <v>0</v>
      </c>
      <c r="BJ20" s="197">
        <f t="shared" si="19"/>
        <v>0</v>
      </c>
      <c r="BK20" s="197">
        <f t="shared" si="20"/>
        <v>0</v>
      </c>
      <c r="BL20" s="197">
        <f t="shared" si="21"/>
        <v>0</v>
      </c>
      <c r="BM20" s="197">
        <f t="shared" si="22"/>
        <v>0</v>
      </c>
      <c r="BN20" s="197">
        <f t="shared" si="23"/>
        <v>0</v>
      </c>
      <c r="BO20" s="197">
        <f t="shared" si="24"/>
        <v>0</v>
      </c>
      <c r="BP20" s="197">
        <f t="shared" si="25"/>
        <v>0</v>
      </c>
      <c r="BQ20" s="197">
        <f t="shared" si="26"/>
        <v>0</v>
      </c>
      <c r="BR20" s="211"/>
      <c r="BS20" s="195">
        <f t="shared" si="0"/>
        <v>0</v>
      </c>
      <c r="BT20" s="201">
        <f t="shared" si="1"/>
        <v>0</v>
      </c>
      <c r="BU20" s="201">
        <f>第2期!AQ122*0.5</f>
        <v>0</v>
      </c>
      <c r="BV20" s="205" t="e">
        <f>AVERAGE(BT45:CI45)*初始化表!B$31</f>
        <v>#DIV/0!</v>
      </c>
      <c r="BW20" s="205" t="e">
        <f>$BT20*(AL122-BW$25)/BW$26*初始化表!B$30</f>
        <v>#DIV/0!</v>
      </c>
      <c r="BX20" s="205" t="e">
        <f>$BT20*(AM122-BX$25)/BX$26*初始化表!B$33</f>
        <v>#DIV/0!</v>
      </c>
      <c r="BY20" s="205" t="e">
        <f>$BT20*(AN122-BY$25)/BY$26*初始化表!B$32</f>
        <v>#DIV/0!</v>
      </c>
      <c r="BZ20" s="205" t="e">
        <f>$BT20*(AP122-BZ$25)/BZ$26*初始化表!B$34</f>
        <v>#DIV/0!</v>
      </c>
      <c r="CA20" s="205" t="e">
        <f>$BT$5*(AW122-CA$25)/CA$26*初始化表!B$36</f>
        <v>#DIV/0!</v>
      </c>
      <c r="CB20" s="205" t="e">
        <f t="shared" si="4"/>
        <v>#DIV/0!</v>
      </c>
      <c r="CC20" s="201">
        <f t="shared" si="5"/>
        <v>0</v>
      </c>
      <c r="CD20" s="229" t="e">
        <f t="shared" si="6"/>
        <v>#DIV/0!</v>
      </c>
      <c r="CE20" s="229">
        <f t="shared" si="7"/>
        <v>0</v>
      </c>
      <c r="CF20" s="229">
        <f t="shared" si="8"/>
        <v>0</v>
      </c>
      <c r="CG20" s="226"/>
      <c r="CH20" s="226"/>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c r="DP20" s="228"/>
      <c r="DQ20" s="228"/>
    </row>
    <row r="21" s="61" customFormat="1" ht="16" customHeight="1" spans="1:121">
      <c r="A21" s="269" t="s">
        <v>303</v>
      </c>
      <c r="B21" s="269" t="s">
        <v>304</v>
      </c>
      <c r="C21" s="269" t="s">
        <v>305</v>
      </c>
      <c r="D21" s="269" t="s">
        <v>306</v>
      </c>
      <c r="E21" s="269" t="s">
        <v>307</v>
      </c>
      <c r="F21" s="270"/>
      <c r="G21" s="73"/>
      <c r="H21" s="269" t="s">
        <v>559</v>
      </c>
      <c r="I21" s="92" t="e">
        <f>(L17-ROUND(L17*0.03,0))/O49</f>
        <v>#DIV/0!</v>
      </c>
      <c r="J21" s="92" t="e">
        <f>(L17-ROUND(L17*0.03,0)+ROUNDDOWN(L17/2,0)/4)/O49</f>
        <v>#DIV/0!</v>
      </c>
      <c r="K21" s="289" t="s">
        <v>235</v>
      </c>
      <c r="L21" s="94" t="e">
        <f>初始化表!I20</f>
        <v>#DIV/0!</v>
      </c>
      <c r="M21" s="85"/>
      <c r="N21" s="269" t="s">
        <v>202</v>
      </c>
      <c r="O21" s="93" t="e">
        <f t="shared" ref="O21:R23" si="39">O16</f>
        <v>#DIV/0!</v>
      </c>
      <c r="P21" s="93" t="e">
        <f t="shared" si="39"/>
        <v>#DIV/0!</v>
      </c>
      <c r="Q21" s="93" t="e">
        <f t="shared" si="39"/>
        <v>#DIV/0!</v>
      </c>
      <c r="R21" s="93" t="e">
        <f t="shared" si="39"/>
        <v>#DIV/0!</v>
      </c>
      <c r="S21" s="128"/>
      <c r="T21" s="129" t="e">
        <f t="shared" ref="T21:T23" si="40">MAX(AC24,AD24,AE24,AF24)-MIN(AC24,AD24,AE24,AF24)</f>
        <v>#DIV/0!</v>
      </c>
      <c r="U21" s="396"/>
      <c r="V21" s="90"/>
      <c r="W21" s="90"/>
      <c r="X21" s="90"/>
      <c r="Y21" s="90"/>
      <c r="Z21" s="90"/>
      <c r="AA21" s="73"/>
      <c r="AB21" s="399"/>
      <c r="AC21" s="399"/>
      <c r="AD21" s="399"/>
      <c r="AE21" s="399"/>
      <c r="AF21" s="399"/>
      <c r="AG21" s="155"/>
      <c r="AH21" s="73"/>
      <c r="AI21" s="359"/>
      <c r="AJ21" s="359"/>
      <c r="AK21" s="360"/>
      <c r="AL21" s="360">
        <f>V45</f>
        <v>0</v>
      </c>
      <c r="AM21" s="361"/>
      <c r="AN21" s="362"/>
      <c r="AO21" s="360"/>
      <c r="AP21" s="360"/>
      <c r="AQ21" s="369"/>
      <c r="AR21" s="103"/>
      <c r="AS21" s="103">
        <f t="shared" si="27"/>
        <v>0</v>
      </c>
      <c r="AT21" s="103"/>
      <c r="AU21" s="103"/>
      <c r="AV21" s="103"/>
      <c r="AW21" s="103"/>
      <c r="AZ21" s="193"/>
      <c r="BA21" s="196">
        <f t="shared" si="10"/>
        <v>0</v>
      </c>
      <c r="BB21" s="443">
        <f t="shared" si="11"/>
        <v>0</v>
      </c>
      <c r="BC21" s="197">
        <f t="shared" si="12"/>
        <v>0</v>
      </c>
      <c r="BD21" s="197">
        <f t="shared" si="13"/>
        <v>0</v>
      </c>
      <c r="BE21" s="197">
        <f t="shared" si="14"/>
        <v>0</v>
      </c>
      <c r="BF21" s="197">
        <f t="shared" si="15"/>
        <v>0</v>
      </c>
      <c r="BG21" s="197">
        <f t="shared" si="16"/>
        <v>0</v>
      </c>
      <c r="BH21" s="197">
        <f t="shared" si="17"/>
        <v>0</v>
      </c>
      <c r="BI21" s="197">
        <f t="shared" si="18"/>
        <v>0</v>
      </c>
      <c r="BJ21" s="197">
        <f t="shared" si="19"/>
        <v>0</v>
      </c>
      <c r="BK21" s="197">
        <f t="shared" si="20"/>
        <v>0</v>
      </c>
      <c r="BL21" s="197">
        <f t="shared" si="21"/>
        <v>0</v>
      </c>
      <c r="BM21" s="197">
        <f t="shared" si="22"/>
        <v>0</v>
      </c>
      <c r="BN21" s="197">
        <f t="shared" si="23"/>
        <v>0</v>
      </c>
      <c r="BO21" s="197">
        <f t="shared" si="24"/>
        <v>0</v>
      </c>
      <c r="BP21" s="197">
        <f t="shared" si="25"/>
        <v>0</v>
      </c>
      <c r="BQ21" s="197">
        <f t="shared" si="26"/>
        <v>0</v>
      </c>
      <c r="BR21" s="211"/>
      <c r="BS21" s="195">
        <f t="shared" si="0"/>
        <v>0</v>
      </c>
      <c r="BT21" s="201">
        <f t="shared" si="1"/>
        <v>0</v>
      </c>
      <c r="BU21" s="201">
        <f>第2期!AQ123*0.5</f>
        <v>0</v>
      </c>
      <c r="BV21" s="205" t="e">
        <f>AVERAGE(BT46:CI46)*初始化表!B$31</f>
        <v>#DIV/0!</v>
      </c>
      <c r="BW21" s="205" t="e">
        <f>$BT21*(AL123-BW$25)/BW$26*初始化表!B$30</f>
        <v>#DIV/0!</v>
      </c>
      <c r="BX21" s="205" t="e">
        <f>$BT21*(AM123-BX$25)/BX$26*初始化表!B$33</f>
        <v>#DIV/0!</v>
      </c>
      <c r="BY21" s="205" t="e">
        <f>$BT21*(AN123-BY$25)/BY$26*初始化表!B$32</f>
        <v>#DIV/0!</v>
      </c>
      <c r="BZ21" s="205" t="e">
        <f>$BT21*(AP123-BZ$25)/BZ$26*初始化表!B$34</f>
        <v>#DIV/0!</v>
      </c>
      <c r="CA21" s="205" t="e">
        <f>$BT$5*(AW123-CA$25)/CA$26*初始化表!B$36</f>
        <v>#DIV/0!</v>
      </c>
      <c r="CB21" s="205" t="e">
        <f t="shared" si="4"/>
        <v>#DIV/0!</v>
      </c>
      <c r="CC21" s="201">
        <f t="shared" si="5"/>
        <v>0</v>
      </c>
      <c r="CD21" s="229" t="e">
        <f t="shared" si="6"/>
        <v>#DIV/0!</v>
      </c>
      <c r="CE21" s="229">
        <f t="shared" si="7"/>
        <v>0</v>
      </c>
      <c r="CF21" s="229">
        <f t="shared" si="8"/>
        <v>0</v>
      </c>
      <c r="CG21" s="226"/>
      <c r="CH21" s="226"/>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c r="DP21" s="228"/>
      <c r="DQ21" s="228"/>
    </row>
    <row r="22" s="61" customFormat="1" ht="16" customHeight="1" spans="1:121">
      <c r="A22" s="270"/>
      <c r="B22" s="77">
        <f>I18</f>
        <v>0</v>
      </c>
      <c r="C22" s="77">
        <f>K18</f>
        <v>0</v>
      </c>
      <c r="D22" s="72">
        <f>R49</f>
        <v>0</v>
      </c>
      <c r="E22" s="72">
        <f>K43</f>
        <v>0</v>
      </c>
      <c r="F22" s="270"/>
      <c r="G22" s="73"/>
      <c r="H22" s="269" t="s">
        <v>560</v>
      </c>
      <c r="I22" s="278" t="e">
        <f>(M25*初始化表!B4+SUM(V5:Z5)-SUM(V11:Y11)-Z17)/Z17</f>
        <v>#DIV/0!</v>
      </c>
      <c r="J22" s="278" t="e">
        <f>(M26*初始化表!B4+SUM(V6:Z6)-SUM(V12:Y12)-Z18)/Z18</f>
        <v>#DIV/0!</v>
      </c>
      <c r="K22" s="278" t="e">
        <f>(M27*初始化表!B4+SUM(V7:Z7)-SUM(V13:Y13)-Z19)/Z19</f>
        <v>#DIV/0!</v>
      </c>
      <c r="L22" s="278" t="e">
        <f>(M28*初始化表!B4+SUM(V8:Z8)-SUM(V14:Y14)-Z20)/Z20</f>
        <v>#DIV/0!</v>
      </c>
      <c r="M22" s="85"/>
      <c r="N22" s="269" t="s">
        <v>206</v>
      </c>
      <c r="O22" s="93" t="e">
        <f t="shared" si="39"/>
        <v>#DIV/0!</v>
      </c>
      <c r="P22" s="93" t="e">
        <f t="shared" si="39"/>
        <v>#DIV/0!</v>
      </c>
      <c r="Q22" s="93" t="e">
        <f t="shared" si="39"/>
        <v>#DIV/0!</v>
      </c>
      <c r="R22" s="93" t="e">
        <f t="shared" si="39"/>
        <v>#DIV/0!</v>
      </c>
      <c r="S22" s="128"/>
      <c r="T22" s="129" t="e">
        <f t="shared" si="40"/>
        <v>#DIV/0!</v>
      </c>
      <c r="U22" s="68" t="s">
        <v>561</v>
      </c>
      <c r="V22" s="68" t="s">
        <v>459</v>
      </c>
      <c r="W22" s="68" t="s">
        <v>460</v>
      </c>
      <c r="X22" s="68" t="s">
        <v>461</v>
      </c>
      <c r="Y22" s="68" t="s">
        <v>462</v>
      </c>
      <c r="Z22" s="68" t="s">
        <v>276</v>
      </c>
      <c r="AA22" s="73"/>
      <c r="AB22" s="151" t="s">
        <v>562</v>
      </c>
      <c r="AC22" s="151" t="s">
        <v>459</v>
      </c>
      <c r="AD22" s="151" t="s">
        <v>460</v>
      </c>
      <c r="AE22" s="151" t="s">
        <v>461</v>
      </c>
      <c r="AF22" s="151" t="s">
        <v>462</v>
      </c>
      <c r="AG22" s="74"/>
      <c r="AH22" s="73"/>
      <c r="AI22" s="359"/>
      <c r="AJ22" s="359"/>
      <c r="AK22" s="360"/>
      <c r="AL22" s="360">
        <f>W45</f>
        <v>0</v>
      </c>
      <c r="AM22" s="361"/>
      <c r="AN22" s="362"/>
      <c r="AO22" s="360"/>
      <c r="AP22" s="360"/>
      <c r="AQ22" s="369"/>
      <c r="AR22" s="103"/>
      <c r="AS22" s="103">
        <f t="shared" si="27"/>
        <v>0</v>
      </c>
      <c r="AT22" s="103"/>
      <c r="AU22" s="103"/>
      <c r="AV22" s="103"/>
      <c r="AW22" s="103"/>
      <c r="AZ22" s="193"/>
      <c r="BA22" s="196">
        <f t="shared" si="10"/>
        <v>0</v>
      </c>
      <c r="BB22" s="443">
        <f t="shared" si="11"/>
        <v>0</v>
      </c>
      <c r="BC22" s="197">
        <f t="shared" si="12"/>
        <v>0</v>
      </c>
      <c r="BD22" s="197">
        <f t="shared" si="13"/>
        <v>0</v>
      </c>
      <c r="BE22" s="197">
        <f t="shared" si="14"/>
        <v>0</v>
      </c>
      <c r="BF22" s="197">
        <f t="shared" si="15"/>
        <v>0</v>
      </c>
      <c r="BG22" s="197">
        <f t="shared" si="16"/>
        <v>0</v>
      </c>
      <c r="BH22" s="197">
        <f t="shared" si="17"/>
        <v>0</v>
      </c>
      <c r="BI22" s="197">
        <f t="shared" si="18"/>
        <v>0</v>
      </c>
      <c r="BJ22" s="197">
        <f t="shared" si="19"/>
        <v>0</v>
      </c>
      <c r="BK22" s="197">
        <f t="shared" si="20"/>
        <v>0</v>
      </c>
      <c r="BL22" s="197">
        <f t="shared" si="21"/>
        <v>0</v>
      </c>
      <c r="BM22" s="197">
        <f t="shared" si="22"/>
        <v>0</v>
      </c>
      <c r="BN22" s="197">
        <f t="shared" si="23"/>
        <v>0</v>
      </c>
      <c r="BO22" s="197">
        <f t="shared" si="24"/>
        <v>0</v>
      </c>
      <c r="BP22" s="197">
        <f t="shared" si="25"/>
        <v>0</v>
      </c>
      <c r="BQ22" s="197">
        <f t="shared" si="26"/>
        <v>0</v>
      </c>
      <c r="BR22" s="211"/>
      <c r="BS22" s="195">
        <f t="shared" si="0"/>
        <v>0</v>
      </c>
      <c r="BT22" s="201">
        <f t="shared" si="1"/>
        <v>0</v>
      </c>
      <c r="BU22" s="201">
        <f>第2期!AQ124*0.5</f>
        <v>0</v>
      </c>
      <c r="BV22" s="205" t="e">
        <f>AVERAGE(BT47:CI47)*初始化表!B$31</f>
        <v>#DIV/0!</v>
      </c>
      <c r="BW22" s="205" t="e">
        <f>$BT22*(AL124-BW$25)/BW$26*初始化表!B$30</f>
        <v>#DIV/0!</v>
      </c>
      <c r="BX22" s="205" t="e">
        <f>$BT22*(AM124-BX$25)/BX$26*初始化表!B$33</f>
        <v>#DIV/0!</v>
      </c>
      <c r="BY22" s="205" t="e">
        <f>$BT22*(AN124-BY$25)/BY$26*初始化表!B$32</f>
        <v>#DIV/0!</v>
      </c>
      <c r="BZ22" s="205" t="e">
        <f>$BT22*(AP124-BZ$25)/BZ$26*初始化表!B$34</f>
        <v>#DIV/0!</v>
      </c>
      <c r="CA22" s="205" t="e">
        <f>$BT$5*(AW124-CA$25)/CA$26*初始化表!B$36</f>
        <v>#DIV/0!</v>
      </c>
      <c r="CB22" s="205" t="e">
        <f t="shared" si="4"/>
        <v>#DIV/0!</v>
      </c>
      <c r="CC22" s="201">
        <f t="shared" si="5"/>
        <v>0</v>
      </c>
      <c r="CD22" s="229" t="e">
        <f t="shared" si="6"/>
        <v>#DIV/0!</v>
      </c>
      <c r="CE22" s="229">
        <f t="shared" si="7"/>
        <v>0</v>
      </c>
      <c r="CF22" s="229">
        <f t="shared" si="8"/>
        <v>0</v>
      </c>
      <c r="CG22" s="226"/>
      <c r="CH22" s="226"/>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c r="DP22" s="228"/>
      <c r="DQ22" s="228"/>
    </row>
    <row r="23" s="61" customFormat="1" ht="16" customHeight="1" spans="1:121">
      <c r="A23" s="269" t="s">
        <v>308</v>
      </c>
      <c r="B23" s="269" t="s">
        <v>309</v>
      </c>
      <c r="C23" s="269" t="s">
        <v>310</v>
      </c>
      <c r="D23" s="269" t="s">
        <v>311</v>
      </c>
      <c r="E23" s="269" t="s">
        <v>312</v>
      </c>
      <c r="F23" s="269" t="s">
        <v>313</v>
      </c>
      <c r="G23" s="73"/>
      <c r="H23" s="269" t="s">
        <v>298</v>
      </c>
      <c r="I23" s="270"/>
      <c r="J23" s="270"/>
      <c r="K23" s="270"/>
      <c r="L23" s="270"/>
      <c r="M23" s="289" t="s">
        <v>563</v>
      </c>
      <c r="N23" s="269" t="s">
        <v>208</v>
      </c>
      <c r="O23" s="93" t="e">
        <f t="shared" si="39"/>
        <v>#DIV/0!</v>
      </c>
      <c r="P23" s="93" t="e">
        <f t="shared" si="39"/>
        <v>#DIV/0!</v>
      </c>
      <c r="Q23" s="93" t="e">
        <f t="shared" si="39"/>
        <v>#DIV/0!</v>
      </c>
      <c r="R23" s="93" t="e">
        <f t="shared" si="39"/>
        <v>#DIV/0!</v>
      </c>
      <c r="S23" s="128"/>
      <c r="T23" s="129" t="e">
        <f t="shared" si="40"/>
        <v>#DIV/0!</v>
      </c>
      <c r="U23" s="68" t="s">
        <v>464</v>
      </c>
      <c r="V23" s="115" t="e">
        <f>第2期!B6</f>
        <v>#DIV/0!</v>
      </c>
      <c r="W23" s="115" t="e">
        <f>第2期!C6</f>
        <v>#DIV/0!</v>
      </c>
      <c r="X23" s="115" t="e">
        <f>第2期!D6</f>
        <v>#DIV/0!</v>
      </c>
      <c r="Y23" s="115" t="e">
        <f>第2期!E6</f>
        <v>#DIV/0!</v>
      </c>
      <c r="Z23" s="102" t="e">
        <f>第2期!F6</f>
        <v>#DIV/0!</v>
      </c>
      <c r="AA23" s="73"/>
      <c r="AB23" s="151" t="s">
        <v>464</v>
      </c>
      <c r="AC23" s="157" t="e">
        <f>AC11/初始化表!$E$17</f>
        <v>#DIV/0!</v>
      </c>
      <c r="AD23" s="157" t="e">
        <f>AD11/初始化表!$E$17</f>
        <v>#DIV/0!</v>
      </c>
      <c r="AE23" s="157" t="e">
        <f>AE11/初始化表!$E$17</f>
        <v>#DIV/0!</v>
      </c>
      <c r="AF23" s="157" t="e">
        <f>AF11/初始化表!$E$17</f>
        <v>#DIV/0!</v>
      </c>
      <c r="AG23" s="74"/>
      <c r="AH23" s="73"/>
      <c r="AI23" s="359"/>
      <c r="AJ23" s="359"/>
      <c r="AK23" s="360"/>
      <c r="AL23" s="360">
        <f>X45</f>
        <v>0</v>
      </c>
      <c r="AM23" s="361"/>
      <c r="AN23" s="362"/>
      <c r="AO23" s="360"/>
      <c r="AP23" s="360"/>
      <c r="AQ23" s="369"/>
      <c r="AR23" s="103"/>
      <c r="AS23" s="103">
        <f t="shared" si="27"/>
        <v>0</v>
      </c>
      <c r="AT23" s="103"/>
      <c r="AU23" s="103"/>
      <c r="AV23" s="103"/>
      <c r="AW23" s="103"/>
      <c r="AZ23" s="193"/>
      <c r="BA23" s="196">
        <f t="shared" si="10"/>
        <v>0</v>
      </c>
      <c r="BB23" s="443">
        <f t="shared" si="11"/>
        <v>0</v>
      </c>
      <c r="BC23" s="197">
        <f t="shared" si="12"/>
        <v>0</v>
      </c>
      <c r="BD23" s="197">
        <f t="shared" si="13"/>
        <v>0</v>
      </c>
      <c r="BE23" s="197">
        <f t="shared" si="14"/>
        <v>0</v>
      </c>
      <c r="BF23" s="197">
        <f t="shared" si="15"/>
        <v>0</v>
      </c>
      <c r="BG23" s="197">
        <f t="shared" si="16"/>
        <v>0</v>
      </c>
      <c r="BH23" s="197">
        <f t="shared" si="17"/>
        <v>0</v>
      </c>
      <c r="BI23" s="197">
        <f t="shared" si="18"/>
        <v>0</v>
      </c>
      <c r="BJ23" s="197">
        <f t="shared" si="19"/>
        <v>0</v>
      </c>
      <c r="BK23" s="197">
        <f t="shared" si="20"/>
        <v>0</v>
      </c>
      <c r="BL23" s="197">
        <f t="shared" si="21"/>
        <v>0</v>
      </c>
      <c r="BM23" s="197">
        <f t="shared" si="22"/>
        <v>0</v>
      </c>
      <c r="BN23" s="197">
        <f t="shared" si="23"/>
        <v>0</v>
      </c>
      <c r="BO23" s="197">
        <f t="shared" si="24"/>
        <v>0</v>
      </c>
      <c r="BP23" s="197">
        <f t="shared" si="25"/>
        <v>0</v>
      </c>
      <c r="BQ23" s="197">
        <f t="shared" si="26"/>
        <v>0</v>
      </c>
      <c r="BR23" s="211"/>
      <c r="BS23" s="195">
        <f t="shared" si="0"/>
        <v>0</v>
      </c>
      <c r="BT23" s="201">
        <f t="shared" si="1"/>
        <v>0</v>
      </c>
      <c r="BU23" s="201">
        <f>第2期!AQ125*0.5</f>
        <v>0</v>
      </c>
      <c r="BV23" s="205" t="e">
        <f>AVERAGE(BT48:CI48)*初始化表!B$31</f>
        <v>#DIV/0!</v>
      </c>
      <c r="BW23" s="205" t="e">
        <f>$BT23*(AL125-BW$25)/BW$26*初始化表!B$30</f>
        <v>#DIV/0!</v>
      </c>
      <c r="BX23" s="205" t="e">
        <f>$BT23*(AM125-BX$25)/BX$26*初始化表!B$33</f>
        <v>#DIV/0!</v>
      </c>
      <c r="BY23" s="205" t="e">
        <f>$BT23*(AN125-BY$25)/BY$26*初始化表!B$32</f>
        <v>#DIV/0!</v>
      </c>
      <c r="BZ23" s="205" t="e">
        <f>$BT23*(AP125-BZ$25)/BZ$26*初始化表!B$34</f>
        <v>#DIV/0!</v>
      </c>
      <c r="CA23" s="205" t="e">
        <f>$BT$5*(AW125-CA$25)/CA$26*初始化表!B$36</f>
        <v>#DIV/0!</v>
      </c>
      <c r="CB23" s="205" t="e">
        <f t="shared" si="4"/>
        <v>#DIV/0!</v>
      </c>
      <c r="CC23" s="201">
        <f t="shared" si="5"/>
        <v>0</v>
      </c>
      <c r="CD23" s="229" t="e">
        <f t="shared" si="6"/>
        <v>#DIV/0!</v>
      </c>
      <c r="CE23" s="229">
        <f t="shared" si="7"/>
        <v>0</v>
      </c>
      <c r="CF23" s="229">
        <f t="shared" si="8"/>
        <v>0</v>
      </c>
      <c r="CG23" s="226"/>
      <c r="CH23" s="226"/>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c r="DP23" s="228"/>
      <c r="DQ23" s="228"/>
    </row>
    <row r="24" s="61" customFormat="1" ht="16" customHeight="1" spans="1:121">
      <c r="A24" s="270"/>
      <c r="B24" s="72">
        <f>Q33</f>
        <v>0</v>
      </c>
      <c r="C24" s="72">
        <f>R35</f>
        <v>0</v>
      </c>
      <c r="D24" s="72">
        <f>O37</f>
        <v>0</v>
      </c>
      <c r="E24" s="72" t="e">
        <f>-C63</f>
        <v>#DIV/0!</v>
      </c>
      <c r="F24" s="77">
        <f>R45</f>
        <v>1</v>
      </c>
      <c r="G24" s="73"/>
      <c r="H24" s="270"/>
      <c r="I24" s="269" t="s">
        <v>103</v>
      </c>
      <c r="J24" s="269" t="s">
        <v>299</v>
      </c>
      <c r="K24" s="269" t="s">
        <v>104</v>
      </c>
      <c r="L24" s="269" t="s">
        <v>300</v>
      </c>
      <c r="M24" s="289"/>
      <c r="N24" s="269" t="s">
        <v>564</v>
      </c>
      <c r="O24" s="269" t="s">
        <v>565</v>
      </c>
      <c r="P24" s="269" t="s">
        <v>566</v>
      </c>
      <c r="Q24" s="269" t="s">
        <v>567</v>
      </c>
      <c r="R24" s="269" t="s">
        <v>568</v>
      </c>
      <c r="S24" s="121"/>
      <c r="T24" s="120"/>
      <c r="U24" s="68" t="s">
        <v>465</v>
      </c>
      <c r="V24" s="115" t="e">
        <f>第2期!B7</f>
        <v>#DIV/0!</v>
      </c>
      <c r="W24" s="115" t="e">
        <f>第2期!C7</f>
        <v>#DIV/0!</v>
      </c>
      <c r="X24" s="115" t="e">
        <f>第2期!D7</f>
        <v>#DIV/0!</v>
      </c>
      <c r="Y24" s="115" t="e">
        <f>第2期!E7</f>
        <v>#DIV/0!</v>
      </c>
      <c r="Z24" s="102" t="e">
        <f>第2期!F7</f>
        <v>#DIV/0!</v>
      </c>
      <c r="AA24" s="73"/>
      <c r="AB24" s="151" t="s">
        <v>465</v>
      </c>
      <c r="AC24" s="157" t="e">
        <f>AC12/初始化表!$F$17</f>
        <v>#DIV/0!</v>
      </c>
      <c r="AD24" s="157" t="e">
        <f>AD12/初始化表!$F$17</f>
        <v>#DIV/0!</v>
      </c>
      <c r="AE24" s="157" t="e">
        <f>AE12/初始化表!$F$17</f>
        <v>#DIV/0!</v>
      </c>
      <c r="AF24" s="157" t="e">
        <f>AF12/初始化表!$F$17</f>
        <v>#DIV/0!</v>
      </c>
      <c r="AG24" s="74"/>
      <c r="AH24" s="73"/>
      <c r="AI24" s="359"/>
      <c r="AJ24" s="359"/>
      <c r="AK24" s="360"/>
      <c r="AL24" s="360">
        <f>Y45</f>
        <v>0</v>
      </c>
      <c r="AM24" s="361"/>
      <c r="AN24" s="362"/>
      <c r="AO24" s="360"/>
      <c r="AP24" s="360"/>
      <c r="AQ24" s="369"/>
      <c r="AR24" s="103">
        <f>SUM(AL21:AL24)</f>
        <v>0</v>
      </c>
      <c r="AS24" s="103">
        <f t="shared" si="27"/>
        <v>0</v>
      </c>
      <c r="AT24" s="103">
        <f>SUMIF(AS21:AS24,"&gt;=0",AS21:AS24)</f>
        <v>0</v>
      </c>
      <c r="AU24" s="103">
        <f>SUM(AO21:AO24)</f>
        <v>0</v>
      </c>
      <c r="AV24" s="103">
        <f>SUM(AP21:AP24)</f>
        <v>0</v>
      </c>
      <c r="AW24" s="103">
        <f>SUM(AQ21:AQ24)</f>
        <v>0</v>
      </c>
      <c r="AZ24" s="193"/>
      <c r="BA24" s="196">
        <f t="shared" si="10"/>
        <v>0</v>
      </c>
      <c r="BB24" s="443">
        <f t="shared" si="11"/>
        <v>0</v>
      </c>
      <c r="BC24" s="197">
        <f t="shared" si="12"/>
        <v>0</v>
      </c>
      <c r="BD24" s="197">
        <f t="shared" si="13"/>
        <v>0</v>
      </c>
      <c r="BE24" s="197">
        <f t="shared" si="14"/>
        <v>0</v>
      </c>
      <c r="BF24" s="197">
        <f t="shared" si="15"/>
        <v>0</v>
      </c>
      <c r="BG24" s="197">
        <f t="shared" si="16"/>
        <v>0</v>
      </c>
      <c r="BH24" s="197">
        <f t="shared" si="17"/>
        <v>0</v>
      </c>
      <c r="BI24" s="197">
        <f t="shared" si="18"/>
        <v>0</v>
      </c>
      <c r="BJ24" s="197">
        <f t="shared" si="19"/>
        <v>0</v>
      </c>
      <c r="BK24" s="197">
        <f t="shared" si="20"/>
        <v>0</v>
      </c>
      <c r="BL24" s="197">
        <f t="shared" si="21"/>
        <v>0</v>
      </c>
      <c r="BM24" s="197">
        <f t="shared" si="22"/>
        <v>0</v>
      </c>
      <c r="BN24" s="197">
        <f t="shared" si="23"/>
        <v>0</v>
      </c>
      <c r="BO24" s="197">
        <f t="shared" si="24"/>
        <v>0</v>
      </c>
      <c r="BP24" s="197">
        <f t="shared" si="25"/>
        <v>0</v>
      </c>
      <c r="BQ24" s="197">
        <f t="shared" si="26"/>
        <v>0</v>
      </c>
      <c r="BR24" s="211"/>
      <c r="BS24" s="195">
        <f t="shared" si="0"/>
        <v>0</v>
      </c>
      <c r="BT24" s="201">
        <f t="shared" si="1"/>
        <v>0</v>
      </c>
      <c r="BU24" s="201">
        <f>第2期!AQ126*0.5</f>
        <v>0</v>
      </c>
      <c r="BV24" s="205" t="e">
        <f>AVERAGE(BT49:CI49)*初始化表!B$31</f>
        <v>#DIV/0!</v>
      </c>
      <c r="BW24" s="205" t="e">
        <f>$BT24*(AL126-BW$25)/BW$26*初始化表!B$30</f>
        <v>#DIV/0!</v>
      </c>
      <c r="BX24" s="205" t="e">
        <f>$BT24*(AM126-BX$25)/BX$26*初始化表!B$33</f>
        <v>#DIV/0!</v>
      </c>
      <c r="BY24" s="205" t="e">
        <f>$BT24*(AN126-BY$25)/BY$26*初始化表!B$32</f>
        <v>#DIV/0!</v>
      </c>
      <c r="BZ24" s="205" t="e">
        <f>$BT24*(AP126-BZ$25)/BZ$26*初始化表!B$34</f>
        <v>#DIV/0!</v>
      </c>
      <c r="CA24" s="205" t="e">
        <f>$BT$5*(AW126-CA$25)/CA$26*初始化表!B$36</f>
        <v>#DIV/0!</v>
      </c>
      <c r="CB24" s="205" t="e">
        <f t="shared" si="4"/>
        <v>#DIV/0!</v>
      </c>
      <c r="CC24" s="201">
        <f t="shared" si="5"/>
        <v>0</v>
      </c>
      <c r="CD24" s="229" t="e">
        <f t="shared" si="6"/>
        <v>#DIV/0!</v>
      </c>
      <c r="CE24" s="229">
        <f t="shared" si="7"/>
        <v>0</v>
      </c>
      <c r="CF24" s="229">
        <f t="shared" si="8"/>
        <v>0</v>
      </c>
      <c r="CG24" s="226"/>
      <c r="CH24" s="226"/>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c r="DP24" s="228"/>
      <c r="DQ24" s="228"/>
    </row>
    <row r="25" s="61" customFormat="1" ht="16" customHeight="1" spans="1:121">
      <c r="A25" s="90"/>
      <c r="B25" s="90"/>
      <c r="C25" s="90"/>
      <c r="D25" s="90"/>
      <c r="E25" s="90"/>
      <c r="F25" s="90"/>
      <c r="G25" s="73"/>
      <c r="H25" s="269" t="s">
        <v>521</v>
      </c>
      <c r="I25" s="280"/>
      <c r="J25" s="280"/>
      <c r="K25" s="97"/>
      <c r="L25" s="97"/>
      <c r="M25" s="98">
        <f>I25+J25+K25+L25</f>
        <v>0</v>
      </c>
      <c r="N25" s="269" t="s">
        <v>276</v>
      </c>
      <c r="O25" s="83" t="e">
        <f>INT(SUMPRODUCT(V42:Y42,B6:E6)*O6/1000+0.5)*1000</f>
        <v>#DIV/0!</v>
      </c>
      <c r="P25" s="83" t="e">
        <f>INT(SUMPRODUCT(V43:Y43,B7:E7)*P6/1000+0.5)*1000</f>
        <v>#DIV/0!</v>
      </c>
      <c r="Q25" s="83" t="e">
        <f>INT(SUMPRODUCT(V44:Y44,B8:E8)*Q6/1000+0.5)*1000</f>
        <v>#DIV/0!</v>
      </c>
      <c r="R25" s="83" t="e">
        <f>INT(SUMPRODUCT(V45:Y45,B9:E9)*R6/1000+0.5)*1000</f>
        <v>#DIV/0!</v>
      </c>
      <c r="S25" s="131"/>
      <c r="T25" s="120"/>
      <c r="U25" s="68" t="s">
        <v>466</v>
      </c>
      <c r="V25" s="115" t="e">
        <f>第2期!B8</f>
        <v>#DIV/0!</v>
      </c>
      <c r="W25" s="115" t="e">
        <f>第2期!C8</f>
        <v>#DIV/0!</v>
      </c>
      <c r="X25" s="115" t="e">
        <f>第2期!D8</f>
        <v>#DIV/0!</v>
      </c>
      <c r="Y25" s="115" t="e">
        <f>第2期!E8</f>
        <v>#DIV/0!</v>
      </c>
      <c r="Z25" s="102" t="e">
        <f>第2期!F8</f>
        <v>#DIV/0!</v>
      </c>
      <c r="AA25" s="73"/>
      <c r="AB25" s="151" t="s">
        <v>466</v>
      </c>
      <c r="AC25" s="157" t="e">
        <f>AC13/初始化表!$G$17</f>
        <v>#DIV/0!</v>
      </c>
      <c r="AD25" s="157" t="e">
        <f>AD13/初始化表!$G$17</f>
        <v>#DIV/0!</v>
      </c>
      <c r="AE25" s="157" t="e">
        <f>AE13/初始化表!$G$17</f>
        <v>#DIV/0!</v>
      </c>
      <c r="AF25" s="157" t="e">
        <f>AF13/初始化表!$G$17</f>
        <v>#DIV/0!</v>
      </c>
      <c r="AG25" s="74"/>
      <c r="AH25" s="73"/>
      <c r="AI25" s="363"/>
      <c r="AJ25" s="363"/>
      <c r="AK25" s="363"/>
      <c r="AL25" s="363"/>
      <c r="AM25" s="363"/>
      <c r="AN25" s="363"/>
      <c r="AO25" s="370"/>
      <c r="AP25" s="370"/>
      <c r="AQ25" s="371"/>
      <c r="AR25" s="103"/>
      <c r="AS25" s="103"/>
      <c r="AT25" s="103"/>
      <c r="AU25" s="189">
        <f>(AU12*初始化表!E17+AU16*初始化表!F17+AU20*初始化表!G17+AU24*初始化表!H17)/1300</f>
        <v>0</v>
      </c>
      <c r="AV25" s="189">
        <f>(AV12*初始化表!E17+AV16*初始化表!F17+AV20*初始化表!G17+AV24*初始化表!H17)/1300</f>
        <v>0</v>
      </c>
      <c r="AW25" s="189">
        <f>(AW12*初始化表!E17+AW16*初始化表!F17+AW20*初始化表!G17+AW24*初始化表!H17)/1300</f>
        <v>0</v>
      </c>
      <c r="AZ25" s="193"/>
      <c r="BA25" s="196">
        <f t="shared" si="10"/>
        <v>0</v>
      </c>
      <c r="BB25" s="443">
        <f t="shared" si="11"/>
        <v>0</v>
      </c>
      <c r="BC25" s="197">
        <f t="shared" si="12"/>
        <v>0</v>
      </c>
      <c r="BD25" s="197">
        <f t="shared" si="13"/>
        <v>0</v>
      </c>
      <c r="BE25" s="197">
        <f t="shared" si="14"/>
        <v>0</v>
      </c>
      <c r="BF25" s="197">
        <f t="shared" si="15"/>
        <v>0</v>
      </c>
      <c r="BG25" s="197">
        <f t="shared" si="16"/>
        <v>0</v>
      </c>
      <c r="BH25" s="197">
        <f t="shared" si="17"/>
        <v>0</v>
      </c>
      <c r="BI25" s="197">
        <f t="shared" si="18"/>
        <v>0</v>
      </c>
      <c r="BJ25" s="197">
        <f t="shared" si="19"/>
        <v>0</v>
      </c>
      <c r="BK25" s="197">
        <f t="shared" si="20"/>
        <v>0</v>
      </c>
      <c r="BL25" s="197">
        <f t="shared" si="21"/>
        <v>0</v>
      </c>
      <c r="BM25" s="197">
        <f t="shared" si="22"/>
        <v>0</v>
      </c>
      <c r="BN25" s="197">
        <f t="shared" si="23"/>
        <v>0</v>
      </c>
      <c r="BO25" s="197">
        <f t="shared" si="24"/>
        <v>0</v>
      </c>
      <c r="BP25" s="197">
        <f t="shared" si="25"/>
        <v>0</v>
      </c>
      <c r="BQ25" s="197">
        <f t="shared" si="26"/>
        <v>0</v>
      </c>
      <c r="BR25" s="211"/>
      <c r="BS25" s="194" t="s">
        <v>569</v>
      </c>
      <c r="BT25" s="208"/>
      <c r="BU25" s="208"/>
      <c r="BV25" s="208"/>
      <c r="BW25" s="201" t="e">
        <f>SUM(AL107:AL126)/初始化表!$B5</f>
        <v>#DIV/0!</v>
      </c>
      <c r="BX25" s="201" t="e">
        <f>SUM(AM107:AM126)/初始化表!$B5</f>
        <v>#DIV/0!</v>
      </c>
      <c r="BY25" s="201" t="e">
        <f>SUM(AN107:AN126)/初始化表!$B5</f>
        <v>#DIV/0!</v>
      </c>
      <c r="BZ25" s="201" t="e">
        <f>SUM(AP107:AP126)/初始化表!$B5</f>
        <v>#DIV/0!</v>
      </c>
      <c r="CA25" s="201" t="e">
        <f>SUM(AW107:AW126)/初始化表!$B5</f>
        <v>#DIV/0!</v>
      </c>
      <c r="CB25" s="208"/>
      <c r="CC25" s="208"/>
      <c r="CD25" s="208"/>
      <c r="CE25" s="208"/>
      <c r="CF25" s="208"/>
      <c r="CG25" s="203"/>
      <c r="CH25" s="203"/>
      <c r="CI25" s="203"/>
      <c r="CJ25" s="226"/>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row>
    <row r="26" s="61" customFormat="1" ht="16" customHeight="1" spans="1:121">
      <c r="A26" s="269" t="s">
        <v>422</v>
      </c>
      <c r="B26" s="270"/>
      <c r="C26" s="270"/>
      <c r="D26" s="270"/>
      <c r="E26" s="270"/>
      <c r="F26" s="270"/>
      <c r="G26" s="73"/>
      <c r="H26" s="269" t="s">
        <v>522</v>
      </c>
      <c r="I26" s="280"/>
      <c r="J26" s="97"/>
      <c r="K26" s="97"/>
      <c r="L26" s="97"/>
      <c r="M26" s="98">
        <f t="shared" ref="M26:M28" si="41">I26+J26+K26+L26</f>
        <v>0</v>
      </c>
      <c r="N26" s="269" t="s">
        <v>280</v>
      </c>
      <c r="O26" s="83" t="e">
        <f>INT(SUMPRODUCT(V42:V45,B6:B9)*O8/1000+0.5)*1000</f>
        <v>#DIV/0!</v>
      </c>
      <c r="P26" s="83" t="e">
        <f>INT(SUMPRODUCT(W42:W45,C6:C9)*P8/1000+0.5)*1000</f>
        <v>#DIV/0!</v>
      </c>
      <c r="Q26" s="83" t="e">
        <f>INT(SUMPRODUCT(X42:X45,D6:D9)*Q8/1000+0.5)*1000</f>
        <v>#DIV/0!</v>
      </c>
      <c r="R26" s="83" t="e">
        <f>INT(SUMPRODUCT(Y42:Y45,E6:E9)*R8/1000+0.5)*1000</f>
        <v>#DIV/0!</v>
      </c>
      <c r="S26" s="131"/>
      <c r="T26" s="120"/>
      <c r="U26" s="68" t="s">
        <v>468</v>
      </c>
      <c r="V26" s="115" t="e">
        <f>第2期!B9</f>
        <v>#DIV/0!</v>
      </c>
      <c r="W26" s="115" t="e">
        <f>第2期!C9</f>
        <v>#DIV/0!</v>
      </c>
      <c r="X26" s="115" t="e">
        <f>第2期!D9</f>
        <v>#DIV/0!</v>
      </c>
      <c r="Y26" s="115" t="e">
        <f>第2期!E9</f>
        <v>#DIV/0!</v>
      </c>
      <c r="Z26" s="102" t="e">
        <f>第2期!F9</f>
        <v>#DIV/0!</v>
      </c>
      <c r="AA26" s="73"/>
      <c r="AB26" s="151" t="s">
        <v>468</v>
      </c>
      <c r="AC26" s="157" t="e">
        <f>AC14/初始化表!$H$17</f>
        <v>#DIV/0!</v>
      </c>
      <c r="AD26" s="157" t="e">
        <f>AD14/初始化表!$H$17</f>
        <v>#DIV/0!</v>
      </c>
      <c r="AE26" s="157" t="e">
        <f>AE14/初始化表!$H$17</f>
        <v>#DIV/0!</v>
      </c>
      <c r="AF26" s="157" t="e">
        <f>AF14/初始化表!$H$17</f>
        <v>#DIV/0!</v>
      </c>
      <c r="AG26" s="74"/>
      <c r="AH26" s="73"/>
      <c r="AI26" s="359"/>
      <c r="AJ26" s="360">
        <f>I56</f>
        <v>0</v>
      </c>
      <c r="AK26" s="364"/>
      <c r="AL26" s="364"/>
      <c r="AM26" s="360"/>
      <c r="AN26" s="365">
        <f>O43</f>
        <v>0.95</v>
      </c>
      <c r="AO26" s="370"/>
      <c r="AP26" s="370"/>
      <c r="AQ26" s="371"/>
      <c r="AR26" s="103"/>
      <c r="AS26" s="190" t="s">
        <v>449</v>
      </c>
      <c r="AT26" s="189">
        <f>(SUM(AM9:AM12)*初始化表!E17+SUM(AM13:AM16)*初始化表!F17+SUM(AM17:AM20)*初始化表!G17+SUM(AM21:AM24)*初始化表!H17)/1300</f>
        <v>0</v>
      </c>
      <c r="AU26" s="103"/>
      <c r="AV26" s="103"/>
      <c r="AW26" s="103"/>
      <c r="AZ26" s="193"/>
      <c r="BA26" s="196">
        <f t="shared" si="10"/>
        <v>0</v>
      </c>
      <c r="BB26" s="443">
        <f t="shared" si="11"/>
        <v>0</v>
      </c>
      <c r="BC26" s="197">
        <f t="shared" si="12"/>
        <v>0</v>
      </c>
      <c r="BD26" s="197">
        <f t="shared" si="13"/>
        <v>0</v>
      </c>
      <c r="BE26" s="197">
        <f t="shared" si="14"/>
        <v>0</v>
      </c>
      <c r="BF26" s="197">
        <f t="shared" si="15"/>
        <v>0</v>
      </c>
      <c r="BG26" s="197">
        <f t="shared" si="16"/>
        <v>0</v>
      </c>
      <c r="BH26" s="197">
        <f t="shared" si="17"/>
        <v>0</v>
      </c>
      <c r="BI26" s="197">
        <f t="shared" si="18"/>
        <v>0</v>
      </c>
      <c r="BJ26" s="197">
        <f t="shared" si="19"/>
        <v>0</v>
      </c>
      <c r="BK26" s="197">
        <f t="shared" si="20"/>
        <v>0</v>
      </c>
      <c r="BL26" s="197">
        <f t="shared" si="21"/>
        <v>0</v>
      </c>
      <c r="BM26" s="197">
        <f t="shared" si="22"/>
        <v>0</v>
      </c>
      <c r="BN26" s="197">
        <f t="shared" si="23"/>
        <v>0</v>
      </c>
      <c r="BO26" s="197">
        <f t="shared" si="24"/>
        <v>0</v>
      </c>
      <c r="BP26" s="197">
        <f t="shared" si="25"/>
        <v>0</v>
      </c>
      <c r="BQ26" s="197">
        <f t="shared" si="26"/>
        <v>0</v>
      </c>
      <c r="BR26" s="211"/>
      <c r="BS26" s="194" t="s">
        <v>570</v>
      </c>
      <c r="BT26" s="208"/>
      <c r="BU26" s="208"/>
      <c r="BV26" s="208"/>
      <c r="BW26" s="323" t="e">
        <f>STDEV.P(AL107:AL126)</f>
        <v>#DIV/0!</v>
      </c>
      <c r="BX26" s="323" t="e">
        <f>STDEV.P(AM107:AM126)</f>
        <v>#DIV/0!</v>
      </c>
      <c r="BY26" s="323" t="e">
        <f>STDEV.P(AN107:AN126)</f>
        <v>#DIV/0!</v>
      </c>
      <c r="BZ26" s="323" t="e">
        <f>STDEV.P(AP107:AP126)</f>
        <v>#DIV/0!</v>
      </c>
      <c r="CA26" s="324" t="e">
        <f>STDEV.P(AW107:AW126)</f>
        <v>#DIV/0!</v>
      </c>
      <c r="CB26" s="208"/>
      <c r="CC26" s="208"/>
      <c r="CD26" s="208"/>
      <c r="CE26" s="208"/>
      <c r="CF26" s="208"/>
      <c r="CG26" s="203"/>
      <c r="CH26" s="203"/>
      <c r="CI26" s="203"/>
      <c r="CJ26" s="226"/>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row>
    <row r="27" s="61" customFormat="1" ht="16" customHeight="1" spans="1:121">
      <c r="A27" s="269" t="s">
        <v>571</v>
      </c>
      <c r="B27" s="270"/>
      <c r="C27" s="269" t="s">
        <v>572</v>
      </c>
      <c r="D27" s="269" t="s">
        <v>573</v>
      </c>
      <c r="E27" s="269" t="s">
        <v>574</v>
      </c>
      <c r="F27" s="269" t="s">
        <v>575</v>
      </c>
      <c r="G27" s="73"/>
      <c r="H27" s="269" t="s">
        <v>523</v>
      </c>
      <c r="I27" s="280"/>
      <c r="J27" s="97"/>
      <c r="K27" s="280"/>
      <c r="L27" s="280"/>
      <c r="M27" s="98">
        <f t="shared" si="41"/>
        <v>0</v>
      </c>
      <c r="N27" s="269" t="s">
        <v>576</v>
      </c>
      <c r="O27" s="269" t="s">
        <v>565</v>
      </c>
      <c r="P27" s="269" t="s">
        <v>566</v>
      </c>
      <c r="Q27" s="269" t="s">
        <v>567</v>
      </c>
      <c r="R27" s="269" t="s">
        <v>568</v>
      </c>
      <c r="S27" s="121"/>
      <c r="T27" s="120"/>
      <c r="U27" s="68" t="s">
        <v>280</v>
      </c>
      <c r="V27" s="102" t="e">
        <f>第2期!B10</f>
        <v>#DIV/0!</v>
      </c>
      <c r="W27" s="102" t="e">
        <f>第2期!C10</f>
        <v>#DIV/0!</v>
      </c>
      <c r="X27" s="102" t="e">
        <f>第2期!D10</f>
        <v>#DIV/0!</v>
      </c>
      <c r="Y27" s="102" t="e">
        <f>第2期!E10</f>
        <v>#DIV/0!</v>
      </c>
      <c r="Z27" s="115"/>
      <c r="AA27" s="73"/>
      <c r="AB27" s="399"/>
      <c r="AC27" s="399"/>
      <c r="AD27" s="399"/>
      <c r="AE27" s="399"/>
      <c r="AF27" s="399"/>
      <c r="AG27" s="155"/>
      <c r="AH27" s="73"/>
      <c r="AI27" s="359"/>
      <c r="AJ27" s="360">
        <f>J56</f>
        <v>0</v>
      </c>
      <c r="AK27" s="364"/>
      <c r="AL27" s="364"/>
      <c r="AM27" s="360"/>
      <c r="AN27" s="365">
        <f>P43</f>
        <v>0.95</v>
      </c>
      <c r="AO27" s="370"/>
      <c r="AP27" s="370"/>
      <c r="AQ27" s="371"/>
      <c r="AR27" s="103"/>
      <c r="AS27" s="190" t="s">
        <v>453</v>
      </c>
      <c r="AT27" s="189">
        <f>(AR12*初始化表!E17+AR16*初始化表!F17+AR20*初始化表!G17+AR24*初始化表!H17)/1300</f>
        <v>0</v>
      </c>
      <c r="AU27" s="103"/>
      <c r="AV27" s="103"/>
      <c r="AW27" s="103"/>
      <c r="AZ27" s="193"/>
      <c r="BA27" s="194" t="s">
        <v>577</v>
      </c>
      <c r="BB27" s="444">
        <f t="shared" ref="BB27:BQ27" si="42">INT(SUMPRODUCT(AJ37:AJ56,AJ61:AJ80))</f>
        <v>0</v>
      </c>
      <c r="BC27" s="198">
        <f t="shared" si="42"/>
        <v>0</v>
      </c>
      <c r="BD27" s="198">
        <f t="shared" si="42"/>
        <v>0</v>
      </c>
      <c r="BE27" s="198">
        <f t="shared" si="42"/>
        <v>0</v>
      </c>
      <c r="BF27" s="198">
        <f t="shared" si="42"/>
        <v>0</v>
      </c>
      <c r="BG27" s="198">
        <f t="shared" si="42"/>
        <v>0</v>
      </c>
      <c r="BH27" s="198">
        <f t="shared" si="42"/>
        <v>0</v>
      </c>
      <c r="BI27" s="198">
        <f t="shared" si="42"/>
        <v>0</v>
      </c>
      <c r="BJ27" s="198">
        <f t="shared" si="42"/>
        <v>0</v>
      </c>
      <c r="BK27" s="198">
        <f t="shared" si="42"/>
        <v>0</v>
      </c>
      <c r="BL27" s="198">
        <f t="shared" si="42"/>
        <v>0</v>
      </c>
      <c r="BM27" s="198">
        <f t="shared" si="42"/>
        <v>0</v>
      </c>
      <c r="BN27" s="198">
        <f t="shared" si="42"/>
        <v>0</v>
      </c>
      <c r="BO27" s="198">
        <f t="shared" si="42"/>
        <v>0</v>
      </c>
      <c r="BP27" s="198">
        <f t="shared" si="42"/>
        <v>0</v>
      </c>
      <c r="BQ27" s="198">
        <f t="shared" si="42"/>
        <v>0</v>
      </c>
      <c r="BR27" s="211"/>
      <c r="BS27" s="322" t="s">
        <v>578</v>
      </c>
      <c r="BT27" s="322"/>
      <c r="BU27" s="322"/>
      <c r="BV27" s="322"/>
      <c r="BW27" s="407" t="e">
        <f>100000/BW26*初始化表!B30</f>
        <v>#DIV/0!</v>
      </c>
      <c r="BX27" s="407" t="e">
        <f>100000/BX26*初始化表!B33</f>
        <v>#DIV/0!</v>
      </c>
      <c r="BY27" s="407" t="e">
        <f>100000/BY26*初始化表!B32</f>
        <v>#DIV/0!</v>
      </c>
      <c r="BZ27" s="407" t="e">
        <f>100000/BZ26*初始化表!B34</f>
        <v>#DIV/0!</v>
      </c>
      <c r="CA27" s="449"/>
      <c r="CB27" s="449"/>
      <c r="CC27" s="449"/>
      <c r="CD27" s="449"/>
      <c r="CE27" s="449"/>
      <c r="CF27" s="449"/>
      <c r="CG27" s="211"/>
      <c r="CH27" s="211"/>
      <c r="CI27" s="211"/>
      <c r="CJ27" s="226"/>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row>
    <row r="28" s="61" customFormat="1" ht="16" customHeight="1" spans="1:121">
      <c r="A28" s="269" t="s">
        <v>361</v>
      </c>
      <c r="B28" s="270"/>
      <c r="C28" s="79" t="e">
        <f>第2期!F64</f>
        <v>#DIV/0!</v>
      </c>
      <c r="D28" s="79"/>
      <c r="E28" s="79"/>
      <c r="F28" s="79"/>
      <c r="G28" s="73"/>
      <c r="H28" s="269" t="s">
        <v>524</v>
      </c>
      <c r="I28" s="97"/>
      <c r="J28" s="97"/>
      <c r="K28" s="280"/>
      <c r="L28" s="280"/>
      <c r="M28" s="98">
        <f t="shared" si="41"/>
        <v>0</v>
      </c>
      <c r="N28" s="269" t="s">
        <v>276</v>
      </c>
      <c r="O28" s="93" t="e">
        <v>#DIV/0!</v>
      </c>
      <c r="P28" s="93" t="e">
        <v>#DIV/0!</v>
      </c>
      <c r="Q28" s="93" t="e">
        <v>#DIV/0!</v>
      </c>
      <c r="R28" s="93" t="e">
        <v>#DIV/0!</v>
      </c>
      <c r="S28" s="131"/>
      <c r="T28" s="120"/>
      <c r="U28" s="123"/>
      <c r="V28" s="74"/>
      <c r="W28" s="74"/>
      <c r="X28" s="74"/>
      <c r="Y28" s="74"/>
      <c r="Z28" s="74"/>
      <c r="AA28" s="73"/>
      <c r="AB28" s="151" t="s">
        <v>579</v>
      </c>
      <c r="AC28" s="151" t="s">
        <v>459</v>
      </c>
      <c r="AD28" s="151" t="s">
        <v>460</v>
      </c>
      <c r="AE28" s="151" t="s">
        <v>461</v>
      </c>
      <c r="AF28" s="151" t="s">
        <v>462</v>
      </c>
      <c r="AG28" s="74"/>
      <c r="AH28" s="73"/>
      <c r="AI28" s="359"/>
      <c r="AJ28" s="360">
        <f>K56</f>
        <v>0</v>
      </c>
      <c r="AK28" s="364"/>
      <c r="AL28" s="364"/>
      <c r="AM28" s="360"/>
      <c r="AN28" s="365">
        <f>Q43</f>
        <v>0.95</v>
      </c>
      <c r="AO28" s="370"/>
      <c r="AP28" s="370"/>
      <c r="AQ28" s="371"/>
      <c r="AR28" s="103"/>
      <c r="AS28" s="190" t="s">
        <v>454</v>
      </c>
      <c r="AT28" s="189">
        <f>(AT12*初始化表!E17+AT16*初始化表!F17+AT20*初始化表!G17+AT24*初始化表!H17)/1300</f>
        <v>0</v>
      </c>
      <c r="AU28" s="103"/>
      <c r="AV28" s="190" t="s">
        <v>580</v>
      </c>
      <c r="AW28" s="189">
        <f>(SUM(I25:L25)*初始化表!E17+SUM(I26:L26)*初始化表!F17+SUM(I27:L27)*初始化表!G17+SUM(I28:L28)*初始化表!H17)/1300</f>
        <v>0</v>
      </c>
      <c r="AZ28" s="193"/>
      <c r="BA28" s="194" t="s">
        <v>581</v>
      </c>
      <c r="BB28" s="445">
        <f>IF(ISERROR(AM9/AN9),0,AM9/AN9)</f>
        <v>0</v>
      </c>
      <c r="BC28" s="199">
        <f>IF(ISERROR($AM$10/$AN$10),0,$AM$10/$AN$10)</f>
        <v>0</v>
      </c>
      <c r="BD28" s="199">
        <f>IF(ISERROR($AM$11/$AN$11),0,$AM$11/$AN$11)</f>
        <v>0</v>
      </c>
      <c r="BE28" s="199">
        <f>IF(ISERROR($AM$12/$AN$12),0,$AM$12/$AN$12)</f>
        <v>0</v>
      </c>
      <c r="BF28" s="199">
        <f>IF(ISERROR($AM$13/$AN$13),0,$AM$13/$AN$13)</f>
        <v>0</v>
      </c>
      <c r="BG28" s="199">
        <f>IF(ISERROR($AM$14/$AN$14),0,$AM$14/$AN$14)</f>
        <v>0</v>
      </c>
      <c r="BH28" s="199">
        <f>IF(ISERROR($AM$15/$AN$15),0,$AM$15/$AN$15)</f>
        <v>0</v>
      </c>
      <c r="BI28" s="199">
        <f>IF(ISERROR($AM$16/$AN$16),0,$AM$16/$AN$16)</f>
        <v>0</v>
      </c>
      <c r="BJ28" s="199">
        <f>IF(ISERROR($AM$17/$AN$17),0,$AM$17/$AN$17)</f>
        <v>0</v>
      </c>
      <c r="BK28" s="199">
        <f>IF(ISERROR($AM$18/$AN$18),0,$AM$18/$AN$18)</f>
        <v>0</v>
      </c>
      <c r="BL28" s="199">
        <f>IF(ISERROR($AM$19/$AN$19),0,$AM$19/$AN$19)</f>
        <v>0</v>
      </c>
      <c r="BM28" s="199">
        <f>IF(ISERROR($AM$20/$AN$20),0,$AM$20/$AN$20)</f>
        <v>0</v>
      </c>
      <c r="BN28" s="199">
        <f>IF(ISERROR($AM$21/$AN$21),0,$AM$21/$AN$21)</f>
        <v>0</v>
      </c>
      <c r="BO28" s="199">
        <f>IF(ISERROR($AM$22/$AN$22),0,$AM$22/$AN$22)</f>
        <v>0</v>
      </c>
      <c r="BP28" s="199">
        <f>IF(ISERROR($AM$23/$AN$23),0,$AM$23/$AN$23)</f>
        <v>0</v>
      </c>
      <c r="BQ28" s="199">
        <f>IF(ISERROR($AM$24/$AN$24),0,$AM$24/$AN$24)</f>
        <v>0</v>
      </c>
      <c r="BR28" s="211"/>
      <c r="BS28" s="194" t="s">
        <v>37</v>
      </c>
      <c r="BT28" s="194" t="s">
        <v>521</v>
      </c>
      <c r="BU28" s="195"/>
      <c r="BV28" s="195"/>
      <c r="BW28" s="195"/>
      <c r="BX28" s="194" t="s">
        <v>522</v>
      </c>
      <c r="BY28" s="195"/>
      <c r="BZ28" s="195"/>
      <c r="CA28" s="195"/>
      <c r="CB28" s="194" t="s">
        <v>523</v>
      </c>
      <c r="CC28" s="195"/>
      <c r="CD28" s="195"/>
      <c r="CE28" s="195"/>
      <c r="CF28" s="194" t="s">
        <v>524</v>
      </c>
      <c r="CG28" s="195"/>
      <c r="CH28" s="195"/>
      <c r="CI28" s="195"/>
      <c r="CJ28" s="226"/>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row>
    <row r="29" s="61" customFormat="1" ht="16" customHeight="1" spans="1:121">
      <c r="A29" s="269" t="s">
        <v>309</v>
      </c>
      <c r="B29" s="270"/>
      <c r="C29" s="77">
        <f>B24</f>
        <v>0</v>
      </c>
      <c r="D29" s="79"/>
      <c r="E29" s="79"/>
      <c r="F29" s="79" t="e">
        <f>C28+C29</f>
        <v>#DIV/0!</v>
      </c>
      <c r="G29" s="73"/>
      <c r="H29" s="354" t="s">
        <v>582</v>
      </c>
      <c r="I29" s="81">
        <f>(H17-C22+初始化表!H4*B22)-((B17+D17)*初始化表!E18+(B18+D18)*初始化表!F18+(B19+D19)*初始化表!G18+(B20+D20)*初始化表!H18)/520</f>
        <v>0</v>
      </c>
      <c r="J29" s="354" t="s">
        <v>583</v>
      </c>
      <c r="K29" s="99">
        <f>H43-(SUM(B17:E17)*初始化表!E19+SUM(B18:E18)*初始化表!F19+SUM(B19:E19)*初始化表!G19+SUM(B20:E20)*初始化表!H19)</f>
        <v>0</v>
      </c>
      <c r="L29" s="99"/>
      <c r="M29" s="85"/>
      <c r="N29" s="269" t="s">
        <v>280</v>
      </c>
      <c r="O29" s="93" t="e">
        <v>#DIV/0!</v>
      </c>
      <c r="P29" s="93" t="e">
        <v>#DIV/0!</v>
      </c>
      <c r="Q29" s="93" t="e">
        <v>#DIV/0!</v>
      </c>
      <c r="R29" s="93" t="e">
        <v>#DIV/0!</v>
      </c>
      <c r="S29" s="131"/>
      <c r="T29" s="120"/>
      <c r="U29" s="68" t="s">
        <v>584</v>
      </c>
      <c r="V29" s="68" t="s">
        <v>459</v>
      </c>
      <c r="W29" s="68" t="s">
        <v>460</v>
      </c>
      <c r="X29" s="68" t="s">
        <v>461</v>
      </c>
      <c r="Y29" s="68" t="s">
        <v>462</v>
      </c>
      <c r="Z29" s="74"/>
      <c r="AA29" s="73"/>
      <c r="AB29" s="151" t="s">
        <v>198</v>
      </c>
      <c r="AC29" s="156" t="e">
        <f t="shared" ref="AC29:AF32" si="43">AC11/AD5</f>
        <v>#DIV/0!</v>
      </c>
      <c r="AD29" s="156" t="e">
        <f t="shared" si="43"/>
        <v>#DIV/0!</v>
      </c>
      <c r="AE29" s="156" t="e">
        <f t="shared" si="43"/>
        <v>#DIV/0!</v>
      </c>
      <c r="AF29" s="156" t="e">
        <f t="shared" si="43"/>
        <v>#DIV/0!</v>
      </c>
      <c r="AG29" s="74"/>
      <c r="AH29" s="73"/>
      <c r="AI29" s="359"/>
      <c r="AJ29" s="366">
        <f>L56</f>
        <v>0</v>
      </c>
      <c r="AK29" s="364"/>
      <c r="AL29" s="364"/>
      <c r="AM29" s="360"/>
      <c r="AN29" s="365">
        <f>R43</f>
        <v>0.95</v>
      </c>
      <c r="AO29" s="370"/>
      <c r="AP29" s="370"/>
      <c r="AQ29" s="371"/>
      <c r="AR29" s="103"/>
      <c r="AS29" s="190" t="s">
        <v>455</v>
      </c>
      <c r="AT29" s="189">
        <f>(SUM(AK9:AK12)*初始化表!E17+SUM(AK13:AK16)*初始化表!F17+SUM(AK17:AK20)*初始化表!G17+SUM(AK21:AK24)*初始化表!H17)/1300</f>
        <v>0</v>
      </c>
      <c r="AU29" s="103"/>
      <c r="AV29" s="190"/>
      <c r="AW29" s="189"/>
      <c r="AZ29" s="193"/>
      <c r="BA29" s="200" t="s">
        <v>585</v>
      </c>
      <c r="BB29" s="446" t="e">
        <f>B6</f>
        <v>#DIV/0!</v>
      </c>
      <c r="BC29" s="201" t="e">
        <f>C6</f>
        <v>#DIV/0!</v>
      </c>
      <c r="BD29" s="201" t="e">
        <f>D6</f>
        <v>#DIV/0!</v>
      </c>
      <c r="BE29" s="201" t="e">
        <f>E6</f>
        <v>#DIV/0!</v>
      </c>
      <c r="BF29" s="201" t="e">
        <f>B7</f>
        <v>#DIV/0!</v>
      </c>
      <c r="BG29" s="201" t="e">
        <f>C7</f>
        <v>#DIV/0!</v>
      </c>
      <c r="BH29" s="201" t="e">
        <f>D7</f>
        <v>#DIV/0!</v>
      </c>
      <c r="BI29" s="201" t="e">
        <f>E7</f>
        <v>#DIV/0!</v>
      </c>
      <c r="BJ29" s="201" t="e">
        <f>B8</f>
        <v>#DIV/0!</v>
      </c>
      <c r="BK29" s="201" t="e">
        <f>C8</f>
        <v>#DIV/0!</v>
      </c>
      <c r="BL29" s="201" t="e">
        <f>D8</f>
        <v>#DIV/0!</v>
      </c>
      <c r="BM29" s="201" t="e">
        <f>E8</f>
        <v>#DIV/0!</v>
      </c>
      <c r="BN29" s="201" t="e">
        <f>B9</f>
        <v>#DIV/0!</v>
      </c>
      <c r="BO29" s="201" t="e">
        <f>C9</f>
        <v>#DIV/0!</v>
      </c>
      <c r="BP29" s="201" t="e">
        <f>D9</f>
        <v>#DIV/0!</v>
      </c>
      <c r="BQ29" s="201" t="e">
        <f>E9</f>
        <v>#DIV/0!</v>
      </c>
      <c r="BR29" s="211"/>
      <c r="BS29" s="195"/>
      <c r="BT29" s="194" t="s">
        <v>513</v>
      </c>
      <c r="BU29" s="194" t="s">
        <v>514</v>
      </c>
      <c r="BV29" s="194" t="s">
        <v>515</v>
      </c>
      <c r="BW29" s="194" t="s">
        <v>516</v>
      </c>
      <c r="BX29" s="194" t="s">
        <v>513</v>
      </c>
      <c r="BY29" s="194" t="s">
        <v>514</v>
      </c>
      <c r="BZ29" s="194" t="s">
        <v>515</v>
      </c>
      <c r="CA29" s="194" t="s">
        <v>516</v>
      </c>
      <c r="CB29" s="194" t="s">
        <v>513</v>
      </c>
      <c r="CC29" s="194" t="s">
        <v>514</v>
      </c>
      <c r="CD29" s="194" t="s">
        <v>515</v>
      </c>
      <c r="CE29" s="194" t="s">
        <v>516</v>
      </c>
      <c r="CF29" s="194" t="s">
        <v>513</v>
      </c>
      <c r="CG29" s="194" t="s">
        <v>514</v>
      </c>
      <c r="CH29" s="194" t="s">
        <v>515</v>
      </c>
      <c r="CI29" s="194" t="s">
        <v>516</v>
      </c>
      <c r="CJ29" s="226"/>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row>
    <row r="30" s="61" customFormat="1" ht="16" customHeight="1" spans="1:121">
      <c r="A30" s="269" t="s">
        <v>362</v>
      </c>
      <c r="B30" s="270"/>
      <c r="C30" s="77">
        <f>C24</f>
        <v>0</v>
      </c>
      <c r="D30" s="79"/>
      <c r="E30" s="79"/>
      <c r="F30" s="79" t="e">
        <f t="shared" ref="F30:F38" si="44">F29+C30</f>
        <v>#DIV/0!</v>
      </c>
      <c r="G30" s="73"/>
      <c r="H30" s="354" t="s">
        <v>586</v>
      </c>
      <c r="I30" s="354" t="s">
        <v>587</v>
      </c>
      <c r="J30" s="354" t="s">
        <v>588</v>
      </c>
      <c r="K30" s="354" t="s">
        <v>589</v>
      </c>
      <c r="L30" s="354" t="s">
        <v>590</v>
      </c>
      <c r="M30" s="85"/>
      <c r="N30" s="74"/>
      <c r="O30" s="74"/>
      <c r="P30" s="74"/>
      <c r="Q30" s="74"/>
      <c r="R30" s="74"/>
      <c r="S30" s="74"/>
      <c r="T30" s="120"/>
      <c r="U30" s="68" t="s">
        <v>464</v>
      </c>
      <c r="V30" s="115">
        <f>第2期!BB27</f>
        <v>0</v>
      </c>
      <c r="W30" s="115">
        <f>第2期!BC27</f>
        <v>0</v>
      </c>
      <c r="X30" s="115">
        <f>第2期!BD27</f>
        <v>0</v>
      </c>
      <c r="Y30" s="115">
        <f>第2期!BE27</f>
        <v>0</v>
      </c>
      <c r="Z30" s="74"/>
      <c r="AA30" s="73"/>
      <c r="AB30" s="151" t="s">
        <v>202</v>
      </c>
      <c r="AC30" s="156" t="e">
        <f t="shared" si="43"/>
        <v>#DIV/0!</v>
      </c>
      <c r="AD30" s="156" t="e">
        <f t="shared" si="43"/>
        <v>#DIV/0!</v>
      </c>
      <c r="AE30" s="156" t="e">
        <f t="shared" si="43"/>
        <v>#DIV/0!</v>
      </c>
      <c r="AF30" s="156" t="e">
        <f t="shared" si="43"/>
        <v>#DIV/0!</v>
      </c>
      <c r="AG30" s="74"/>
      <c r="AH30" s="73"/>
      <c r="AR30" s="103"/>
      <c r="AS30" s="190" t="s">
        <v>456</v>
      </c>
      <c r="AT30" s="189">
        <f>(AJ26*初始化表!E17+AJ27*初始化表!F17+AJ28*初始化表!G17+AJ29*初始化表!H17)/1300</f>
        <v>0</v>
      </c>
      <c r="AU30" s="103"/>
      <c r="AV30" s="103"/>
      <c r="AW30" s="103"/>
      <c r="AZ30" s="193"/>
      <c r="BA30" s="194" t="s">
        <v>37</v>
      </c>
      <c r="BB30" s="374" t="s">
        <v>591</v>
      </c>
      <c r="BC30" s="374" t="s">
        <v>592</v>
      </c>
      <c r="BD30" s="374" t="s">
        <v>593</v>
      </c>
      <c r="BE30" s="374" t="s">
        <v>594</v>
      </c>
      <c r="BF30" s="374" t="s">
        <v>595</v>
      </c>
      <c r="BG30" s="374" t="s">
        <v>596</v>
      </c>
      <c r="BH30" s="374" t="s">
        <v>597</v>
      </c>
      <c r="BI30" s="447" t="s">
        <v>598</v>
      </c>
      <c r="BJ30" s="374" t="s">
        <v>599</v>
      </c>
      <c r="BK30" s="374" t="s">
        <v>600</v>
      </c>
      <c r="BL30" s="203"/>
      <c r="BM30" s="194" t="s">
        <v>601</v>
      </c>
      <c r="BN30" s="194"/>
      <c r="BO30" s="194"/>
      <c r="BP30" s="194"/>
      <c r="BQ30" s="194"/>
      <c r="BR30" s="211"/>
      <c r="BS30" s="196">
        <f t="shared" ref="BS30:BS49" si="45">BS5</f>
        <v>0</v>
      </c>
      <c r="BT30" s="213" t="e">
        <f t="shared" ref="BT30:BT49" si="46">$BT5*(AJ61-BT$50)/BT$51</f>
        <v>#DIV/0!</v>
      </c>
      <c r="BU30" s="213" t="e">
        <f t="shared" ref="BU30:BU49" si="47">$BT5*(AK61-BU$50)/BU$51</f>
        <v>#DIV/0!</v>
      </c>
      <c r="BV30" s="213" t="e">
        <f t="shared" ref="BV30:BV49" si="48">$BT5*(AL61-BV$50)/BV$51</f>
        <v>#DIV/0!</v>
      </c>
      <c r="BW30" s="213" t="e">
        <f t="shared" ref="BW30:BW49" si="49">$BT5*(AM61-BW$50)/BW$51</f>
        <v>#DIV/0!</v>
      </c>
      <c r="BX30" s="213" t="e">
        <f t="shared" ref="BX30:BX49" si="50">$BT5*(AN61-BX$50)/BX$51</f>
        <v>#DIV/0!</v>
      </c>
      <c r="BY30" s="213" t="e">
        <f t="shared" ref="BY30:BY49" si="51">$BT5*(AO61-BY$50)/BY$51</f>
        <v>#DIV/0!</v>
      </c>
      <c r="BZ30" s="213" t="e">
        <f t="shared" ref="BZ30:BZ49" si="52">$BT5*(AP61-BZ$50)/BZ$51</f>
        <v>#DIV/0!</v>
      </c>
      <c r="CA30" s="213" t="e">
        <f t="shared" ref="CA30:CA49" si="53">$BT5*(AQ61-CA$50)/CA$51</f>
        <v>#DIV/0!</v>
      </c>
      <c r="CB30" s="213" t="e">
        <f t="shared" ref="CB30:CB49" si="54">$BT5*(AR61-CB$50)/CB$51</f>
        <v>#DIV/0!</v>
      </c>
      <c r="CC30" s="213" t="e">
        <f t="shared" ref="CC30:CC49" si="55">$BT5*(AS61-CC$50)/CC$51</f>
        <v>#DIV/0!</v>
      </c>
      <c r="CD30" s="213" t="e">
        <f t="shared" ref="CD30:CD49" si="56">$BT5*(AT61-CD$50)/CD$51</f>
        <v>#DIV/0!</v>
      </c>
      <c r="CE30" s="213" t="e">
        <f t="shared" ref="CE30:CE49" si="57">$BT5*(AU61-CE$50)/CE$51</f>
        <v>#DIV/0!</v>
      </c>
      <c r="CF30" s="213" t="e">
        <f t="shared" ref="CF30:CF49" si="58">$BT5*(AV61-CF$50)/CF$51</f>
        <v>#DIV/0!</v>
      </c>
      <c r="CG30" s="213" t="e">
        <f t="shared" ref="CG30:CG49" si="59">$BT5*(AW61-CG$50)/CG$51</f>
        <v>#DIV/0!</v>
      </c>
      <c r="CH30" s="213" t="e">
        <f t="shared" ref="CH30:CH49" si="60">$BT5*(AX61-CH$50)/CH$51</f>
        <v>#DIV/0!</v>
      </c>
      <c r="CI30" s="213" t="e">
        <f t="shared" ref="CI30:CI49" si="61">$BT5*(AY61-CI$50)/CI$51</f>
        <v>#DIV/0!</v>
      </c>
      <c r="CJ30" s="226"/>
      <c r="CK30" s="228"/>
      <c r="CL30" s="228"/>
      <c r="CM30" s="228"/>
      <c r="CN30" s="228"/>
      <c r="CO30" s="228"/>
      <c r="CP30" s="228"/>
      <c r="CQ30" s="228"/>
      <c r="CR30" s="228"/>
      <c r="CS30" s="228"/>
      <c r="CT30" s="228"/>
      <c r="CU30" s="228"/>
      <c r="CV30" s="228"/>
      <c r="CW30" s="228"/>
      <c r="CX30" s="228"/>
      <c r="CY30" s="228"/>
      <c r="CZ30" s="228"/>
      <c r="DA30" s="228"/>
      <c r="DB30" s="228"/>
      <c r="DC30" s="228"/>
      <c r="DD30" s="228"/>
      <c r="DE30" s="228"/>
      <c r="DF30" s="228"/>
      <c r="DG30" s="228"/>
      <c r="DH30" s="228"/>
      <c r="DI30" s="228"/>
      <c r="DJ30" s="228"/>
      <c r="DK30" s="228"/>
      <c r="DL30" s="228"/>
      <c r="DM30" s="228"/>
      <c r="DN30" s="228"/>
      <c r="DO30" s="228"/>
      <c r="DP30" s="228"/>
      <c r="DQ30" s="228"/>
    </row>
    <row r="31" s="61" customFormat="1" ht="16" customHeight="1" spans="1:121">
      <c r="A31" s="269" t="s">
        <v>363</v>
      </c>
      <c r="B31" s="270"/>
      <c r="C31" s="77">
        <f>-N35*5%</f>
        <v>0</v>
      </c>
      <c r="D31" s="79"/>
      <c r="E31" s="79"/>
      <c r="F31" s="79" t="e">
        <f t="shared" si="44"/>
        <v>#DIV/0!</v>
      </c>
      <c r="G31" s="73"/>
      <c r="H31" s="81" t="e">
        <f>N49-(B17*初始化表!E17+B18*初始化表!F17+B19*初始化表!G17+B20*初始化表!H17)/520</f>
        <v>#DIV/0!</v>
      </c>
      <c r="I31" s="81" t="e">
        <f>N49-(D17*初始化表!E17+D18*初始化表!F17+D19*初始化表!G17+D20*初始化表!H17)/520-(C17*初始化表!E17+C18*初始化表!F17+C19*初始化表!G17+C20*初始化表!H17)/260</f>
        <v>#DIV/0!</v>
      </c>
      <c r="J31" s="81" t="e">
        <f>N49-(E17*初始化表!E17+E18*初始化表!F17+E19*初始化表!G17+E20*初始化表!H17)/260</f>
        <v>#DIV/0!</v>
      </c>
      <c r="K31" s="81">
        <f>((D17-2*E17)*初始化表!E18+(D18-2*E18)*初始化表!F18+(D19-2*E19)*初始化表!G18+(D20-2*E20)*初始化表!H18)/520</f>
        <v>0</v>
      </c>
      <c r="L31" s="81">
        <f>((B17-2*C17)*初始化表!E18+(B18-2*C18)*初始化表!F18+(B19-2*C19)*初始化表!G18+(B20-2*C20)*初始化表!H18)/520</f>
        <v>0</v>
      </c>
      <c r="M31" s="85"/>
      <c r="N31" s="68" t="s">
        <v>602</v>
      </c>
      <c r="O31" s="69"/>
      <c r="P31" s="69"/>
      <c r="Q31" s="69"/>
      <c r="R31" s="69"/>
      <c r="S31" s="74"/>
      <c r="T31" s="120"/>
      <c r="U31" s="68" t="s">
        <v>465</v>
      </c>
      <c r="V31" s="115">
        <f>第2期!BF27</f>
        <v>0</v>
      </c>
      <c r="W31" s="115">
        <f>第2期!BG27</f>
        <v>0</v>
      </c>
      <c r="X31" s="115">
        <f>第2期!BH27</f>
        <v>0</v>
      </c>
      <c r="Y31" s="115">
        <f>第2期!BI27</f>
        <v>0</v>
      </c>
      <c r="Z31" s="74"/>
      <c r="AA31" s="73"/>
      <c r="AB31" s="151" t="s">
        <v>206</v>
      </c>
      <c r="AC31" s="156" t="e">
        <f t="shared" si="43"/>
        <v>#DIV/0!</v>
      </c>
      <c r="AD31" s="156" t="e">
        <f t="shared" si="43"/>
        <v>#DIV/0!</v>
      </c>
      <c r="AE31" s="156" t="e">
        <f t="shared" si="43"/>
        <v>#DIV/0!</v>
      </c>
      <c r="AF31" s="156" t="e">
        <f t="shared" si="43"/>
        <v>#DIV/0!</v>
      </c>
      <c r="AG31" s="74"/>
      <c r="AH31" s="73"/>
      <c r="AI31" s="68" t="s">
        <v>603</v>
      </c>
      <c r="AJ31" s="69"/>
      <c r="AK31" s="69"/>
      <c r="AL31" s="69"/>
      <c r="AM31" s="69"/>
      <c r="AN31" s="69"/>
      <c r="AO31" s="69"/>
      <c r="AP31" s="69"/>
      <c r="AQ31" s="69"/>
      <c r="AR31" s="69"/>
      <c r="AS31" s="69"/>
      <c r="AT31" s="69"/>
      <c r="AU31" s="69"/>
      <c r="AV31" s="69"/>
      <c r="AW31" s="69"/>
      <c r="AX31" s="69"/>
      <c r="AY31" s="69"/>
      <c r="AZ31" s="193"/>
      <c r="BA31" s="196">
        <f t="shared" ref="BA31:BA50" si="62">BA7</f>
        <v>0</v>
      </c>
      <c r="BB31" s="201">
        <f t="shared" ref="BB31:BB50" si="63">SUM(BB7:BE7)</f>
        <v>0</v>
      </c>
      <c r="BC31" s="201">
        <f t="shared" ref="BC31:BC50" si="64">SUM(BF7:BI7)</f>
        <v>0</v>
      </c>
      <c r="BD31" s="201">
        <f t="shared" ref="BD31:BD50" si="65">SUM(BJ7:BM7)</f>
        <v>0</v>
      </c>
      <c r="BE31" s="201">
        <f t="shared" ref="BE31:BE50" si="66">SUM(BN7:BQ7)</f>
        <v>0</v>
      </c>
      <c r="BF31" s="202">
        <f>(BB31*初始化表!E$17+BC31*初始化表!F$17+BD31*初始化表!G$17+BE31*初始化表!H$17)/1300</f>
        <v>0</v>
      </c>
      <c r="BG31" s="207">
        <f t="shared" ref="BG31:BG50" si="67">IF(BF31=0,0,AL107/BF31)</f>
        <v>0</v>
      </c>
      <c r="BH31" s="207">
        <f t="shared" ref="BH31:BH50" si="68">IF(BF31=0,0,AJ107/BF31)</f>
        <v>0</v>
      </c>
      <c r="BI31" s="321">
        <f>$BI$51+MAX(0,第2期!BI31)-第3期!BF31</f>
        <v>0</v>
      </c>
      <c r="BJ31" s="201" t="str">
        <f t="shared" ref="BJ31:BJ50" si="69">IF(BA31=0,"",RANK(BG31,$BG$31:$BG$50))</f>
        <v/>
      </c>
      <c r="BK31" s="201" t="str">
        <f t="shared" ref="BK31:BK50" si="70">IF(BA31=0,"",RANK(BH31,$BH$31:$BH$50))</f>
        <v/>
      </c>
      <c r="BL31" s="203"/>
      <c r="BM31" s="195"/>
      <c r="BN31" s="194" t="s">
        <v>513</v>
      </c>
      <c r="BO31" s="194" t="s">
        <v>514</v>
      </c>
      <c r="BP31" s="194" t="s">
        <v>515</v>
      </c>
      <c r="BQ31" s="194" t="s">
        <v>516</v>
      </c>
      <c r="BR31" s="211"/>
      <c r="BS31" s="196">
        <f t="shared" si="45"/>
        <v>0</v>
      </c>
      <c r="BT31" s="213" t="e">
        <f t="shared" si="46"/>
        <v>#DIV/0!</v>
      </c>
      <c r="BU31" s="213" t="e">
        <f t="shared" si="47"/>
        <v>#DIV/0!</v>
      </c>
      <c r="BV31" s="213" t="e">
        <f t="shared" si="48"/>
        <v>#DIV/0!</v>
      </c>
      <c r="BW31" s="213" t="e">
        <f t="shared" si="49"/>
        <v>#DIV/0!</v>
      </c>
      <c r="BX31" s="213" t="e">
        <f t="shared" si="50"/>
        <v>#DIV/0!</v>
      </c>
      <c r="BY31" s="213" t="e">
        <f t="shared" si="51"/>
        <v>#DIV/0!</v>
      </c>
      <c r="BZ31" s="213" t="e">
        <f t="shared" si="52"/>
        <v>#DIV/0!</v>
      </c>
      <c r="CA31" s="213" t="e">
        <f t="shared" si="53"/>
        <v>#DIV/0!</v>
      </c>
      <c r="CB31" s="213" t="e">
        <f t="shared" si="54"/>
        <v>#DIV/0!</v>
      </c>
      <c r="CC31" s="213" t="e">
        <f t="shared" si="55"/>
        <v>#DIV/0!</v>
      </c>
      <c r="CD31" s="213" t="e">
        <f t="shared" si="56"/>
        <v>#DIV/0!</v>
      </c>
      <c r="CE31" s="213" t="e">
        <f t="shared" si="57"/>
        <v>#DIV/0!</v>
      </c>
      <c r="CF31" s="213" t="e">
        <f t="shared" si="58"/>
        <v>#DIV/0!</v>
      </c>
      <c r="CG31" s="213" t="e">
        <f t="shared" si="59"/>
        <v>#DIV/0!</v>
      </c>
      <c r="CH31" s="213" t="e">
        <f t="shared" si="60"/>
        <v>#DIV/0!</v>
      </c>
      <c r="CI31" s="213" t="e">
        <f t="shared" si="61"/>
        <v>#DIV/0!</v>
      </c>
      <c r="CJ31" s="226"/>
      <c r="CK31" s="228"/>
      <c r="CL31" s="228"/>
      <c r="CM31" s="228"/>
      <c r="CN31" s="228"/>
      <c r="CO31" s="228"/>
      <c r="CP31" s="228"/>
      <c r="CQ31" s="228"/>
      <c r="CR31" s="228"/>
      <c r="CS31" s="228"/>
      <c r="CT31" s="228"/>
      <c r="CU31" s="228"/>
      <c r="CV31" s="228"/>
      <c r="CW31" s="228"/>
      <c r="CX31" s="228"/>
      <c r="CY31" s="228"/>
      <c r="CZ31" s="228"/>
      <c r="DA31" s="228"/>
      <c r="DB31" s="228"/>
      <c r="DC31" s="228"/>
      <c r="DD31" s="228"/>
      <c r="DE31" s="228"/>
      <c r="DF31" s="228"/>
      <c r="DG31" s="228"/>
      <c r="DH31" s="228"/>
      <c r="DI31" s="228"/>
      <c r="DJ31" s="228"/>
      <c r="DK31" s="228"/>
      <c r="DL31" s="228"/>
      <c r="DM31" s="228"/>
      <c r="DN31" s="228"/>
      <c r="DO31" s="228"/>
      <c r="DP31" s="228"/>
      <c r="DQ31" s="228"/>
    </row>
    <row r="32" s="61" customFormat="1" ht="16" customHeight="1" spans="1:121">
      <c r="A32" s="269" t="s">
        <v>364</v>
      </c>
      <c r="B32" s="270"/>
      <c r="C32" s="77">
        <f>-O35*初始化表!B24/4</f>
        <v>0</v>
      </c>
      <c r="D32" s="79"/>
      <c r="E32" s="79">
        <f>-C32</f>
        <v>0</v>
      </c>
      <c r="F32" s="79" t="e">
        <f t="shared" si="44"/>
        <v>#DIV/0!</v>
      </c>
      <c r="G32" s="73"/>
      <c r="H32" s="354" t="s">
        <v>604</v>
      </c>
      <c r="I32" s="354" t="s">
        <v>605</v>
      </c>
      <c r="J32" s="354" t="s">
        <v>606</v>
      </c>
      <c r="K32" s="354" t="s">
        <v>607</v>
      </c>
      <c r="L32" s="101"/>
      <c r="M32" s="85"/>
      <c r="N32" s="68" t="s">
        <v>608</v>
      </c>
      <c r="O32" s="68" t="s">
        <v>609</v>
      </c>
      <c r="P32" s="68" t="s">
        <v>610</v>
      </c>
      <c r="Q32" s="68" t="s">
        <v>611</v>
      </c>
      <c r="R32" s="68" t="s">
        <v>612</v>
      </c>
      <c r="S32" s="121"/>
      <c r="T32" s="120"/>
      <c r="U32" s="68" t="s">
        <v>466</v>
      </c>
      <c r="V32" s="115">
        <f>第2期!BJ27</f>
        <v>0</v>
      </c>
      <c r="W32" s="115">
        <f>第2期!BK27</f>
        <v>0</v>
      </c>
      <c r="X32" s="115">
        <f>第2期!BL27</f>
        <v>0</v>
      </c>
      <c r="Y32" s="115">
        <f>第2期!BM27</f>
        <v>0</v>
      </c>
      <c r="Z32" s="74"/>
      <c r="AA32" s="73"/>
      <c r="AB32" s="151" t="s">
        <v>208</v>
      </c>
      <c r="AC32" s="156" t="e">
        <f t="shared" si="43"/>
        <v>#DIV/0!</v>
      </c>
      <c r="AD32" s="156" t="e">
        <f t="shared" si="43"/>
        <v>#DIV/0!</v>
      </c>
      <c r="AE32" s="156" t="e">
        <f t="shared" si="43"/>
        <v>#DIV/0!</v>
      </c>
      <c r="AF32" s="156" t="e">
        <f t="shared" si="43"/>
        <v>#DIV/0!</v>
      </c>
      <c r="AG32" s="74"/>
      <c r="AH32" s="73"/>
      <c r="AI32" s="69"/>
      <c r="AJ32" s="69"/>
      <c r="AK32" s="69"/>
      <c r="AL32" s="69"/>
      <c r="AM32" s="69"/>
      <c r="AN32" s="69"/>
      <c r="AO32" s="69"/>
      <c r="AP32" s="69"/>
      <c r="AQ32" s="69"/>
      <c r="AR32" s="69"/>
      <c r="AS32" s="69"/>
      <c r="AT32" s="69"/>
      <c r="AU32" s="69"/>
      <c r="AV32" s="69"/>
      <c r="AW32" s="69"/>
      <c r="AX32" s="69"/>
      <c r="AY32" s="69"/>
      <c r="AZ32" s="193"/>
      <c r="BA32" s="196">
        <f t="shared" si="62"/>
        <v>0</v>
      </c>
      <c r="BB32" s="201">
        <f t="shared" si="63"/>
        <v>0</v>
      </c>
      <c r="BC32" s="201">
        <f t="shared" si="64"/>
        <v>0</v>
      </c>
      <c r="BD32" s="201">
        <f t="shared" si="65"/>
        <v>0</v>
      </c>
      <c r="BE32" s="201">
        <f t="shared" si="66"/>
        <v>0</v>
      </c>
      <c r="BF32" s="202">
        <f>(BB32*初始化表!E$17+BC32*初始化表!F$17+BD32*初始化表!G$17+BE32*初始化表!H$17)/1300</f>
        <v>0</v>
      </c>
      <c r="BG32" s="207">
        <f t="shared" si="67"/>
        <v>0</v>
      </c>
      <c r="BH32" s="207">
        <f t="shared" si="68"/>
        <v>0</v>
      </c>
      <c r="BI32" s="321">
        <f>$BI$51+MAX(0,第2期!BI32)-第3期!BF32</f>
        <v>0</v>
      </c>
      <c r="BJ32" s="201" t="str">
        <f t="shared" si="69"/>
        <v/>
      </c>
      <c r="BK32" s="201" t="str">
        <f t="shared" si="70"/>
        <v/>
      </c>
      <c r="BL32" s="203"/>
      <c r="BM32" s="194" t="s">
        <v>521</v>
      </c>
      <c r="BN32" s="201">
        <f>COUNTIF(BB7:BB26,"&gt;0")</f>
        <v>0</v>
      </c>
      <c r="BO32" s="201">
        <f>COUNTIF(BC7:BC26,"&gt;0")</f>
        <v>0</v>
      </c>
      <c r="BP32" s="201">
        <f>COUNTIF(BD7:BD26,"&gt;0")</f>
        <v>0</v>
      </c>
      <c r="BQ32" s="201">
        <f>COUNTIF(BE7:BE26,"&gt;0")</f>
        <v>0</v>
      </c>
      <c r="BR32" s="211"/>
      <c r="BS32" s="196">
        <f t="shared" si="45"/>
        <v>0</v>
      </c>
      <c r="BT32" s="213" t="e">
        <f t="shared" si="46"/>
        <v>#DIV/0!</v>
      </c>
      <c r="BU32" s="213" t="e">
        <f t="shared" si="47"/>
        <v>#DIV/0!</v>
      </c>
      <c r="BV32" s="213" t="e">
        <f t="shared" si="48"/>
        <v>#DIV/0!</v>
      </c>
      <c r="BW32" s="213" t="e">
        <f t="shared" si="49"/>
        <v>#DIV/0!</v>
      </c>
      <c r="BX32" s="213" t="e">
        <f t="shared" si="50"/>
        <v>#DIV/0!</v>
      </c>
      <c r="BY32" s="213" t="e">
        <f t="shared" si="51"/>
        <v>#DIV/0!</v>
      </c>
      <c r="BZ32" s="213" t="e">
        <f t="shared" si="52"/>
        <v>#DIV/0!</v>
      </c>
      <c r="CA32" s="213" t="e">
        <f t="shared" si="53"/>
        <v>#DIV/0!</v>
      </c>
      <c r="CB32" s="213" t="e">
        <f t="shared" si="54"/>
        <v>#DIV/0!</v>
      </c>
      <c r="CC32" s="213" t="e">
        <f t="shared" si="55"/>
        <v>#DIV/0!</v>
      </c>
      <c r="CD32" s="213" t="e">
        <f t="shared" si="56"/>
        <v>#DIV/0!</v>
      </c>
      <c r="CE32" s="213" t="e">
        <f t="shared" si="57"/>
        <v>#DIV/0!</v>
      </c>
      <c r="CF32" s="213" t="e">
        <f t="shared" si="58"/>
        <v>#DIV/0!</v>
      </c>
      <c r="CG32" s="213" t="e">
        <f t="shared" si="59"/>
        <v>#DIV/0!</v>
      </c>
      <c r="CH32" s="213" t="e">
        <f t="shared" si="60"/>
        <v>#DIV/0!</v>
      </c>
      <c r="CI32" s="213" t="e">
        <f t="shared" si="61"/>
        <v>#DIV/0!</v>
      </c>
      <c r="CJ32" s="226"/>
      <c r="CK32" s="228"/>
      <c r="CL32" s="228"/>
      <c r="CM32" s="228"/>
      <c r="CN32" s="228"/>
      <c r="CO32" s="228"/>
      <c r="CP32" s="228"/>
      <c r="CQ32" s="228"/>
      <c r="CR32" s="228"/>
      <c r="CS32" s="228"/>
      <c r="CT32" s="228"/>
      <c r="CU32" s="228"/>
      <c r="CV32" s="228"/>
      <c r="CW32" s="228"/>
      <c r="CX32" s="228"/>
      <c r="CY32" s="228"/>
      <c r="CZ32" s="228"/>
      <c r="DA32" s="228"/>
      <c r="DB32" s="228"/>
      <c r="DC32" s="228"/>
      <c r="DD32" s="228"/>
      <c r="DE32" s="228"/>
      <c r="DF32" s="228"/>
      <c r="DG32" s="228"/>
      <c r="DH32" s="228"/>
      <c r="DI32" s="228"/>
      <c r="DJ32" s="228"/>
      <c r="DK32" s="228"/>
      <c r="DL32" s="228"/>
      <c r="DM32" s="228"/>
      <c r="DN32" s="228"/>
      <c r="DO32" s="228"/>
      <c r="DP32" s="228"/>
      <c r="DQ32" s="228"/>
    </row>
    <row r="33" s="61" customFormat="1" ht="16" customHeight="1" spans="1:121">
      <c r="A33" s="269" t="s">
        <v>365</v>
      </c>
      <c r="B33" s="270"/>
      <c r="C33" s="77">
        <f>-B22*初始化表!B13</f>
        <v>0</v>
      </c>
      <c r="D33" s="79"/>
      <c r="E33" s="79">
        <f>E32-C33</f>
        <v>0</v>
      </c>
      <c r="F33" s="79" t="e">
        <f t="shared" si="44"/>
        <v>#DIV/0!</v>
      </c>
      <c r="G33" s="73"/>
      <c r="H33" s="82" t="e">
        <f>520*H31</f>
        <v>#DIV/0!</v>
      </c>
      <c r="I33" s="82" t="e">
        <f>520*I31</f>
        <v>#DIV/0!</v>
      </c>
      <c r="J33" s="391" t="e">
        <f>260*J31</f>
        <v>#DIV/0!</v>
      </c>
      <c r="K33" s="391">
        <f>I29*520</f>
        <v>0</v>
      </c>
      <c r="L33" s="91"/>
      <c r="M33" s="85"/>
      <c r="N33" s="83" t="e">
        <f>INT(IF(C28&lt;初始化表!B21,MIN((初始化表!B21-C28),P33),0)+1)</f>
        <v>#DIV/0!</v>
      </c>
      <c r="O33" s="83" t="e">
        <f>MAX(N33,IF(F48&lt;0,INT(-F48+1),0))</f>
        <v>#DIV/0!</v>
      </c>
      <c r="P33" s="102">
        <f>第2期!P33-第2期!B24</f>
        <v>0</v>
      </c>
      <c r="Q33" s="93"/>
      <c r="R33" s="83" t="e">
        <f>第2期!C37</f>
        <v>#DIV/0!</v>
      </c>
      <c r="S33" s="132"/>
      <c r="T33" s="120"/>
      <c r="U33" s="68" t="s">
        <v>468</v>
      </c>
      <c r="V33" s="115">
        <f>第2期!BN27</f>
        <v>0</v>
      </c>
      <c r="W33" s="115">
        <f>第2期!BO27</f>
        <v>0</v>
      </c>
      <c r="X33" s="115">
        <f>第2期!BP27</f>
        <v>0</v>
      </c>
      <c r="Y33" s="115">
        <f>第2期!BQ27</f>
        <v>0</v>
      </c>
      <c r="Z33" s="74"/>
      <c r="AA33" s="73"/>
      <c r="AB33" s="155"/>
      <c r="AC33" s="155"/>
      <c r="AD33" s="155"/>
      <c r="AE33" s="155"/>
      <c r="AF33" s="155"/>
      <c r="AG33" s="155"/>
      <c r="AH33" s="73"/>
      <c r="AZ33" s="193"/>
      <c r="BA33" s="196">
        <f t="shared" si="62"/>
        <v>0</v>
      </c>
      <c r="BB33" s="201">
        <f t="shared" si="63"/>
        <v>0</v>
      </c>
      <c r="BC33" s="201">
        <f t="shared" si="64"/>
        <v>0</v>
      </c>
      <c r="BD33" s="201">
        <f t="shared" si="65"/>
        <v>0</v>
      </c>
      <c r="BE33" s="201">
        <f t="shared" si="66"/>
        <v>0</v>
      </c>
      <c r="BF33" s="202">
        <f>(BB33*初始化表!E$17+BC33*初始化表!F$17+BD33*初始化表!G$17+BE33*初始化表!H$17)/1300</f>
        <v>0</v>
      </c>
      <c r="BG33" s="207">
        <f t="shared" si="67"/>
        <v>0</v>
      </c>
      <c r="BH33" s="207">
        <f t="shared" si="68"/>
        <v>0</v>
      </c>
      <c r="BI33" s="321">
        <f>$BI$51+MAX(0,第2期!BI33)-第3期!BF33</f>
        <v>0</v>
      </c>
      <c r="BJ33" s="201" t="str">
        <f t="shared" si="69"/>
        <v/>
      </c>
      <c r="BK33" s="201" t="str">
        <f t="shared" si="70"/>
        <v/>
      </c>
      <c r="BL33" s="203"/>
      <c r="BM33" s="194" t="s">
        <v>522</v>
      </c>
      <c r="BN33" s="201">
        <f>COUNTIF(BF7:BF26,"&gt;0")</f>
        <v>0</v>
      </c>
      <c r="BO33" s="201">
        <f>COUNTIF(BG7:BG26,"&gt;0")</f>
        <v>0</v>
      </c>
      <c r="BP33" s="201">
        <f>COUNTIF(BH7:BH26,"&gt;0")</f>
        <v>0</v>
      </c>
      <c r="BQ33" s="201">
        <f>COUNTIF(BI7:BI26,"&gt;0")</f>
        <v>0</v>
      </c>
      <c r="BR33" s="211"/>
      <c r="BS33" s="196">
        <f t="shared" si="45"/>
        <v>0</v>
      </c>
      <c r="BT33" s="213" t="e">
        <f t="shared" si="46"/>
        <v>#DIV/0!</v>
      </c>
      <c r="BU33" s="213" t="e">
        <f t="shared" si="47"/>
        <v>#DIV/0!</v>
      </c>
      <c r="BV33" s="213" t="e">
        <f t="shared" si="48"/>
        <v>#DIV/0!</v>
      </c>
      <c r="BW33" s="213" t="e">
        <f t="shared" si="49"/>
        <v>#DIV/0!</v>
      </c>
      <c r="BX33" s="213" t="e">
        <f t="shared" si="50"/>
        <v>#DIV/0!</v>
      </c>
      <c r="BY33" s="213" t="e">
        <f t="shared" si="51"/>
        <v>#DIV/0!</v>
      </c>
      <c r="BZ33" s="213" t="e">
        <f t="shared" si="52"/>
        <v>#DIV/0!</v>
      </c>
      <c r="CA33" s="213" t="e">
        <f t="shared" si="53"/>
        <v>#DIV/0!</v>
      </c>
      <c r="CB33" s="213" t="e">
        <f t="shared" si="54"/>
        <v>#DIV/0!</v>
      </c>
      <c r="CC33" s="213" t="e">
        <f t="shared" si="55"/>
        <v>#DIV/0!</v>
      </c>
      <c r="CD33" s="213" t="e">
        <f t="shared" si="56"/>
        <v>#DIV/0!</v>
      </c>
      <c r="CE33" s="213" t="e">
        <f t="shared" si="57"/>
        <v>#DIV/0!</v>
      </c>
      <c r="CF33" s="213" t="e">
        <f t="shared" si="58"/>
        <v>#DIV/0!</v>
      </c>
      <c r="CG33" s="213" t="e">
        <f t="shared" si="59"/>
        <v>#DIV/0!</v>
      </c>
      <c r="CH33" s="213" t="e">
        <f t="shared" si="60"/>
        <v>#DIV/0!</v>
      </c>
      <c r="CI33" s="213" t="e">
        <f t="shared" si="61"/>
        <v>#DIV/0!</v>
      </c>
      <c r="CJ33" s="226"/>
      <c r="CK33" s="228"/>
      <c r="CL33" s="228"/>
      <c r="CM33" s="228"/>
      <c r="CN33" s="228"/>
      <c r="CO33" s="228"/>
      <c r="CP33" s="228"/>
      <c r="CQ33" s="228"/>
      <c r="CR33" s="228"/>
      <c r="CS33" s="228"/>
      <c r="CT33" s="228"/>
      <c r="CU33" s="228"/>
      <c r="CV33" s="228"/>
      <c r="CW33" s="228"/>
      <c r="CX33" s="228"/>
      <c r="CY33" s="228"/>
      <c r="CZ33" s="228"/>
      <c r="DA33" s="228"/>
      <c r="DB33" s="228"/>
      <c r="DC33" s="228"/>
      <c r="DD33" s="228"/>
      <c r="DE33" s="228"/>
      <c r="DF33" s="228"/>
      <c r="DG33" s="228"/>
      <c r="DH33" s="228"/>
      <c r="DI33" s="228"/>
      <c r="DJ33" s="228"/>
      <c r="DK33" s="228"/>
      <c r="DL33" s="228"/>
      <c r="DM33" s="228"/>
      <c r="DN33" s="228"/>
      <c r="DO33" s="228"/>
      <c r="DP33" s="228"/>
      <c r="DQ33" s="228"/>
    </row>
    <row r="34" s="61" customFormat="1" ht="16" customHeight="1" spans="1:121">
      <c r="A34" s="269" t="s">
        <v>366</v>
      </c>
      <c r="B34" s="270"/>
      <c r="C34" s="77">
        <f>-C22*初始化表!B14</f>
        <v>0</v>
      </c>
      <c r="D34" s="79"/>
      <c r="E34" s="79">
        <f>E33-C34</f>
        <v>0</v>
      </c>
      <c r="F34" s="79" t="e">
        <f t="shared" si="44"/>
        <v>#DIV/0!</v>
      </c>
      <c r="G34" s="73"/>
      <c r="H34" s="431" t="s">
        <v>244</v>
      </c>
      <c r="I34" s="248">
        <f>-C43</f>
        <v>0</v>
      </c>
      <c r="J34" s="414" t="s">
        <v>613</v>
      </c>
      <c r="K34" s="357" t="s">
        <v>614</v>
      </c>
      <c r="L34" s="357"/>
      <c r="M34" s="85"/>
      <c r="N34" s="68" t="s">
        <v>615</v>
      </c>
      <c r="O34" s="68" t="s">
        <v>616</v>
      </c>
      <c r="P34" s="68" t="s">
        <v>617</v>
      </c>
      <c r="Q34" s="68" t="s">
        <v>618</v>
      </c>
      <c r="R34" s="68" t="s">
        <v>619</v>
      </c>
      <c r="S34" s="121"/>
      <c r="T34" s="120"/>
      <c r="U34" s="396"/>
      <c r="V34" s="90"/>
      <c r="W34" s="90"/>
      <c r="X34" s="90"/>
      <c r="Y34" s="90"/>
      <c r="Z34" s="74"/>
      <c r="AA34" s="73"/>
      <c r="AB34" s="151" t="s">
        <v>500</v>
      </c>
      <c r="AC34" s="151" t="s">
        <v>499</v>
      </c>
      <c r="AD34" s="151" t="s">
        <v>38</v>
      </c>
      <c r="AE34" s="151" t="s">
        <v>39</v>
      </c>
      <c r="AF34" s="151" t="s">
        <v>40</v>
      </c>
      <c r="AG34" s="151" t="s">
        <v>41</v>
      </c>
      <c r="AH34" s="73"/>
      <c r="AI34" s="68" t="s">
        <v>480</v>
      </c>
      <c r="AJ34" s="69"/>
      <c r="AK34" s="69"/>
      <c r="AL34" s="69"/>
      <c r="AM34" s="69"/>
      <c r="AN34" s="69"/>
      <c r="AO34" s="69"/>
      <c r="AP34" s="69"/>
      <c r="AQ34" s="69"/>
      <c r="AR34" s="69"/>
      <c r="AS34" s="69"/>
      <c r="AT34" s="69"/>
      <c r="AU34" s="69"/>
      <c r="AV34" s="69"/>
      <c r="AW34" s="69"/>
      <c r="AX34" s="69"/>
      <c r="AY34" s="69"/>
      <c r="AZ34" s="193"/>
      <c r="BA34" s="196">
        <f t="shared" si="62"/>
        <v>0</v>
      </c>
      <c r="BB34" s="201">
        <f t="shared" si="63"/>
        <v>0</v>
      </c>
      <c r="BC34" s="201">
        <f t="shared" si="64"/>
        <v>0</v>
      </c>
      <c r="BD34" s="201">
        <f t="shared" si="65"/>
        <v>0</v>
      </c>
      <c r="BE34" s="201">
        <f t="shared" si="66"/>
        <v>0</v>
      </c>
      <c r="BF34" s="202">
        <f>(BB34*初始化表!E$17+BC34*初始化表!F$17+BD34*初始化表!G$17+BE34*初始化表!H$17)/1300</f>
        <v>0</v>
      </c>
      <c r="BG34" s="207">
        <f t="shared" si="67"/>
        <v>0</v>
      </c>
      <c r="BH34" s="207">
        <f t="shared" si="68"/>
        <v>0</v>
      </c>
      <c r="BI34" s="321">
        <f>$BI$51+MAX(0,第2期!BI34)-第3期!BF34</f>
        <v>0</v>
      </c>
      <c r="BJ34" s="201" t="str">
        <f t="shared" si="69"/>
        <v/>
      </c>
      <c r="BK34" s="201" t="str">
        <f t="shared" si="70"/>
        <v/>
      </c>
      <c r="BL34" s="203"/>
      <c r="BM34" s="194" t="s">
        <v>523</v>
      </c>
      <c r="BN34" s="201">
        <f>COUNTIF(BJ7:BJ26,"&gt;0")</f>
        <v>0</v>
      </c>
      <c r="BO34" s="201">
        <f>COUNTIF(BK7:BK26,"&gt;0")</f>
        <v>0</v>
      </c>
      <c r="BP34" s="201">
        <f>COUNTIF(BL7:BL26,"&gt;0")</f>
        <v>0</v>
      </c>
      <c r="BQ34" s="201">
        <f>COUNTIF(BM7:BM26,"&gt;0")</f>
        <v>0</v>
      </c>
      <c r="BR34" s="211"/>
      <c r="BS34" s="196">
        <f t="shared" si="45"/>
        <v>0</v>
      </c>
      <c r="BT34" s="213" t="e">
        <f t="shared" si="46"/>
        <v>#DIV/0!</v>
      </c>
      <c r="BU34" s="213" t="e">
        <f t="shared" si="47"/>
        <v>#DIV/0!</v>
      </c>
      <c r="BV34" s="213" t="e">
        <f t="shared" si="48"/>
        <v>#DIV/0!</v>
      </c>
      <c r="BW34" s="213" t="e">
        <f t="shared" si="49"/>
        <v>#DIV/0!</v>
      </c>
      <c r="BX34" s="213" t="e">
        <f t="shared" si="50"/>
        <v>#DIV/0!</v>
      </c>
      <c r="BY34" s="213" t="e">
        <f t="shared" si="51"/>
        <v>#DIV/0!</v>
      </c>
      <c r="BZ34" s="213" t="e">
        <f t="shared" si="52"/>
        <v>#DIV/0!</v>
      </c>
      <c r="CA34" s="213" t="e">
        <f t="shared" si="53"/>
        <v>#DIV/0!</v>
      </c>
      <c r="CB34" s="213" t="e">
        <f t="shared" si="54"/>
        <v>#DIV/0!</v>
      </c>
      <c r="CC34" s="213" t="e">
        <f t="shared" si="55"/>
        <v>#DIV/0!</v>
      </c>
      <c r="CD34" s="213" t="e">
        <f t="shared" si="56"/>
        <v>#DIV/0!</v>
      </c>
      <c r="CE34" s="213" t="e">
        <f t="shared" si="57"/>
        <v>#DIV/0!</v>
      </c>
      <c r="CF34" s="213" t="e">
        <f t="shared" si="58"/>
        <v>#DIV/0!</v>
      </c>
      <c r="CG34" s="213" t="e">
        <f t="shared" si="59"/>
        <v>#DIV/0!</v>
      </c>
      <c r="CH34" s="213" t="e">
        <f t="shared" si="60"/>
        <v>#DIV/0!</v>
      </c>
      <c r="CI34" s="213" t="e">
        <f t="shared" si="61"/>
        <v>#DIV/0!</v>
      </c>
      <c r="CJ34" s="226"/>
      <c r="CK34" s="228"/>
      <c r="CL34" s="228"/>
      <c r="CM34" s="228"/>
      <c r="CN34" s="228"/>
      <c r="CO34" s="228"/>
      <c r="CP34" s="228"/>
      <c r="CQ34" s="228"/>
      <c r="CR34" s="228"/>
      <c r="CS34" s="228"/>
      <c r="CT34" s="228"/>
      <c r="CU34" s="228"/>
      <c r="CV34" s="228"/>
      <c r="CW34" s="228"/>
      <c r="CX34" s="228"/>
      <c r="CY34" s="228"/>
      <c r="CZ34" s="228"/>
      <c r="DA34" s="228"/>
      <c r="DB34" s="228"/>
      <c r="DC34" s="228"/>
      <c r="DD34" s="228"/>
      <c r="DE34" s="228"/>
      <c r="DF34" s="228"/>
      <c r="DG34" s="228"/>
      <c r="DH34" s="228"/>
      <c r="DI34" s="228"/>
      <c r="DJ34" s="228"/>
      <c r="DK34" s="228"/>
      <c r="DL34" s="228"/>
      <c r="DM34" s="228"/>
      <c r="DN34" s="228"/>
      <c r="DO34" s="228"/>
      <c r="DP34" s="228"/>
      <c r="DQ34" s="228"/>
    </row>
    <row r="35" s="61" customFormat="1" ht="16" customHeight="1" spans="1:121">
      <c r="A35" s="269" t="s">
        <v>367</v>
      </c>
      <c r="B35" s="270"/>
      <c r="C35" s="77">
        <f>-(H17-C22+B22*初始化表!H4)*初始化表!B15*520*F24</f>
        <v>0</v>
      </c>
      <c r="D35" s="79"/>
      <c r="E35" s="79">
        <f>E34-C35</f>
        <v>0</v>
      </c>
      <c r="F35" s="79" t="e">
        <f t="shared" si="44"/>
        <v>#DIV/0!</v>
      </c>
      <c r="G35" s="73"/>
      <c r="H35" s="354" t="s">
        <v>223</v>
      </c>
      <c r="I35" s="248">
        <f>-C33</f>
        <v>0</v>
      </c>
      <c r="J35" s="106" t="e">
        <f>INT(($N$49*1300-SUMPRODUCT($L$177:$L$180,$H$177:$H$180))/H177)</f>
        <v>#DIV/0!</v>
      </c>
      <c r="K35" s="269" t="s">
        <v>198</v>
      </c>
      <c r="L35" s="90"/>
      <c r="M35" s="85"/>
      <c r="N35" s="102">
        <f>第2期!C24+第2期!N35</f>
        <v>0</v>
      </c>
      <c r="O35" s="102">
        <f>第2期!O35+第2期!C31+第2期!C30</f>
        <v>0</v>
      </c>
      <c r="P35" s="83" t="e">
        <f>INT(Q35)</f>
        <v>#DIV/0!</v>
      </c>
      <c r="Q35" s="133" t="e">
        <f>0.5*第2期!B80-O35</f>
        <v>#DIV/0!</v>
      </c>
      <c r="R35" s="93"/>
      <c r="S35" s="131"/>
      <c r="T35" s="120"/>
      <c r="U35" s="68" t="s">
        <v>620</v>
      </c>
      <c r="V35" s="68" t="s">
        <v>459</v>
      </c>
      <c r="W35" s="68" t="s">
        <v>460</v>
      </c>
      <c r="X35" s="68" t="s">
        <v>461</v>
      </c>
      <c r="Y35" s="68" t="s">
        <v>462</v>
      </c>
      <c r="Z35" s="74"/>
      <c r="AA35" s="73"/>
      <c r="AB35" s="151" t="s">
        <v>198</v>
      </c>
      <c r="AC35" s="152" t="e">
        <f>初始化表!$E$22-AC5</f>
        <v>#DIV/0!</v>
      </c>
      <c r="AD35" s="152" t="e">
        <f>初始化表!$E$22-AD5</f>
        <v>#DIV/0!</v>
      </c>
      <c r="AE35" s="152" t="e">
        <f>初始化表!$E$22-AE5</f>
        <v>#DIV/0!</v>
      </c>
      <c r="AF35" s="152" t="e">
        <f>初始化表!$E$22-AF5</f>
        <v>#DIV/0!</v>
      </c>
      <c r="AG35" s="152" t="e">
        <f>初始化表!$E$22-AG5</f>
        <v>#DIV/0!</v>
      </c>
      <c r="AH35" s="73"/>
      <c r="AI35" s="68" t="s">
        <v>37</v>
      </c>
      <c r="AJ35" s="68" t="s">
        <v>35</v>
      </c>
      <c r="AK35" s="69"/>
      <c r="AL35" s="69"/>
      <c r="AM35" s="69"/>
      <c r="AN35" s="68" t="s">
        <v>465</v>
      </c>
      <c r="AO35" s="69"/>
      <c r="AP35" s="69"/>
      <c r="AQ35" s="69"/>
      <c r="AR35" s="68" t="s">
        <v>466</v>
      </c>
      <c r="AS35" s="69"/>
      <c r="AT35" s="69"/>
      <c r="AU35" s="69"/>
      <c r="AV35" s="68" t="s">
        <v>468</v>
      </c>
      <c r="AW35" s="69"/>
      <c r="AX35" s="69"/>
      <c r="AY35" s="69"/>
      <c r="AZ35" s="193"/>
      <c r="BA35" s="196">
        <f t="shared" si="62"/>
        <v>0</v>
      </c>
      <c r="BB35" s="201">
        <f t="shared" si="63"/>
        <v>0</v>
      </c>
      <c r="BC35" s="201">
        <f t="shared" si="64"/>
        <v>0</v>
      </c>
      <c r="BD35" s="201">
        <f t="shared" si="65"/>
        <v>0</v>
      </c>
      <c r="BE35" s="201">
        <f t="shared" si="66"/>
        <v>0</v>
      </c>
      <c r="BF35" s="202">
        <f>(BB35*初始化表!E$17+BC35*初始化表!F$17+BD35*初始化表!G$17+BE35*初始化表!H$17)/1300</f>
        <v>0</v>
      </c>
      <c r="BG35" s="207">
        <f t="shared" si="67"/>
        <v>0</v>
      </c>
      <c r="BH35" s="207">
        <f t="shared" si="68"/>
        <v>0</v>
      </c>
      <c r="BI35" s="321">
        <f>$BI$51+MAX(0,第2期!BI35)-第3期!BF35</f>
        <v>0</v>
      </c>
      <c r="BJ35" s="201" t="str">
        <f t="shared" si="69"/>
        <v/>
      </c>
      <c r="BK35" s="201" t="str">
        <f t="shared" si="70"/>
        <v/>
      </c>
      <c r="BL35" s="203"/>
      <c r="BM35" s="194" t="s">
        <v>524</v>
      </c>
      <c r="BN35" s="201">
        <f>COUNTIF(BN7:BN26,"&gt;0")</f>
        <v>0</v>
      </c>
      <c r="BO35" s="201">
        <f>COUNTIF(BO7:BO26,"&gt;0")</f>
        <v>0</v>
      </c>
      <c r="BP35" s="201">
        <f>COUNTIF(BP7:BP26,"&gt;0")</f>
        <v>0</v>
      </c>
      <c r="BQ35" s="201">
        <f>COUNTIF(BQ7:BQ26,"&gt;0")</f>
        <v>0</v>
      </c>
      <c r="BR35" s="211"/>
      <c r="BS35" s="196">
        <f t="shared" si="45"/>
        <v>0</v>
      </c>
      <c r="BT35" s="213" t="e">
        <f t="shared" si="46"/>
        <v>#DIV/0!</v>
      </c>
      <c r="BU35" s="213" t="e">
        <f t="shared" si="47"/>
        <v>#DIV/0!</v>
      </c>
      <c r="BV35" s="213" t="e">
        <f t="shared" si="48"/>
        <v>#DIV/0!</v>
      </c>
      <c r="BW35" s="213" t="e">
        <f t="shared" si="49"/>
        <v>#DIV/0!</v>
      </c>
      <c r="BX35" s="213" t="e">
        <f t="shared" si="50"/>
        <v>#DIV/0!</v>
      </c>
      <c r="BY35" s="213" t="e">
        <f t="shared" si="51"/>
        <v>#DIV/0!</v>
      </c>
      <c r="BZ35" s="213" t="e">
        <f t="shared" si="52"/>
        <v>#DIV/0!</v>
      </c>
      <c r="CA35" s="213" t="e">
        <f t="shared" si="53"/>
        <v>#DIV/0!</v>
      </c>
      <c r="CB35" s="213" t="e">
        <f t="shared" si="54"/>
        <v>#DIV/0!</v>
      </c>
      <c r="CC35" s="213" t="e">
        <f t="shared" si="55"/>
        <v>#DIV/0!</v>
      </c>
      <c r="CD35" s="213" t="e">
        <f t="shared" si="56"/>
        <v>#DIV/0!</v>
      </c>
      <c r="CE35" s="213" t="e">
        <f t="shared" si="57"/>
        <v>#DIV/0!</v>
      </c>
      <c r="CF35" s="213" t="e">
        <f t="shared" si="58"/>
        <v>#DIV/0!</v>
      </c>
      <c r="CG35" s="213" t="e">
        <f t="shared" si="59"/>
        <v>#DIV/0!</v>
      </c>
      <c r="CH35" s="213" t="e">
        <f t="shared" si="60"/>
        <v>#DIV/0!</v>
      </c>
      <c r="CI35" s="213" t="e">
        <f t="shared" si="61"/>
        <v>#DIV/0!</v>
      </c>
      <c r="CJ35" s="226"/>
      <c r="CK35" s="228"/>
      <c r="CL35" s="228"/>
      <c r="CM35" s="228"/>
      <c r="CN35" s="228"/>
      <c r="CO35" s="228"/>
      <c r="CP35" s="228"/>
      <c r="CQ35" s="228"/>
      <c r="CR35" s="228"/>
      <c r="CS35" s="228"/>
      <c r="CT35" s="228"/>
      <c r="CU35" s="228"/>
      <c r="CV35" s="228"/>
      <c r="CW35" s="228"/>
      <c r="CX35" s="228"/>
      <c r="CY35" s="228"/>
      <c r="CZ35" s="228"/>
      <c r="DA35" s="228"/>
      <c r="DB35" s="228"/>
      <c r="DC35" s="228"/>
      <c r="DD35" s="228"/>
      <c r="DE35" s="228"/>
      <c r="DF35" s="228"/>
      <c r="DG35" s="228"/>
      <c r="DH35" s="228"/>
      <c r="DI35" s="228"/>
      <c r="DJ35" s="228"/>
      <c r="DK35" s="228"/>
      <c r="DL35" s="228"/>
      <c r="DM35" s="228"/>
      <c r="DN35" s="228"/>
      <c r="DO35" s="228"/>
      <c r="DP35" s="228"/>
      <c r="DQ35" s="228"/>
    </row>
    <row r="36" s="61" customFormat="1" ht="16" customHeight="1" spans="1:121">
      <c r="A36" s="269" t="s">
        <v>368</v>
      </c>
      <c r="B36" s="270"/>
      <c r="C36" s="77" t="e">
        <f>-N49*初始化表!B12</f>
        <v>#DIV/0!</v>
      </c>
      <c r="D36" s="79"/>
      <c r="E36" s="79" t="e">
        <f>E35-C36</f>
        <v>#DIV/0!</v>
      </c>
      <c r="F36" s="79" t="e">
        <f t="shared" si="44"/>
        <v>#DIV/0!</v>
      </c>
      <c r="G36" s="73"/>
      <c r="H36" s="354" t="s">
        <v>621</v>
      </c>
      <c r="I36" s="248">
        <f>-C34</f>
        <v>0</v>
      </c>
      <c r="J36" s="106" t="e">
        <f>INT(($N$49*1300-SUMPRODUCT($L$177:$L$180,$H$177:$H$180))/H178)</f>
        <v>#DIV/0!</v>
      </c>
      <c r="K36" s="269" t="s">
        <v>202</v>
      </c>
      <c r="L36" s="90"/>
      <c r="M36" s="85"/>
      <c r="N36" s="68" t="s">
        <v>622</v>
      </c>
      <c r="O36" s="68" t="s">
        <v>623</v>
      </c>
      <c r="P36" s="68" t="s">
        <v>624</v>
      </c>
      <c r="Q36" s="68" t="s">
        <v>625</v>
      </c>
      <c r="R36" s="68" t="s">
        <v>626</v>
      </c>
      <c r="S36" s="121"/>
      <c r="T36" s="120"/>
      <c r="U36" s="68" t="s">
        <v>464</v>
      </c>
      <c r="V36" s="115" t="e">
        <f>第2期!BN42</f>
        <v>#DIV/0!</v>
      </c>
      <c r="W36" s="115" t="e">
        <f>第2期!BO42</f>
        <v>#DIV/0!</v>
      </c>
      <c r="X36" s="115" t="e">
        <f>第2期!BP42</f>
        <v>#DIV/0!</v>
      </c>
      <c r="Y36" s="115" t="e">
        <f>第2期!BQ42</f>
        <v>#DIV/0!</v>
      </c>
      <c r="Z36" s="74"/>
      <c r="AA36" s="73"/>
      <c r="AB36" s="151" t="s">
        <v>202</v>
      </c>
      <c r="AC36" s="152" t="e">
        <f>初始化表!$F$22-AC6</f>
        <v>#DIV/0!</v>
      </c>
      <c r="AD36" s="152" t="e">
        <f>初始化表!$F$22-AD6</f>
        <v>#DIV/0!</v>
      </c>
      <c r="AE36" s="152" t="e">
        <f>初始化表!$F$22-AE6</f>
        <v>#DIV/0!</v>
      </c>
      <c r="AF36" s="152" t="e">
        <f>初始化表!$F$22-AF6</f>
        <v>#DIV/0!</v>
      </c>
      <c r="AG36" s="152" t="e">
        <f>初始化表!$F$22-AG6</f>
        <v>#DIV/0!</v>
      </c>
      <c r="AH36" s="73"/>
      <c r="AI36" s="69"/>
      <c r="AJ36" s="68" t="s">
        <v>320</v>
      </c>
      <c r="AK36" s="68" t="s">
        <v>321</v>
      </c>
      <c r="AL36" s="68" t="s">
        <v>322</v>
      </c>
      <c r="AM36" s="68" t="s">
        <v>319</v>
      </c>
      <c r="AN36" s="68" t="s">
        <v>320</v>
      </c>
      <c r="AO36" s="68" t="s">
        <v>321</v>
      </c>
      <c r="AP36" s="68" t="s">
        <v>322</v>
      </c>
      <c r="AQ36" s="68" t="s">
        <v>319</v>
      </c>
      <c r="AR36" s="68" t="s">
        <v>320</v>
      </c>
      <c r="AS36" s="68" t="s">
        <v>321</v>
      </c>
      <c r="AT36" s="68" t="s">
        <v>322</v>
      </c>
      <c r="AU36" s="68" t="s">
        <v>319</v>
      </c>
      <c r="AV36" s="68" t="s">
        <v>320</v>
      </c>
      <c r="AW36" s="68" t="s">
        <v>321</v>
      </c>
      <c r="AX36" s="68" t="s">
        <v>322</v>
      </c>
      <c r="AY36" s="68" t="s">
        <v>41</v>
      </c>
      <c r="AZ36" s="193"/>
      <c r="BA36" s="196">
        <f t="shared" si="62"/>
        <v>0</v>
      </c>
      <c r="BB36" s="201">
        <f t="shared" si="63"/>
        <v>0</v>
      </c>
      <c r="BC36" s="201">
        <f t="shared" si="64"/>
        <v>0</v>
      </c>
      <c r="BD36" s="201">
        <f t="shared" si="65"/>
        <v>0</v>
      </c>
      <c r="BE36" s="201">
        <f t="shared" si="66"/>
        <v>0</v>
      </c>
      <c r="BF36" s="202">
        <f>(BB36*初始化表!E$17+BC36*初始化表!F$17+BD36*初始化表!G$17+BE36*初始化表!H$17)/1300</f>
        <v>0</v>
      </c>
      <c r="BG36" s="207">
        <f t="shared" si="67"/>
        <v>0</v>
      </c>
      <c r="BH36" s="207">
        <f t="shared" si="68"/>
        <v>0</v>
      </c>
      <c r="BI36" s="321">
        <f>$BI$51+MAX(0,第2期!BI36)-第3期!BF36</f>
        <v>0</v>
      </c>
      <c r="BJ36" s="201" t="str">
        <f t="shared" si="69"/>
        <v/>
      </c>
      <c r="BK36" s="201" t="str">
        <f t="shared" si="70"/>
        <v/>
      </c>
      <c r="BL36" s="203"/>
      <c r="BM36" s="195"/>
      <c r="BN36" s="194" t="s">
        <v>513</v>
      </c>
      <c r="BO36" s="194" t="s">
        <v>514</v>
      </c>
      <c r="BP36" s="194" t="s">
        <v>515</v>
      </c>
      <c r="BQ36" s="194" t="s">
        <v>516</v>
      </c>
      <c r="BR36" s="211"/>
      <c r="BS36" s="196">
        <f t="shared" si="45"/>
        <v>0</v>
      </c>
      <c r="BT36" s="213" t="e">
        <f t="shared" si="46"/>
        <v>#DIV/0!</v>
      </c>
      <c r="BU36" s="213" t="e">
        <f t="shared" si="47"/>
        <v>#DIV/0!</v>
      </c>
      <c r="BV36" s="213" t="e">
        <f t="shared" si="48"/>
        <v>#DIV/0!</v>
      </c>
      <c r="BW36" s="213" t="e">
        <f t="shared" si="49"/>
        <v>#DIV/0!</v>
      </c>
      <c r="BX36" s="213" t="e">
        <f t="shared" si="50"/>
        <v>#DIV/0!</v>
      </c>
      <c r="BY36" s="213" t="e">
        <f t="shared" si="51"/>
        <v>#DIV/0!</v>
      </c>
      <c r="BZ36" s="213" t="e">
        <f t="shared" si="52"/>
        <v>#DIV/0!</v>
      </c>
      <c r="CA36" s="213" t="e">
        <f t="shared" si="53"/>
        <v>#DIV/0!</v>
      </c>
      <c r="CB36" s="213" t="e">
        <f t="shared" si="54"/>
        <v>#DIV/0!</v>
      </c>
      <c r="CC36" s="213" t="e">
        <f t="shared" si="55"/>
        <v>#DIV/0!</v>
      </c>
      <c r="CD36" s="213" t="e">
        <f t="shared" si="56"/>
        <v>#DIV/0!</v>
      </c>
      <c r="CE36" s="213" t="e">
        <f t="shared" si="57"/>
        <v>#DIV/0!</v>
      </c>
      <c r="CF36" s="213" t="e">
        <f t="shared" si="58"/>
        <v>#DIV/0!</v>
      </c>
      <c r="CG36" s="213" t="e">
        <f t="shared" si="59"/>
        <v>#DIV/0!</v>
      </c>
      <c r="CH36" s="213" t="e">
        <f t="shared" si="60"/>
        <v>#DIV/0!</v>
      </c>
      <c r="CI36" s="213" t="e">
        <f t="shared" si="61"/>
        <v>#DIV/0!</v>
      </c>
      <c r="CJ36" s="226"/>
      <c r="CK36" s="228"/>
      <c r="CL36" s="228"/>
      <c r="CM36" s="228"/>
      <c r="CN36" s="228"/>
      <c r="CO36" s="228"/>
      <c r="CP36" s="228"/>
      <c r="CQ36" s="228"/>
      <c r="CR36" s="228"/>
      <c r="CS36" s="228"/>
      <c r="CT36" s="228"/>
      <c r="CU36" s="228"/>
      <c r="CV36" s="228"/>
      <c r="CW36" s="228"/>
      <c r="CX36" s="228"/>
      <c r="CY36" s="228"/>
      <c r="CZ36" s="228"/>
      <c r="DA36" s="228"/>
      <c r="DB36" s="228"/>
      <c r="DC36" s="228"/>
      <c r="DD36" s="228"/>
      <c r="DE36" s="228"/>
      <c r="DF36" s="228"/>
      <c r="DG36" s="228"/>
      <c r="DH36" s="228"/>
      <c r="DI36" s="228"/>
      <c r="DJ36" s="228"/>
      <c r="DK36" s="228"/>
      <c r="DL36" s="228"/>
      <c r="DM36" s="228"/>
      <c r="DN36" s="228"/>
      <c r="DO36" s="228"/>
      <c r="DP36" s="228"/>
      <c r="DQ36" s="228"/>
    </row>
    <row r="37" s="61" customFormat="1" ht="16" customHeight="1" spans="1:121">
      <c r="A37" s="269" t="s">
        <v>369</v>
      </c>
      <c r="B37" s="270"/>
      <c r="C37" s="77" t="e">
        <f>IF(F36&lt;0,INT(1-F36),0)</f>
        <v>#DIV/0!</v>
      </c>
      <c r="D37" s="79"/>
      <c r="E37" s="79"/>
      <c r="F37" s="79" t="e">
        <f t="shared" si="44"/>
        <v>#DIV/0!</v>
      </c>
      <c r="G37" s="73"/>
      <c r="H37" s="354" t="s">
        <v>225</v>
      </c>
      <c r="I37" s="248">
        <f>-C35</f>
        <v>0</v>
      </c>
      <c r="J37" s="106" t="e">
        <f>INT(($N$49*1300-SUMPRODUCT($L$177:$L$180,$H$177:$H$180))/H179)</f>
        <v>#DIV/0!</v>
      </c>
      <c r="K37" s="269" t="s">
        <v>206</v>
      </c>
      <c r="L37" s="90"/>
      <c r="M37" s="85"/>
      <c r="N37" s="102">
        <f>第2期!D24</f>
        <v>0</v>
      </c>
      <c r="O37" s="107">
        <v>0</v>
      </c>
      <c r="P37" s="102" t="e">
        <f>MAX(0,INT(MIN(D56-E60+C61,F62-初始化表!B21)))</f>
        <v>#DIV/0!</v>
      </c>
      <c r="Q37" s="102" t="e">
        <f>MAX(0,INT(MIN(F62-MAX(E60,C28),F62+第4期!Q35+第4期!P33-F30+F48,P37)))</f>
        <v>#DIV/0!</v>
      </c>
      <c r="R37" s="93">
        <v>0</v>
      </c>
      <c r="S37" s="131"/>
      <c r="T37" s="120"/>
      <c r="U37" s="68" t="s">
        <v>465</v>
      </c>
      <c r="V37" s="115" t="e">
        <f>第2期!BN43</f>
        <v>#DIV/0!</v>
      </c>
      <c r="W37" s="115" t="e">
        <f>第2期!BO43</f>
        <v>#DIV/0!</v>
      </c>
      <c r="X37" s="115" t="e">
        <f>第2期!BP43</f>
        <v>#DIV/0!</v>
      </c>
      <c r="Y37" s="115" t="e">
        <f>第2期!BQ43</f>
        <v>#DIV/0!</v>
      </c>
      <c r="Z37" s="74"/>
      <c r="AA37" s="73"/>
      <c r="AB37" s="151" t="s">
        <v>206</v>
      </c>
      <c r="AC37" s="152" t="e">
        <f>初始化表!$G$22-AC7</f>
        <v>#DIV/0!</v>
      </c>
      <c r="AD37" s="152" t="e">
        <f>初始化表!$G$22-AD7</f>
        <v>#DIV/0!</v>
      </c>
      <c r="AE37" s="152" t="e">
        <f>初始化表!$G$22-AE7</f>
        <v>#DIV/0!</v>
      </c>
      <c r="AF37" s="152" t="e">
        <f>初始化表!$G$22-AF7</f>
        <v>#DIV/0!</v>
      </c>
      <c r="AG37" s="152" t="e">
        <f>初始化表!$G$22-AG7</f>
        <v>#DIV/0!</v>
      </c>
      <c r="AH37" s="73"/>
      <c r="AI37" s="439"/>
      <c r="AJ37" s="440"/>
      <c r="AK37" s="440"/>
      <c r="AL37" s="440"/>
      <c r="AM37" s="440"/>
      <c r="AN37" s="440"/>
      <c r="AO37" s="440"/>
      <c r="AP37" s="440"/>
      <c r="AQ37" s="440"/>
      <c r="AR37" s="440"/>
      <c r="AS37" s="440"/>
      <c r="AT37" s="440"/>
      <c r="AU37" s="440"/>
      <c r="AV37" s="440"/>
      <c r="AW37" s="440"/>
      <c r="AX37" s="440"/>
      <c r="AY37" s="440"/>
      <c r="AZ37" s="193"/>
      <c r="BA37" s="196">
        <f t="shared" si="62"/>
        <v>0</v>
      </c>
      <c r="BB37" s="201">
        <f t="shared" si="63"/>
        <v>0</v>
      </c>
      <c r="BC37" s="201">
        <f t="shared" si="64"/>
        <v>0</v>
      </c>
      <c r="BD37" s="201">
        <f t="shared" si="65"/>
        <v>0</v>
      </c>
      <c r="BE37" s="201">
        <f t="shared" si="66"/>
        <v>0</v>
      </c>
      <c r="BF37" s="202">
        <f>(BB37*初始化表!E$17+BC37*初始化表!F$17+BD37*初始化表!G$17+BE37*初始化表!H$17)/1300</f>
        <v>0</v>
      </c>
      <c r="BG37" s="207">
        <f t="shared" si="67"/>
        <v>0</v>
      </c>
      <c r="BH37" s="207">
        <f t="shared" si="68"/>
        <v>0</v>
      </c>
      <c r="BI37" s="321">
        <f>$BI$51+MAX(0,第2期!BI37)-第3期!BF37</f>
        <v>0</v>
      </c>
      <c r="BJ37" s="201" t="str">
        <f t="shared" si="69"/>
        <v/>
      </c>
      <c r="BK37" s="201" t="str">
        <f t="shared" si="70"/>
        <v/>
      </c>
      <c r="BL37" s="203"/>
      <c r="BM37" s="194" t="s">
        <v>521</v>
      </c>
      <c r="BN37" s="201">
        <f>BB28</f>
        <v>0</v>
      </c>
      <c r="BO37" s="201">
        <f>BC28</f>
        <v>0</v>
      </c>
      <c r="BP37" s="201">
        <f>BD28</f>
        <v>0</v>
      </c>
      <c r="BQ37" s="201">
        <f>BE28</f>
        <v>0</v>
      </c>
      <c r="BR37" s="211"/>
      <c r="BS37" s="196">
        <f t="shared" si="45"/>
        <v>0</v>
      </c>
      <c r="BT37" s="213" t="e">
        <f t="shared" si="46"/>
        <v>#DIV/0!</v>
      </c>
      <c r="BU37" s="213" t="e">
        <f t="shared" si="47"/>
        <v>#DIV/0!</v>
      </c>
      <c r="BV37" s="213" t="e">
        <f t="shared" si="48"/>
        <v>#DIV/0!</v>
      </c>
      <c r="BW37" s="213" t="e">
        <f t="shared" si="49"/>
        <v>#DIV/0!</v>
      </c>
      <c r="BX37" s="213" t="e">
        <f t="shared" si="50"/>
        <v>#DIV/0!</v>
      </c>
      <c r="BY37" s="213" t="e">
        <f t="shared" si="51"/>
        <v>#DIV/0!</v>
      </c>
      <c r="BZ37" s="213" t="e">
        <f t="shared" si="52"/>
        <v>#DIV/0!</v>
      </c>
      <c r="CA37" s="213" t="e">
        <f t="shared" si="53"/>
        <v>#DIV/0!</v>
      </c>
      <c r="CB37" s="213" t="e">
        <f t="shared" si="54"/>
        <v>#DIV/0!</v>
      </c>
      <c r="CC37" s="213" t="e">
        <f t="shared" si="55"/>
        <v>#DIV/0!</v>
      </c>
      <c r="CD37" s="213" t="e">
        <f t="shared" si="56"/>
        <v>#DIV/0!</v>
      </c>
      <c r="CE37" s="213" t="e">
        <f t="shared" si="57"/>
        <v>#DIV/0!</v>
      </c>
      <c r="CF37" s="213" t="e">
        <f t="shared" si="58"/>
        <v>#DIV/0!</v>
      </c>
      <c r="CG37" s="213" t="e">
        <f t="shared" si="59"/>
        <v>#DIV/0!</v>
      </c>
      <c r="CH37" s="213" t="e">
        <f t="shared" si="60"/>
        <v>#DIV/0!</v>
      </c>
      <c r="CI37" s="213" t="e">
        <f t="shared" si="61"/>
        <v>#DIV/0!</v>
      </c>
      <c r="CJ37" s="226"/>
      <c r="CK37" s="228"/>
      <c r="CL37" s="228"/>
      <c r="CM37" s="228"/>
      <c r="CN37" s="228"/>
      <c r="CO37" s="228"/>
      <c r="CP37" s="228"/>
      <c r="CQ37" s="228"/>
      <c r="CR37" s="228"/>
      <c r="CS37" s="228"/>
      <c r="CT37" s="228"/>
      <c r="CU37" s="228"/>
      <c r="CV37" s="228"/>
      <c r="CW37" s="228"/>
      <c r="CX37" s="228"/>
      <c r="CY37" s="228"/>
      <c r="CZ37" s="228"/>
      <c r="DA37" s="228"/>
      <c r="DB37" s="228"/>
      <c r="DC37" s="228"/>
      <c r="DD37" s="228"/>
      <c r="DE37" s="228"/>
      <c r="DF37" s="228"/>
      <c r="DG37" s="228"/>
      <c r="DH37" s="228"/>
      <c r="DI37" s="228"/>
      <c r="DJ37" s="228"/>
      <c r="DK37" s="228"/>
      <c r="DL37" s="228"/>
      <c r="DM37" s="228"/>
      <c r="DN37" s="228"/>
      <c r="DO37" s="228"/>
      <c r="DP37" s="228"/>
      <c r="DQ37" s="228"/>
    </row>
    <row r="38" s="61" customFormat="1" ht="16" customHeight="1" spans="1:121">
      <c r="A38" s="269" t="s">
        <v>370</v>
      </c>
      <c r="B38" s="270"/>
      <c r="C38" s="77">
        <f>-SUM(F17:F20)</f>
        <v>0</v>
      </c>
      <c r="D38" s="79"/>
      <c r="E38" s="79"/>
      <c r="F38" s="79" t="e">
        <f t="shared" si="44"/>
        <v>#DIV/0!</v>
      </c>
      <c r="G38" s="73"/>
      <c r="H38" s="354" t="s">
        <v>627</v>
      </c>
      <c r="I38" s="248">
        <f>-C44</f>
        <v>0</v>
      </c>
      <c r="J38" s="106" t="e">
        <f>INT(($N$49*1300-SUMPRODUCT($L$177:$L$180,$H$177:$H$180))/H180)</f>
        <v>#DIV/0!</v>
      </c>
      <c r="K38" s="269" t="s">
        <v>208</v>
      </c>
      <c r="L38" s="90"/>
      <c r="M38" s="85"/>
      <c r="N38" s="69" t="s">
        <v>628</v>
      </c>
      <c r="O38" s="69"/>
      <c r="P38" s="393" t="e">
        <f>F48</f>
        <v>#DIV/0!</v>
      </c>
      <c r="Q38" s="68" t="s">
        <v>629</v>
      </c>
      <c r="R38" s="292" t="e">
        <f>F64-MAX(E60,第2期!F64)</f>
        <v>#DIV/0!</v>
      </c>
      <c r="S38" s="137"/>
      <c r="T38" s="120"/>
      <c r="U38" s="68" t="s">
        <v>466</v>
      </c>
      <c r="V38" s="115" t="e">
        <f>第2期!BN44</f>
        <v>#DIV/0!</v>
      </c>
      <c r="W38" s="115" t="e">
        <f>第2期!BO44</f>
        <v>#DIV/0!</v>
      </c>
      <c r="X38" s="115" t="e">
        <f>第2期!BP44</f>
        <v>#DIV/0!</v>
      </c>
      <c r="Y38" s="115" t="e">
        <f>第2期!BQ44</f>
        <v>#DIV/0!</v>
      </c>
      <c r="Z38" s="74"/>
      <c r="AA38" s="73"/>
      <c r="AB38" s="151" t="s">
        <v>208</v>
      </c>
      <c r="AC38" s="152" t="e">
        <f>初始化表!$H$22-AC8</f>
        <v>#DIV/0!</v>
      </c>
      <c r="AD38" s="152" t="e">
        <f>初始化表!$H$22-AD8</f>
        <v>#DIV/0!</v>
      </c>
      <c r="AE38" s="152" t="e">
        <f>初始化表!$H$22-AE8</f>
        <v>#DIV/0!</v>
      </c>
      <c r="AF38" s="152" t="e">
        <f>初始化表!$H$22-AF8</f>
        <v>#DIV/0!</v>
      </c>
      <c r="AG38" s="152" t="e">
        <f>初始化表!$H$22-AG8</f>
        <v>#DIV/0!</v>
      </c>
      <c r="AH38" s="73"/>
      <c r="AI38" s="439"/>
      <c r="AJ38" s="440"/>
      <c r="AK38" s="440"/>
      <c r="AL38" s="440"/>
      <c r="AM38" s="440"/>
      <c r="AN38" s="440"/>
      <c r="AO38" s="440"/>
      <c r="AP38" s="440"/>
      <c r="AQ38" s="440"/>
      <c r="AR38" s="440"/>
      <c r="AS38" s="440"/>
      <c r="AT38" s="440"/>
      <c r="AU38" s="440"/>
      <c r="AV38" s="440"/>
      <c r="AW38" s="440"/>
      <c r="AX38" s="440"/>
      <c r="AY38" s="440"/>
      <c r="AZ38" s="193"/>
      <c r="BA38" s="196">
        <f t="shared" si="62"/>
        <v>0</v>
      </c>
      <c r="BB38" s="201">
        <f t="shared" si="63"/>
        <v>0</v>
      </c>
      <c r="BC38" s="201">
        <f t="shared" si="64"/>
        <v>0</v>
      </c>
      <c r="BD38" s="201">
        <f t="shared" si="65"/>
        <v>0</v>
      </c>
      <c r="BE38" s="201">
        <f t="shared" si="66"/>
        <v>0</v>
      </c>
      <c r="BF38" s="202">
        <f>(BB38*初始化表!E$17+BC38*初始化表!F$17+BD38*初始化表!G$17+BE38*初始化表!H$17)/1300</f>
        <v>0</v>
      </c>
      <c r="BG38" s="207">
        <f t="shared" si="67"/>
        <v>0</v>
      </c>
      <c r="BH38" s="207">
        <f t="shared" si="68"/>
        <v>0</v>
      </c>
      <c r="BI38" s="321">
        <f>$BI$51+MAX(0,第2期!BI38)-第3期!BF38</f>
        <v>0</v>
      </c>
      <c r="BJ38" s="201" t="str">
        <f t="shared" si="69"/>
        <v/>
      </c>
      <c r="BK38" s="201" t="str">
        <f t="shared" si="70"/>
        <v/>
      </c>
      <c r="BL38" s="203"/>
      <c r="BM38" s="194" t="s">
        <v>522</v>
      </c>
      <c r="BN38" s="201">
        <f>BF28</f>
        <v>0</v>
      </c>
      <c r="BO38" s="201">
        <f>BG28</f>
        <v>0</v>
      </c>
      <c r="BP38" s="201">
        <f>BH28</f>
        <v>0</v>
      </c>
      <c r="BQ38" s="201">
        <f>BI28</f>
        <v>0</v>
      </c>
      <c r="BR38" s="211"/>
      <c r="BS38" s="196">
        <f t="shared" si="45"/>
        <v>0</v>
      </c>
      <c r="BT38" s="213" t="e">
        <f t="shared" si="46"/>
        <v>#DIV/0!</v>
      </c>
      <c r="BU38" s="213" t="e">
        <f t="shared" si="47"/>
        <v>#DIV/0!</v>
      </c>
      <c r="BV38" s="213" t="e">
        <f t="shared" si="48"/>
        <v>#DIV/0!</v>
      </c>
      <c r="BW38" s="213" t="e">
        <f t="shared" si="49"/>
        <v>#DIV/0!</v>
      </c>
      <c r="BX38" s="213" t="e">
        <f t="shared" si="50"/>
        <v>#DIV/0!</v>
      </c>
      <c r="BY38" s="213" t="e">
        <f t="shared" si="51"/>
        <v>#DIV/0!</v>
      </c>
      <c r="BZ38" s="213" t="e">
        <f t="shared" si="52"/>
        <v>#DIV/0!</v>
      </c>
      <c r="CA38" s="213" t="e">
        <f t="shared" si="53"/>
        <v>#DIV/0!</v>
      </c>
      <c r="CB38" s="213" t="e">
        <f t="shared" si="54"/>
        <v>#DIV/0!</v>
      </c>
      <c r="CC38" s="213" t="e">
        <f t="shared" si="55"/>
        <v>#DIV/0!</v>
      </c>
      <c r="CD38" s="213" t="e">
        <f t="shared" si="56"/>
        <v>#DIV/0!</v>
      </c>
      <c r="CE38" s="213" t="e">
        <f t="shared" si="57"/>
        <v>#DIV/0!</v>
      </c>
      <c r="CF38" s="213" t="e">
        <f t="shared" si="58"/>
        <v>#DIV/0!</v>
      </c>
      <c r="CG38" s="213" t="e">
        <f t="shared" si="59"/>
        <v>#DIV/0!</v>
      </c>
      <c r="CH38" s="213" t="e">
        <f t="shared" si="60"/>
        <v>#DIV/0!</v>
      </c>
      <c r="CI38" s="213" t="e">
        <f t="shared" si="61"/>
        <v>#DIV/0!</v>
      </c>
      <c r="CJ38" s="226"/>
      <c r="CK38" s="228"/>
      <c r="CL38" s="228"/>
      <c r="CM38" s="228"/>
      <c r="CN38" s="228"/>
      <c r="CO38" s="228"/>
      <c r="CP38" s="228"/>
      <c r="CQ38" s="228"/>
      <c r="CR38" s="228"/>
      <c r="CS38" s="228"/>
      <c r="CT38" s="228"/>
      <c r="CU38" s="228"/>
      <c r="CV38" s="228"/>
      <c r="CW38" s="228"/>
      <c r="CX38" s="228"/>
      <c r="CY38" s="228"/>
      <c r="CZ38" s="228"/>
      <c r="DA38" s="228"/>
      <c r="DB38" s="228"/>
      <c r="DC38" s="228"/>
      <c r="DD38" s="228"/>
      <c r="DE38" s="228"/>
      <c r="DF38" s="228"/>
      <c r="DG38" s="228"/>
      <c r="DH38" s="228"/>
      <c r="DI38" s="228"/>
      <c r="DJ38" s="228"/>
      <c r="DK38" s="228"/>
      <c r="DL38" s="228"/>
      <c r="DM38" s="228"/>
      <c r="DN38" s="228"/>
      <c r="DO38" s="228"/>
      <c r="DP38" s="228"/>
      <c r="DQ38" s="228"/>
    </row>
    <row r="39" s="61" customFormat="1" ht="16" customHeight="1" spans="1:121">
      <c r="A39" s="269" t="s">
        <v>371</v>
      </c>
      <c r="B39" s="270"/>
      <c r="C39" s="77">
        <f>(C38+第2期!C38)/2</f>
        <v>0</v>
      </c>
      <c r="D39" s="79"/>
      <c r="E39" s="79" t="e">
        <f>E36-C39</f>
        <v>#DIV/0!</v>
      </c>
      <c r="F39" s="79"/>
      <c r="G39" s="73"/>
      <c r="H39" s="354" t="s">
        <v>241</v>
      </c>
      <c r="I39" s="248">
        <f>SUM(I34:I38)</f>
        <v>0</v>
      </c>
      <c r="J39" s="110"/>
      <c r="K39" s="110"/>
      <c r="L39" s="110"/>
      <c r="M39" s="85"/>
      <c r="N39" s="68" t="s">
        <v>631</v>
      </c>
      <c r="O39" s="69"/>
      <c r="P39" s="69"/>
      <c r="Q39" s="69"/>
      <c r="R39" s="69"/>
      <c r="S39" s="74"/>
      <c r="T39" s="120"/>
      <c r="U39" s="68" t="s">
        <v>468</v>
      </c>
      <c r="V39" s="115" t="e">
        <f>第2期!BN45</f>
        <v>#DIV/0!</v>
      </c>
      <c r="W39" s="115" t="e">
        <f>第2期!BO45</f>
        <v>#DIV/0!</v>
      </c>
      <c r="X39" s="115" t="e">
        <f>第2期!BP45</f>
        <v>#DIV/0!</v>
      </c>
      <c r="Y39" s="115" t="e">
        <f>第2期!BQ45</f>
        <v>#DIV/0!</v>
      </c>
      <c r="Z39" s="74"/>
      <c r="AA39" s="73"/>
      <c r="AB39" s="74"/>
      <c r="AC39" s="74"/>
      <c r="AD39" s="74"/>
      <c r="AE39" s="74"/>
      <c r="AF39" s="74"/>
      <c r="AG39" s="74"/>
      <c r="AH39" s="73"/>
      <c r="AI39" s="439"/>
      <c r="AJ39" s="440"/>
      <c r="AK39" s="440"/>
      <c r="AL39" s="440"/>
      <c r="AM39" s="440"/>
      <c r="AN39" s="440"/>
      <c r="AO39" s="440"/>
      <c r="AP39" s="440"/>
      <c r="AQ39" s="440"/>
      <c r="AR39" s="440"/>
      <c r="AS39" s="440"/>
      <c r="AT39" s="440"/>
      <c r="AU39" s="440"/>
      <c r="AV39" s="440"/>
      <c r="AW39" s="440"/>
      <c r="AX39" s="440"/>
      <c r="AY39" s="440"/>
      <c r="AZ39" s="193"/>
      <c r="BA39" s="196">
        <f t="shared" si="62"/>
        <v>0</v>
      </c>
      <c r="BB39" s="201">
        <f t="shared" si="63"/>
        <v>0</v>
      </c>
      <c r="BC39" s="201">
        <f t="shared" si="64"/>
        <v>0</v>
      </c>
      <c r="BD39" s="201">
        <f t="shared" si="65"/>
        <v>0</v>
      </c>
      <c r="BE39" s="201">
        <f t="shared" si="66"/>
        <v>0</v>
      </c>
      <c r="BF39" s="202">
        <f>(BB39*初始化表!E$17+BC39*初始化表!F$17+BD39*初始化表!G$17+BE39*初始化表!H$17)/1300</f>
        <v>0</v>
      </c>
      <c r="BG39" s="207">
        <f t="shared" si="67"/>
        <v>0</v>
      </c>
      <c r="BH39" s="207">
        <f t="shared" si="68"/>
        <v>0</v>
      </c>
      <c r="BI39" s="321">
        <f>$BI$51+MAX(0,第2期!BI39)-第3期!BF39</f>
        <v>0</v>
      </c>
      <c r="BJ39" s="201" t="str">
        <f t="shared" si="69"/>
        <v/>
      </c>
      <c r="BK39" s="201" t="str">
        <f t="shared" si="70"/>
        <v/>
      </c>
      <c r="BL39" s="203"/>
      <c r="BM39" s="194" t="s">
        <v>523</v>
      </c>
      <c r="BN39" s="201">
        <f>BJ28</f>
        <v>0</v>
      </c>
      <c r="BO39" s="201">
        <f>BK28</f>
        <v>0</v>
      </c>
      <c r="BP39" s="201">
        <f>BL28</f>
        <v>0</v>
      </c>
      <c r="BQ39" s="201">
        <f>BM28</f>
        <v>0</v>
      </c>
      <c r="BR39" s="211"/>
      <c r="BS39" s="196">
        <f t="shared" si="45"/>
        <v>0</v>
      </c>
      <c r="BT39" s="213" t="e">
        <f t="shared" si="46"/>
        <v>#DIV/0!</v>
      </c>
      <c r="BU39" s="213" t="e">
        <f t="shared" si="47"/>
        <v>#DIV/0!</v>
      </c>
      <c r="BV39" s="213" t="e">
        <f t="shared" si="48"/>
        <v>#DIV/0!</v>
      </c>
      <c r="BW39" s="213" t="e">
        <f t="shared" si="49"/>
        <v>#DIV/0!</v>
      </c>
      <c r="BX39" s="213" t="e">
        <f t="shared" si="50"/>
        <v>#DIV/0!</v>
      </c>
      <c r="BY39" s="213" t="e">
        <f t="shared" si="51"/>
        <v>#DIV/0!</v>
      </c>
      <c r="BZ39" s="213" t="e">
        <f t="shared" si="52"/>
        <v>#DIV/0!</v>
      </c>
      <c r="CA39" s="213" t="e">
        <f t="shared" si="53"/>
        <v>#DIV/0!</v>
      </c>
      <c r="CB39" s="213" t="e">
        <f t="shared" si="54"/>
        <v>#DIV/0!</v>
      </c>
      <c r="CC39" s="213" t="e">
        <f t="shared" si="55"/>
        <v>#DIV/0!</v>
      </c>
      <c r="CD39" s="213" t="e">
        <f t="shared" si="56"/>
        <v>#DIV/0!</v>
      </c>
      <c r="CE39" s="213" t="e">
        <f t="shared" si="57"/>
        <v>#DIV/0!</v>
      </c>
      <c r="CF39" s="213" t="e">
        <f t="shared" si="58"/>
        <v>#DIV/0!</v>
      </c>
      <c r="CG39" s="213" t="e">
        <f t="shared" si="59"/>
        <v>#DIV/0!</v>
      </c>
      <c r="CH39" s="213" t="e">
        <f t="shared" si="60"/>
        <v>#DIV/0!</v>
      </c>
      <c r="CI39" s="213" t="e">
        <f t="shared" si="61"/>
        <v>#DIV/0!</v>
      </c>
      <c r="CJ39" s="226"/>
      <c r="CK39" s="228"/>
      <c r="CL39" s="228"/>
      <c r="CM39" s="228"/>
      <c r="CN39" s="228"/>
      <c r="CO39" s="228"/>
      <c r="CP39" s="228"/>
      <c r="CQ39" s="228"/>
      <c r="CR39" s="228"/>
      <c r="CS39" s="228"/>
      <c r="CT39" s="228"/>
      <c r="CU39" s="228"/>
      <c r="CV39" s="228"/>
      <c r="CW39" s="228"/>
      <c r="CX39" s="228"/>
      <c r="CY39" s="228"/>
      <c r="CZ39" s="228"/>
      <c r="DA39" s="228"/>
      <c r="DB39" s="228"/>
      <c r="DC39" s="228"/>
      <c r="DD39" s="228"/>
      <c r="DE39" s="228"/>
      <c r="DF39" s="228"/>
      <c r="DG39" s="228"/>
      <c r="DH39" s="228"/>
      <c r="DI39" s="228"/>
      <c r="DJ39" s="228"/>
      <c r="DK39" s="228"/>
      <c r="DL39" s="228"/>
      <c r="DM39" s="228"/>
      <c r="DN39" s="228"/>
      <c r="DO39" s="228"/>
      <c r="DP39" s="228"/>
      <c r="DQ39" s="228"/>
    </row>
    <row r="40" s="61" customFormat="1" ht="16" customHeight="1" spans="1:121">
      <c r="A40" s="269" t="s">
        <v>372</v>
      </c>
      <c r="B40" s="270"/>
      <c r="C40" s="77">
        <f>-E22</f>
        <v>0</v>
      </c>
      <c r="D40" s="79"/>
      <c r="E40" s="79"/>
      <c r="F40" s="79" t="e">
        <f>F38+C40</f>
        <v>#DIV/0!</v>
      </c>
      <c r="G40" s="73"/>
      <c r="H40" s="74"/>
      <c r="I40" s="74"/>
      <c r="J40" s="74"/>
      <c r="K40" s="74"/>
      <c r="L40" s="74"/>
      <c r="M40" s="85"/>
      <c r="N40" s="68" t="s">
        <v>632</v>
      </c>
      <c r="O40" s="68" t="s">
        <v>464</v>
      </c>
      <c r="P40" s="68" t="s">
        <v>465</v>
      </c>
      <c r="Q40" s="68" t="s">
        <v>466</v>
      </c>
      <c r="R40" s="68" t="s">
        <v>468</v>
      </c>
      <c r="S40" s="121"/>
      <c r="T40" s="120"/>
      <c r="U40" s="123"/>
      <c r="V40" s="74"/>
      <c r="W40" s="74"/>
      <c r="X40" s="74"/>
      <c r="Y40" s="74"/>
      <c r="Z40" s="74"/>
      <c r="AA40" s="73"/>
      <c r="AB40" s="159" t="s">
        <v>633</v>
      </c>
      <c r="AC40" s="160"/>
      <c r="AD40" s="161" t="e">
        <f>F77/AD41</f>
        <v>#DIV/0!</v>
      </c>
      <c r="AE40" s="161"/>
      <c r="AF40" s="74"/>
      <c r="AG40" s="74"/>
      <c r="AH40" s="73"/>
      <c r="AI40" s="439"/>
      <c r="AJ40" s="440"/>
      <c r="AK40" s="440"/>
      <c r="AL40" s="440"/>
      <c r="AM40" s="440"/>
      <c r="AN40" s="440"/>
      <c r="AO40" s="440"/>
      <c r="AP40" s="440"/>
      <c r="AQ40" s="440"/>
      <c r="AR40" s="440"/>
      <c r="AS40" s="440"/>
      <c r="AT40" s="440"/>
      <c r="AU40" s="440"/>
      <c r="AV40" s="440"/>
      <c r="AW40" s="440"/>
      <c r="AX40" s="440"/>
      <c r="AY40" s="440"/>
      <c r="AZ40" s="193"/>
      <c r="BA40" s="196">
        <f t="shared" si="62"/>
        <v>0</v>
      </c>
      <c r="BB40" s="201">
        <f t="shared" si="63"/>
        <v>0</v>
      </c>
      <c r="BC40" s="201">
        <f t="shared" si="64"/>
        <v>0</v>
      </c>
      <c r="BD40" s="201">
        <f t="shared" si="65"/>
        <v>0</v>
      </c>
      <c r="BE40" s="201">
        <f t="shared" si="66"/>
        <v>0</v>
      </c>
      <c r="BF40" s="202">
        <f>(BB40*初始化表!E$17+BC40*初始化表!F$17+BD40*初始化表!G$17+BE40*初始化表!H$17)/1300</f>
        <v>0</v>
      </c>
      <c r="BG40" s="207">
        <f t="shared" si="67"/>
        <v>0</v>
      </c>
      <c r="BH40" s="207">
        <f t="shared" si="68"/>
        <v>0</v>
      </c>
      <c r="BI40" s="321">
        <f>$BI$51+MAX(0,第2期!BI40)-第3期!BF40</f>
        <v>0</v>
      </c>
      <c r="BJ40" s="201" t="str">
        <f t="shared" si="69"/>
        <v/>
      </c>
      <c r="BK40" s="201" t="str">
        <f t="shared" si="70"/>
        <v/>
      </c>
      <c r="BL40" s="203"/>
      <c r="BM40" s="194" t="s">
        <v>524</v>
      </c>
      <c r="BN40" s="201">
        <f>BN28</f>
        <v>0</v>
      </c>
      <c r="BO40" s="201">
        <f>BO28</f>
        <v>0</v>
      </c>
      <c r="BP40" s="201">
        <f>BP28</f>
        <v>0</v>
      </c>
      <c r="BQ40" s="201">
        <f>BQ28</f>
        <v>0</v>
      </c>
      <c r="BR40" s="211"/>
      <c r="BS40" s="196">
        <f t="shared" si="45"/>
        <v>0</v>
      </c>
      <c r="BT40" s="213" t="e">
        <f t="shared" si="46"/>
        <v>#DIV/0!</v>
      </c>
      <c r="BU40" s="213" t="e">
        <f t="shared" si="47"/>
        <v>#DIV/0!</v>
      </c>
      <c r="BV40" s="213" t="e">
        <f t="shared" si="48"/>
        <v>#DIV/0!</v>
      </c>
      <c r="BW40" s="213" t="e">
        <f t="shared" si="49"/>
        <v>#DIV/0!</v>
      </c>
      <c r="BX40" s="213" t="e">
        <f t="shared" si="50"/>
        <v>#DIV/0!</v>
      </c>
      <c r="BY40" s="213" t="e">
        <f t="shared" si="51"/>
        <v>#DIV/0!</v>
      </c>
      <c r="BZ40" s="213" t="e">
        <f t="shared" si="52"/>
        <v>#DIV/0!</v>
      </c>
      <c r="CA40" s="213" t="e">
        <f t="shared" si="53"/>
        <v>#DIV/0!</v>
      </c>
      <c r="CB40" s="213" t="e">
        <f t="shared" si="54"/>
        <v>#DIV/0!</v>
      </c>
      <c r="CC40" s="213" t="e">
        <f t="shared" si="55"/>
        <v>#DIV/0!</v>
      </c>
      <c r="CD40" s="213" t="e">
        <f t="shared" si="56"/>
        <v>#DIV/0!</v>
      </c>
      <c r="CE40" s="213" t="e">
        <f t="shared" si="57"/>
        <v>#DIV/0!</v>
      </c>
      <c r="CF40" s="213" t="e">
        <f t="shared" si="58"/>
        <v>#DIV/0!</v>
      </c>
      <c r="CG40" s="213" t="e">
        <f t="shared" si="59"/>
        <v>#DIV/0!</v>
      </c>
      <c r="CH40" s="213" t="e">
        <f t="shared" si="60"/>
        <v>#DIV/0!</v>
      </c>
      <c r="CI40" s="213" t="e">
        <f t="shared" si="61"/>
        <v>#DIV/0!</v>
      </c>
      <c r="CJ40" s="226"/>
      <c r="CK40" s="228"/>
      <c r="CL40" s="228"/>
      <c r="CM40" s="228"/>
      <c r="CN40" s="228"/>
      <c r="CO40" s="228"/>
      <c r="CP40" s="228"/>
      <c r="CQ40" s="228"/>
      <c r="CR40" s="228"/>
      <c r="CS40" s="228"/>
      <c r="CT40" s="228"/>
      <c r="CU40" s="228"/>
      <c r="CV40" s="228"/>
      <c r="CW40" s="228"/>
      <c r="CX40" s="228"/>
      <c r="CY40" s="228"/>
      <c r="CZ40" s="228"/>
      <c r="DA40" s="228"/>
      <c r="DB40" s="228"/>
      <c r="DC40" s="228"/>
      <c r="DD40" s="228"/>
      <c r="DE40" s="228"/>
      <c r="DF40" s="228"/>
      <c r="DG40" s="228"/>
      <c r="DH40" s="228"/>
      <c r="DI40" s="228"/>
      <c r="DJ40" s="228"/>
      <c r="DK40" s="228"/>
      <c r="DL40" s="228"/>
      <c r="DM40" s="228"/>
      <c r="DN40" s="228"/>
      <c r="DO40" s="228"/>
      <c r="DP40" s="228"/>
      <c r="DQ40" s="228"/>
    </row>
    <row r="41" s="61" customFormat="1" ht="16" customHeight="1" spans="1:121">
      <c r="A41" s="269" t="s">
        <v>373</v>
      </c>
      <c r="B41" s="270"/>
      <c r="C41" s="77">
        <f>IF(E22&gt;=初始化表!K30,E22*(1-初始化表!L30),IF(E22&gt;=初始化表!K31,E22*(1-初始化表!L31),IF(E22&gt;=初始化表!K32,E22*(1-初始化表!L32),0)))</f>
        <v>0</v>
      </c>
      <c r="D41" s="79">
        <f>C41</f>
        <v>0</v>
      </c>
      <c r="E41" s="79"/>
      <c r="F41" s="79" t="e">
        <f>F40+C41</f>
        <v>#DIV/0!</v>
      </c>
      <c r="G41" s="73"/>
      <c r="H41" s="269" t="s">
        <v>634</v>
      </c>
      <c r="I41" s="270"/>
      <c r="J41" s="270"/>
      <c r="K41" s="270"/>
      <c r="L41" s="270"/>
      <c r="M41" s="85"/>
      <c r="N41" s="68" t="s">
        <v>635</v>
      </c>
      <c r="O41" s="111">
        <f>第2期!AN26</f>
        <v>0.95</v>
      </c>
      <c r="P41" s="111">
        <f>第2期!AN27</f>
        <v>0.95</v>
      </c>
      <c r="Q41" s="111">
        <f>第2期!AN28</f>
        <v>0.95</v>
      </c>
      <c r="R41" s="111">
        <f>第2期!AN29</f>
        <v>0.95</v>
      </c>
      <c r="S41" s="121"/>
      <c r="T41" s="120"/>
      <c r="U41" s="68" t="s">
        <v>636</v>
      </c>
      <c r="V41" s="68" t="s">
        <v>459</v>
      </c>
      <c r="W41" s="68" t="s">
        <v>460</v>
      </c>
      <c r="X41" s="68" t="s">
        <v>461</v>
      </c>
      <c r="Y41" s="68" t="s">
        <v>462</v>
      </c>
      <c r="Z41" s="68" t="s">
        <v>563</v>
      </c>
      <c r="AA41" s="73"/>
      <c r="AB41" s="159" t="s">
        <v>637</v>
      </c>
      <c r="AC41" s="160"/>
      <c r="AD41" s="162">
        <f>((SUM(V42:Y42,V11:Y11))*初始化表!E17+(SUM(V43:Y43,V12:Y12))*初始化表!F17+(SUM(V44:Y44,V13:Y13))*初始化表!G17+(SUM(V45:Y45,V14:Y14))*初始化表!H17)/1300</f>
        <v>0</v>
      </c>
      <c r="AE41" s="162"/>
      <c r="AF41" s="74"/>
      <c r="AG41" s="74"/>
      <c r="AH41" s="73"/>
      <c r="AI41" s="439"/>
      <c r="AJ41" s="440"/>
      <c r="AK41" s="440"/>
      <c r="AL41" s="440"/>
      <c r="AM41" s="440"/>
      <c r="AN41" s="440"/>
      <c r="AO41" s="440"/>
      <c r="AP41" s="440"/>
      <c r="AQ41" s="440"/>
      <c r="AR41" s="440"/>
      <c r="AS41" s="440"/>
      <c r="AT41" s="440"/>
      <c r="AU41" s="440"/>
      <c r="AV41" s="440"/>
      <c r="AW41" s="440"/>
      <c r="AX41" s="440"/>
      <c r="AY41" s="440"/>
      <c r="AZ41" s="193"/>
      <c r="BA41" s="196">
        <f t="shared" si="62"/>
        <v>0</v>
      </c>
      <c r="BB41" s="201">
        <f t="shared" si="63"/>
        <v>0</v>
      </c>
      <c r="BC41" s="201">
        <f t="shared" si="64"/>
        <v>0</v>
      </c>
      <c r="BD41" s="201">
        <f t="shared" si="65"/>
        <v>0</v>
      </c>
      <c r="BE41" s="201">
        <f t="shared" si="66"/>
        <v>0</v>
      </c>
      <c r="BF41" s="202">
        <f>(BB41*初始化表!E$17+BC41*初始化表!F$17+BD41*初始化表!G$17+BE41*初始化表!H$17)/1300</f>
        <v>0</v>
      </c>
      <c r="BG41" s="207">
        <f t="shared" si="67"/>
        <v>0</v>
      </c>
      <c r="BH41" s="207">
        <f t="shared" si="68"/>
        <v>0</v>
      </c>
      <c r="BI41" s="321">
        <f>$BI$51+MAX(0,第2期!BI41)-第3期!BF41</f>
        <v>0</v>
      </c>
      <c r="BJ41" s="201" t="str">
        <f t="shared" si="69"/>
        <v/>
      </c>
      <c r="BK41" s="201" t="str">
        <f t="shared" si="70"/>
        <v/>
      </c>
      <c r="BL41" s="203"/>
      <c r="BM41" s="217" t="s">
        <v>726</v>
      </c>
      <c r="BN41" s="194" t="s">
        <v>513</v>
      </c>
      <c r="BO41" s="194" t="s">
        <v>514</v>
      </c>
      <c r="BP41" s="194" t="s">
        <v>515</v>
      </c>
      <c r="BQ41" s="194" t="s">
        <v>516</v>
      </c>
      <c r="BR41" s="211"/>
      <c r="BS41" s="196">
        <f t="shared" si="45"/>
        <v>0</v>
      </c>
      <c r="BT41" s="213" t="e">
        <f t="shared" si="46"/>
        <v>#DIV/0!</v>
      </c>
      <c r="BU41" s="213" t="e">
        <f t="shared" si="47"/>
        <v>#DIV/0!</v>
      </c>
      <c r="BV41" s="213" t="e">
        <f t="shared" si="48"/>
        <v>#DIV/0!</v>
      </c>
      <c r="BW41" s="213" t="e">
        <f t="shared" si="49"/>
        <v>#DIV/0!</v>
      </c>
      <c r="BX41" s="213" t="e">
        <f t="shared" si="50"/>
        <v>#DIV/0!</v>
      </c>
      <c r="BY41" s="213" t="e">
        <f t="shared" si="51"/>
        <v>#DIV/0!</v>
      </c>
      <c r="BZ41" s="213" t="e">
        <f t="shared" si="52"/>
        <v>#DIV/0!</v>
      </c>
      <c r="CA41" s="213" t="e">
        <f t="shared" si="53"/>
        <v>#DIV/0!</v>
      </c>
      <c r="CB41" s="213" t="e">
        <f t="shared" si="54"/>
        <v>#DIV/0!</v>
      </c>
      <c r="CC41" s="213" t="e">
        <f t="shared" si="55"/>
        <v>#DIV/0!</v>
      </c>
      <c r="CD41" s="213" t="e">
        <f t="shared" si="56"/>
        <v>#DIV/0!</v>
      </c>
      <c r="CE41" s="213" t="e">
        <f t="shared" si="57"/>
        <v>#DIV/0!</v>
      </c>
      <c r="CF41" s="213" t="e">
        <f t="shared" si="58"/>
        <v>#DIV/0!</v>
      </c>
      <c r="CG41" s="213" t="e">
        <f t="shared" si="59"/>
        <v>#DIV/0!</v>
      </c>
      <c r="CH41" s="213" t="e">
        <f t="shared" si="60"/>
        <v>#DIV/0!</v>
      </c>
      <c r="CI41" s="213" t="e">
        <f t="shared" si="61"/>
        <v>#DIV/0!</v>
      </c>
      <c r="CJ41" s="226"/>
      <c r="CK41" s="228"/>
      <c r="CL41" s="228"/>
      <c r="CM41" s="228"/>
      <c r="CN41" s="228"/>
      <c r="CO41" s="228"/>
      <c r="CP41" s="228"/>
      <c r="CQ41" s="228"/>
      <c r="CR41" s="228"/>
      <c r="CS41" s="228"/>
      <c r="CT41" s="228"/>
      <c r="CU41" s="228"/>
      <c r="CV41" s="228"/>
      <c r="CW41" s="228"/>
      <c r="CX41" s="228"/>
      <c r="CY41" s="228"/>
      <c r="CZ41" s="228"/>
      <c r="DA41" s="228"/>
      <c r="DB41" s="228"/>
      <c r="DC41" s="228"/>
      <c r="DD41" s="228"/>
      <c r="DE41" s="228"/>
      <c r="DF41" s="228"/>
      <c r="DG41" s="228"/>
      <c r="DH41" s="228"/>
      <c r="DI41" s="228"/>
      <c r="DJ41" s="228"/>
      <c r="DK41" s="228"/>
      <c r="DL41" s="228"/>
      <c r="DM41" s="228"/>
      <c r="DN41" s="228"/>
      <c r="DO41" s="228"/>
      <c r="DP41" s="228"/>
      <c r="DQ41" s="228"/>
    </row>
    <row r="42" s="61" customFormat="1" ht="16" customHeight="1" spans="1:121">
      <c r="A42" s="269" t="s">
        <v>374</v>
      </c>
      <c r="B42" s="270"/>
      <c r="C42" s="77">
        <f>IF(E22&gt;0,-初始化表!B9-初始化表!B10*E22,0)</f>
        <v>0</v>
      </c>
      <c r="D42" s="79"/>
      <c r="E42" s="79" t="e">
        <f>E39-C42</f>
        <v>#DIV/0!</v>
      </c>
      <c r="F42" s="79" t="e">
        <f>F41+C42</f>
        <v>#DIV/0!</v>
      </c>
      <c r="G42" s="73"/>
      <c r="H42" s="269" t="s">
        <v>639</v>
      </c>
      <c r="I42" s="269" t="s">
        <v>640</v>
      </c>
      <c r="J42" s="269" t="s">
        <v>641</v>
      </c>
      <c r="K42" s="269" t="s">
        <v>642</v>
      </c>
      <c r="L42" s="269" t="s">
        <v>643</v>
      </c>
      <c r="M42" s="85"/>
      <c r="N42" s="68" t="s">
        <v>644</v>
      </c>
      <c r="O42" s="112" t="e">
        <f>1-0.5/MAX(B12:E12)</f>
        <v>#DIV/0!</v>
      </c>
      <c r="P42" s="112" t="e">
        <f>1-0.5/MAX(B13:E13)</f>
        <v>#DIV/0!</v>
      </c>
      <c r="Q42" s="112" t="e">
        <f>1-0.5/MAX(B14:E14)</f>
        <v>#DIV/0!</v>
      </c>
      <c r="R42" s="112" t="e">
        <f>1-0.5/MAX(B15:E15)</f>
        <v>#DIV/0!</v>
      </c>
      <c r="S42" s="139"/>
      <c r="T42" s="120"/>
      <c r="U42" s="68" t="s">
        <v>464</v>
      </c>
      <c r="V42" s="77">
        <f t="shared" ref="V42:Y45" si="71">MAX(B12+V5-V11-V72,0)</f>
        <v>0</v>
      </c>
      <c r="W42" s="77">
        <f t="shared" si="71"/>
        <v>0</v>
      </c>
      <c r="X42" s="77">
        <f t="shared" si="71"/>
        <v>0</v>
      </c>
      <c r="Y42" s="77">
        <f t="shared" si="71"/>
        <v>0</v>
      </c>
      <c r="Z42" s="402">
        <f>SUM(V42:Y42)</f>
        <v>0</v>
      </c>
      <c r="AA42" s="73"/>
      <c r="AB42" s="68" t="s">
        <v>645</v>
      </c>
      <c r="AC42" s="69"/>
      <c r="AD42" s="71" t="e">
        <f>C49/AD41</f>
        <v>#DIV/0!</v>
      </c>
      <c r="AE42" s="71"/>
      <c r="AF42" s="74"/>
      <c r="AG42" s="74"/>
      <c r="AH42" s="73"/>
      <c r="AI42" s="439"/>
      <c r="AJ42" s="440"/>
      <c r="AK42" s="440"/>
      <c r="AL42" s="440"/>
      <c r="AM42" s="440"/>
      <c r="AN42" s="440"/>
      <c r="AO42" s="440"/>
      <c r="AP42" s="440"/>
      <c r="AQ42" s="440"/>
      <c r="AR42" s="440"/>
      <c r="AS42" s="440"/>
      <c r="AT42" s="440"/>
      <c r="AU42" s="440"/>
      <c r="AV42" s="440"/>
      <c r="AW42" s="440"/>
      <c r="AX42" s="440"/>
      <c r="AY42" s="440"/>
      <c r="AZ42" s="193"/>
      <c r="BA42" s="196">
        <f t="shared" si="62"/>
        <v>0</v>
      </c>
      <c r="BB42" s="201">
        <f t="shared" si="63"/>
        <v>0</v>
      </c>
      <c r="BC42" s="201">
        <f t="shared" si="64"/>
        <v>0</v>
      </c>
      <c r="BD42" s="201">
        <f t="shared" si="65"/>
        <v>0</v>
      </c>
      <c r="BE42" s="201">
        <f t="shared" si="66"/>
        <v>0</v>
      </c>
      <c r="BF42" s="202">
        <f>(BB42*初始化表!E$17+BC42*初始化表!F$17+BD42*初始化表!G$17+BE42*初始化表!H$17)/1300</f>
        <v>0</v>
      </c>
      <c r="BG42" s="207">
        <f t="shared" si="67"/>
        <v>0</v>
      </c>
      <c r="BH42" s="207">
        <f t="shared" si="68"/>
        <v>0</v>
      </c>
      <c r="BI42" s="321">
        <f>$BI$51+MAX(0,第2期!BI42)-第3期!BF42</f>
        <v>0</v>
      </c>
      <c r="BJ42" s="201" t="str">
        <f t="shared" si="69"/>
        <v/>
      </c>
      <c r="BK42" s="201" t="str">
        <f t="shared" si="70"/>
        <v/>
      </c>
      <c r="BL42" s="203"/>
      <c r="BM42" s="194" t="s">
        <v>521</v>
      </c>
      <c r="BN42" s="201" t="e">
        <f t="shared" ref="BN42:BQ45" si="72">INT(1/BN32*BN37)</f>
        <v>#DIV/0!</v>
      </c>
      <c r="BO42" s="201" t="e">
        <f t="shared" si="72"/>
        <v>#DIV/0!</v>
      </c>
      <c r="BP42" s="201" t="e">
        <f t="shared" si="72"/>
        <v>#DIV/0!</v>
      </c>
      <c r="BQ42" s="201" t="e">
        <f t="shared" si="72"/>
        <v>#DIV/0!</v>
      </c>
      <c r="BR42" s="211"/>
      <c r="BS42" s="196">
        <f t="shared" si="45"/>
        <v>0</v>
      </c>
      <c r="BT42" s="213" t="e">
        <f t="shared" si="46"/>
        <v>#DIV/0!</v>
      </c>
      <c r="BU42" s="213" t="e">
        <f t="shared" si="47"/>
        <v>#DIV/0!</v>
      </c>
      <c r="BV42" s="213" t="e">
        <f t="shared" si="48"/>
        <v>#DIV/0!</v>
      </c>
      <c r="BW42" s="213" t="e">
        <f t="shared" si="49"/>
        <v>#DIV/0!</v>
      </c>
      <c r="BX42" s="213" t="e">
        <f t="shared" si="50"/>
        <v>#DIV/0!</v>
      </c>
      <c r="BY42" s="213" t="e">
        <f t="shared" si="51"/>
        <v>#DIV/0!</v>
      </c>
      <c r="BZ42" s="213" t="e">
        <f t="shared" si="52"/>
        <v>#DIV/0!</v>
      </c>
      <c r="CA42" s="213" t="e">
        <f t="shared" si="53"/>
        <v>#DIV/0!</v>
      </c>
      <c r="CB42" s="213" t="e">
        <f t="shared" si="54"/>
        <v>#DIV/0!</v>
      </c>
      <c r="CC42" s="213" t="e">
        <f t="shared" si="55"/>
        <v>#DIV/0!</v>
      </c>
      <c r="CD42" s="213" t="e">
        <f t="shared" si="56"/>
        <v>#DIV/0!</v>
      </c>
      <c r="CE42" s="213" t="e">
        <f t="shared" si="57"/>
        <v>#DIV/0!</v>
      </c>
      <c r="CF42" s="213" t="e">
        <f t="shared" si="58"/>
        <v>#DIV/0!</v>
      </c>
      <c r="CG42" s="213" t="e">
        <f t="shared" si="59"/>
        <v>#DIV/0!</v>
      </c>
      <c r="CH42" s="213" t="e">
        <f t="shared" si="60"/>
        <v>#DIV/0!</v>
      </c>
      <c r="CI42" s="213" t="e">
        <f t="shared" si="61"/>
        <v>#DIV/0!</v>
      </c>
      <c r="CJ42" s="226"/>
      <c r="CK42" s="228"/>
      <c r="CL42" s="228"/>
      <c r="CM42" s="228"/>
      <c r="CN42" s="228"/>
      <c r="CO42" s="228"/>
      <c r="CP42" s="228"/>
      <c r="CQ42" s="228"/>
      <c r="CR42" s="228"/>
      <c r="CS42" s="228"/>
      <c r="CT42" s="228"/>
      <c r="CU42" s="228"/>
      <c r="CV42" s="228"/>
      <c r="CW42" s="228"/>
      <c r="CX42" s="228"/>
      <c r="CY42" s="228"/>
      <c r="CZ42" s="228"/>
      <c r="DA42" s="228"/>
      <c r="DB42" s="228"/>
      <c r="DC42" s="228"/>
      <c r="DD42" s="228"/>
      <c r="DE42" s="228"/>
      <c r="DF42" s="228"/>
      <c r="DG42" s="228"/>
      <c r="DH42" s="228"/>
      <c r="DI42" s="228"/>
      <c r="DJ42" s="228"/>
      <c r="DK42" s="228"/>
      <c r="DL42" s="228"/>
      <c r="DM42" s="228"/>
      <c r="DN42" s="228"/>
      <c r="DO42" s="228"/>
      <c r="DP42" s="228"/>
      <c r="DQ42" s="228"/>
    </row>
    <row r="43" s="61" customFormat="1" ht="16" customHeight="1" spans="1:121">
      <c r="A43" s="269" t="s">
        <v>244</v>
      </c>
      <c r="B43" s="270"/>
      <c r="C43" s="77">
        <f>-(IF(SUM(B17:C17)=0,0,初始化表!H25)+IF(SUM(B18:C18)=0,0,初始化表!H26)+IF(SUM(B19:C19)=0,0,初始化表!H27)+IF(SUM(B20:C20)=0,0,初始化表!H28)+IF(SUM(D17:E17)=0,0,初始化表!I25)+IF(SUM(D18:E18)=0,0,初始化表!I26)+IF(SUM(D19:E19)=0,0,初始化表!I27)+IF(SUM(D20:E20)=0,0,初始化表!I28))</f>
        <v>0</v>
      </c>
      <c r="D43" s="79"/>
      <c r="E43" s="79" t="e">
        <f t="shared" ref="E43:E48" si="73">E42-C43</f>
        <v>#DIV/0!</v>
      </c>
      <c r="F43" s="79" t="e">
        <f>F42+C43</f>
        <v>#DIV/0!</v>
      </c>
      <c r="G43" s="73"/>
      <c r="H43" s="83">
        <f>第2期!F70</f>
        <v>0</v>
      </c>
      <c r="I43" s="83" t="e">
        <f>ROUNDUP(MAX(-K29/初始化表!B11,0),0)</f>
        <v>#DIV/0!</v>
      </c>
      <c r="J43" s="83" t="e">
        <f>IF(I43&lt;=0,0,IF(I43&lt;初始化表!K32,初始化表!K32,IF(I43&lt;初始化表!K31,初始化表!K31,IF(I43&lt;初始化表!K30,初始化表!K30,I43))))</f>
        <v>#DIV/0!</v>
      </c>
      <c r="K43" s="107"/>
      <c r="L43" s="83">
        <f>E22+H43-(SUM(B17:E17)*初始化表!E19+SUM(B18:E18)*初始化表!F19+SUM(B19:E19)*初始化表!G19+SUM(B20:E20)*初始化表!H19)</f>
        <v>0</v>
      </c>
      <c r="M43" s="85"/>
      <c r="N43" s="68" t="s">
        <v>646</v>
      </c>
      <c r="O43" s="111">
        <f>工资系数初始化!D21</f>
        <v>0.95</v>
      </c>
      <c r="P43" s="111">
        <f>工资系数初始化!E21</f>
        <v>0.95</v>
      </c>
      <c r="Q43" s="111">
        <f>工资系数初始化!F21</f>
        <v>0.95</v>
      </c>
      <c r="R43" s="111">
        <f>工资系数初始化!G21</f>
        <v>0.95</v>
      </c>
      <c r="S43" s="138"/>
      <c r="T43" s="120"/>
      <c r="U43" s="68" t="s">
        <v>465</v>
      </c>
      <c r="V43" s="77">
        <f t="shared" si="71"/>
        <v>0</v>
      </c>
      <c r="W43" s="77">
        <f t="shared" si="71"/>
        <v>0</v>
      </c>
      <c r="X43" s="77">
        <f t="shared" si="71"/>
        <v>0</v>
      </c>
      <c r="Y43" s="77">
        <f t="shared" si="71"/>
        <v>0</v>
      </c>
      <c r="Z43" s="402">
        <f>SUM(V43:Y43)</f>
        <v>0</v>
      </c>
      <c r="AA43" s="73"/>
      <c r="AB43" s="74"/>
      <c r="AC43" s="74"/>
      <c r="AD43" s="74"/>
      <c r="AE43" s="74"/>
      <c r="AF43" s="74"/>
      <c r="AG43" s="74"/>
      <c r="AH43" s="73"/>
      <c r="AI43" s="439"/>
      <c r="AJ43" s="440"/>
      <c r="AK43" s="440"/>
      <c r="AL43" s="440"/>
      <c r="AM43" s="440"/>
      <c r="AN43" s="440"/>
      <c r="AO43" s="440"/>
      <c r="AP43" s="440"/>
      <c r="AQ43" s="440"/>
      <c r="AR43" s="440"/>
      <c r="AS43" s="440"/>
      <c r="AT43" s="440"/>
      <c r="AU43" s="440"/>
      <c r="AV43" s="440"/>
      <c r="AW43" s="440"/>
      <c r="AX43" s="440"/>
      <c r="AY43" s="440"/>
      <c r="AZ43" s="193"/>
      <c r="BA43" s="196">
        <f t="shared" si="62"/>
        <v>0</v>
      </c>
      <c r="BB43" s="201">
        <f t="shared" si="63"/>
        <v>0</v>
      </c>
      <c r="BC43" s="201">
        <f t="shared" si="64"/>
        <v>0</v>
      </c>
      <c r="BD43" s="201">
        <f t="shared" si="65"/>
        <v>0</v>
      </c>
      <c r="BE43" s="201">
        <f t="shared" si="66"/>
        <v>0</v>
      </c>
      <c r="BF43" s="202">
        <f>(BB43*初始化表!E$17+BC43*初始化表!F$17+BD43*初始化表!G$17+BE43*初始化表!H$17)/1300</f>
        <v>0</v>
      </c>
      <c r="BG43" s="207">
        <f t="shared" si="67"/>
        <v>0</v>
      </c>
      <c r="BH43" s="207">
        <f t="shared" si="68"/>
        <v>0</v>
      </c>
      <c r="BI43" s="321">
        <f>$BI$51+MAX(0,第2期!BI43)-第3期!BF43</f>
        <v>0</v>
      </c>
      <c r="BJ43" s="201" t="str">
        <f t="shared" si="69"/>
        <v/>
      </c>
      <c r="BK43" s="201" t="str">
        <f t="shared" si="70"/>
        <v/>
      </c>
      <c r="BL43" s="203"/>
      <c r="BM43" s="194" t="s">
        <v>522</v>
      </c>
      <c r="BN43" s="201" t="e">
        <f t="shared" si="72"/>
        <v>#DIV/0!</v>
      </c>
      <c r="BO43" s="201" t="e">
        <f t="shared" si="72"/>
        <v>#DIV/0!</v>
      </c>
      <c r="BP43" s="201" t="e">
        <f t="shared" si="72"/>
        <v>#DIV/0!</v>
      </c>
      <c r="BQ43" s="201" t="e">
        <f t="shared" si="72"/>
        <v>#DIV/0!</v>
      </c>
      <c r="BR43" s="211"/>
      <c r="BS43" s="196">
        <f t="shared" si="45"/>
        <v>0</v>
      </c>
      <c r="BT43" s="213" t="e">
        <f t="shared" si="46"/>
        <v>#DIV/0!</v>
      </c>
      <c r="BU43" s="213" t="e">
        <f t="shared" si="47"/>
        <v>#DIV/0!</v>
      </c>
      <c r="BV43" s="213" t="e">
        <f t="shared" si="48"/>
        <v>#DIV/0!</v>
      </c>
      <c r="BW43" s="213" t="e">
        <f t="shared" si="49"/>
        <v>#DIV/0!</v>
      </c>
      <c r="BX43" s="213" t="e">
        <f t="shared" si="50"/>
        <v>#DIV/0!</v>
      </c>
      <c r="BY43" s="213" t="e">
        <f t="shared" si="51"/>
        <v>#DIV/0!</v>
      </c>
      <c r="BZ43" s="213" t="e">
        <f t="shared" si="52"/>
        <v>#DIV/0!</v>
      </c>
      <c r="CA43" s="213" t="e">
        <f t="shared" si="53"/>
        <v>#DIV/0!</v>
      </c>
      <c r="CB43" s="213" t="e">
        <f t="shared" si="54"/>
        <v>#DIV/0!</v>
      </c>
      <c r="CC43" s="213" t="e">
        <f t="shared" si="55"/>
        <v>#DIV/0!</v>
      </c>
      <c r="CD43" s="213" t="e">
        <f t="shared" si="56"/>
        <v>#DIV/0!</v>
      </c>
      <c r="CE43" s="213" t="e">
        <f t="shared" si="57"/>
        <v>#DIV/0!</v>
      </c>
      <c r="CF43" s="213" t="e">
        <f t="shared" si="58"/>
        <v>#DIV/0!</v>
      </c>
      <c r="CG43" s="213" t="e">
        <f t="shared" si="59"/>
        <v>#DIV/0!</v>
      </c>
      <c r="CH43" s="213" t="e">
        <f t="shared" si="60"/>
        <v>#DIV/0!</v>
      </c>
      <c r="CI43" s="213" t="e">
        <f t="shared" si="61"/>
        <v>#DIV/0!</v>
      </c>
      <c r="CJ43" s="226"/>
      <c r="CK43" s="228"/>
      <c r="CL43" s="228"/>
      <c r="CM43" s="228"/>
      <c r="CN43" s="228"/>
      <c r="CO43" s="228"/>
      <c r="CP43" s="228"/>
      <c r="CQ43" s="228"/>
      <c r="CR43" s="228"/>
      <c r="CS43" s="228"/>
      <c r="CT43" s="228"/>
      <c r="CU43" s="228"/>
      <c r="CV43" s="228"/>
      <c r="CW43" s="228"/>
      <c r="CX43" s="228"/>
      <c r="CY43" s="228"/>
      <c r="CZ43" s="228"/>
      <c r="DA43" s="228"/>
      <c r="DB43" s="228"/>
      <c r="DC43" s="228"/>
      <c r="DD43" s="228"/>
      <c r="DE43" s="228"/>
      <c r="DF43" s="228"/>
      <c r="DG43" s="228"/>
      <c r="DH43" s="228"/>
      <c r="DI43" s="228"/>
      <c r="DJ43" s="228"/>
      <c r="DK43" s="228"/>
      <c r="DL43" s="228"/>
      <c r="DM43" s="228"/>
      <c r="DN43" s="228"/>
      <c r="DO43" s="228"/>
      <c r="DP43" s="228"/>
      <c r="DQ43" s="228"/>
    </row>
    <row r="44" s="61" customFormat="1" ht="16" customHeight="1" spans="1:121">
      <c r="A44" s="269" t="s">
        <v>375</v>
      </c>
      <c r="B44" s="270"/>
      <c r="C44" s="77">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0</v>
      </c>
      <c r="D44" s="79"/>
      <c r="E44" s="79" t="e">
        <f t="shared" si="73"/>
        <v>#DIV/0!</v>
      </c>
      <c r="F44" s="79" t="e">
        <f>F43+C44</f>
        <v>#DIV/0!</v>
      </c>
      <c r="G44" s="73"/>
      <c r="H44" s="74"/>
      <c r="I44" s="74"/>
      <c r="J44" s="74"/>
      <c r="K44" s="113" t="s">
        <v>255</v>
      </c>
      <c r="L44" s="114" t="e">
        <f>F77</f>
        <v>#DIV/0!</v>
      </c>
      <c r="M44" s="85"/>
      <c r="N44" s="68" t="s">
        <v>647</v>
      </c>
      <c r="O44" s="68" t="s">
        <v>648</v>
      </c>
      <c r="P44" s="68" t="s">
        <v>649</v>
      </c>
      <c r="Q44" s="68" t="s">
        <v>650</v>
      </c>
      <c r="R44" s="68" t="s">
        <v>313</v>
      </c>
      <c r="S44" s="121"/>
      <c r="T44" s="120"/>
      <c r="U44" s="68" t="s">
        <v>466</v>
      </c>
      <c r="V44" s="77">
        <f t="shared" si="71"/>
        <v>0</v>
      </c>
      <c r="W44" s="77">
        <f t="shared" si="71"/>
        <v>0</v>
      </c>
      <c r="X44" s="77">
        <f t="shared" si="71"/>
        <v>0</v>
      </c>
      <c r="Y44" s="77">
        <f t="shared" si="71"/>
        <v>0</v>
      </c>
      <c r="Z44" s="402">
        <f>SUM(V44:Y44)</f>
        <v>0</v>
      </c>
      <c r="AA44" s="73"/>
      <c r="AB44" s="74"/>
      <c r="AC44" s="74"/>
      <c r="AD44" s="74"/>
      <c r="AE44" s="74"/>
      <c r="AF44" s="74"/>
      <c r="AG44" s="74"/>
      <c r="AH44" s="73"/>
      <c r="AI44" s="439"/>
      <c r="AJ44" s="440"/>
      <c r="AK44" s="440"/>
      <c r="AL44" s="440"/>
      <c r="AM44" s="440"/>
      <c r="AN44" s="440"/>
      <c r="AO44" s="440"/>
      <c r="AP44" s="440"/>
      <c r="AQ44" s="440"/>
      <c r="AR44" s="440"/>
      <c r="AS44" s="440"/>
      <c r="AT44" s="440"/>
      <c r="AU44" s="440"/>
      <c r="AV44" s="440"/>
      <c r="AW44" s="440"/>
      <c r="AX44" s="440"/>
      <c r="AY44" s="440"/>
      <c r="AZ44" s="193"/>
      <c r="BA44" s="196">
        <f t="shared" si="62"/>
        <v>0</v>
      </c>
      <c r="BB44" s="201">
        <f t="shared" si="63"/>
        <v>0</v>
      </c>
      <c r="BC44" s="201">
        <f t="shared" si="64"/>
        <v>0</v>
      </c>
      <c r="BD44" s="201">
        <f t="shared" si="65"/>
        <v>0</v>
      </c>
      <c r="BE44" s="201">
        <f t="shared" si="66"/>
        <v>0</v>
      </c>
      <c r="BF44" s="202">
        <f>(BB44*初始化表!E$17+BC44*初始化表!F$17+BD44*初始化表!G$17+BE44*初始化表!H$17)/1300</f>
        <v>0</v>
      </c>
      <c r="BG44" s="207">
        <f t="shared" si="67"/>
        <v>0</v>
      </c>
      <c r="BH44" s="207">
        <f t="shared" si="68"/>
        <v>0</v>
      </c>
      <c r="BI44" s="321">
        <f>$BI$51+MAX(0,第2期!BI44)-第3期!BF44</f>
        <v>0</v>
      </c>
      <c r="BJ44" s="201" t="str">
        <f t="shared" si="69"/>
        <v/>
      </c>
      <c r="BK44" s="201" t="str">
        <f t="shared" si="70"/>
        <v/>
      </c>
      <c r="BL44" s="203"/>
      <c r="BM44" s="194" t="s">
        <v>523</v>
      </c>
      <c r="BN44" s="201" t="e">
        <f t="shared" si="72"/>
        <v>#DIV/0!</v>
      </c>
      <c r="BO44" s="201" t="e">
        <f t="shared" si="72"/>
        <v>#DIV/0!</v>
      </c>
      <c r="BP44" s="201" t="e">
        <f t="shared" si="72"/>
        <v>#DIV/0!</v>
      </c>
      <c r="BQ44" s="201" t="e">
        <f t="shared" si="72"/>
        <v>#DIV/0!</v>
      </c>
      <c r="BR44" s="211"/>
      <c r="BS44" s="196">
        <f t="shared" si="45"/>
        <v>0</v>
      </c>
      <c r="BT44" s="213" t="e">
        <f t="shared" si="46"/>
        <v>#DIV/0!</v>
      </c>
      <c r="BU44" s="213" t="e">
        <f t="shared" si="47"/>
        <v>#DIV/0!</v>
      </c>
      <c r="BV44" s="213" t="e">
        <f t="shared" si="48"/>
        <v>#DIV/0!</v>
      </c>
      <c r="BW44" s="213" t="e">
        <f t="shared" si="49"/>
        <v>#DIV/0!</v>
      </c>
      <c r="BX44" s="213" t="e">
        <f t="shared" si="50"/>
        <v>#DIV/0!</v>
      </c>
      <c r="BY44" s="213" t="e">
        <f t="shared" si="51"/>
        <v>#DIV/0!</v>
      </c>
      <c r="BZ44" s="213" t="e">
        <f t="shared" si="52"/>
        <v>#DIV/0!</v>
      </c>
      <c r="CA44" s="213" t="e">
        <f t="shared" si="53"/>
        <v>#DIV/0!</v>
      </c>
      <c r="CB44" s="213" t="e">
        <f t="shared" si="54"/>
        <v>#DIV/0!</v>
      </c>
      <c r="CC44" s="213" t="e">
        <f t="shared" si="55"/>
        <v>#DIV/0!</v>
      </c>
      <c r="CD44" s="213" t="e">
        <f t="shared" si="56"/>
        <v>#DIV/0!</v>
      </c>
      <c r="CE44" s="213" t="e">
        <f t="shared" si="57"/>
        <v>#DIV/0!</v>
      </c>
      <c r="CF44" s="213" t="e">
        <f t="shared" si="58"/>
        <v>#DIV/0!</v>
      </c>
      <c r="CG44" s="213" t="e">
        <f t="shared" si="59"/>
        <v>#DIV/0!</v>
      </c>
      <c r="CH44" s="213" t="e">
        <f t="shared" si="60"/>
        <v>#DIV/0!</v>
      </c>
      <c r="CI44" s="213" t="e">
        <f t="shared" si="61"/>
        <v>#DIV/0!</v>
      </c>
      <c r="CJ44" s="226"/>
      <c r="CK44" s="228"/>
      <c r="CL44" s="228"/>
      <c r="CM44" s="228"/>
      <c r="CN44" s="228"/>
      <c r="CO44" s="228"/>
      <c r="CP44" s="228"/>
      <c r="CQ44" s="228"/>
      <c r="CR44" s="228"/>
      <c r="CS44" s="228"/>
      <c r="CT44" s="228"/>
      <c r="CU44" s="228"/>
      <c r="CV44" s="228"/>
      <c r="CW44" s="228"/>
      <c r="CX44" s="228"/>
      <c r="CY44" s="228"/>
      <c r="CZ44" s="228"/>
      <c r="DA44" s="228"/>
      <c r="DB44" s="228"/>
      <c r="DC44" s="228"/>
      <c r="DD44" s="228"/>
      <c r="DE44" s="228"/>
      <c r="DF44" s="228"/>
      <c r="DG44" s="228"/>
      <c r="DH44" s="228"/>
      <c r="DI44" s="228"/>
      <c r="DJ44" s="228"/>
      <c r="DK44" s="228"/>
      <c r="DL44" s="228"/>
      <c r="DM44" s="228"/>
      <c r="DN44" s="228"/>
      <c r="DO44" s="228"/>
      <c r="DP44" s="228"/>
      <c r="DQ44" s="228"/>
    </row>
    <row r="45" s="61" customFormat="1" ht="16" customHeight="1" spans="1:121">
      <c r="A45" s="269" t="s">
        <v>376</v>
      </c>
      <c r="B45" s="270"/>
      <c r="C45" s="77">
        <f>-SUM(B17:E17)*初始化表!E19-SUM(B18:E18)*初始化表!F19-SUM(B19:E19)*初始化表!G19-SUM(B20:E20)*初始化表!H19</f>
        <v>0</v>
      </c>
      <c r="D45" s="79"/>
      <c r="E45" s="79" t="e">
        <f t="shared" si="73"/>
        <v>#DIV/0!</v>
      </c>
      <c r="F45" s="79"/>
      <c r="G45" s="73"/>
      <c r="H45" s="269" t="s">
        <v>282</v>
      </c>
      <c r="I45" s="270"/>
      <c r="J45" s="270"/>
      <c r="K45" s="270"/>
      <c r="L45" s="270"/>
      <c r="M45" s="85"/>
      <c r="N45" s="115">
        <f>第2期!F24</f>
        <v>1</v>
      </c>
      <c r="O45" s="77">
        <f>IF(0.99*LOG(F24,初始化表!B20)&lt;0.99,0.99*LOG(F24,初始化表!B20),0.99)</f>
        <v>0</v>
      </c>
      <c r="P45" s="77" t="e">
        <f>INT(((R42-0.95-(R41-0.95)*0.2)/0.8*10/初始化表!B19+1)*1000+0.5)/1000</f>
        <v>#DIV/0!</v>
      </c>
      <c r="Q45" s="77">
        <f>INT(((0.05-(R41-0.95)*0.2)/0.8*10/初始化表!B19+1)*1000+0.5)/1000</f>
        <v>1.625</v>
      </c>
      <c r="R45" s="142">
        <f>第2期!R45</f>
        <v>1</v>
      </c>
      <c r="S45" s="141" t="s">
        <v>651</v>
      </c>
      <c r="T45" s="435"/>
      <c r="U45" s="286" t="s">
        <v>468</v>
      </c>
      <c r="V45" s="77">
        <f t="shared" si="71"/>
        <v>0</v>
      </c>
      <c r="W45" s="77">
        <f t="shared" si="71"/>
        <v>0</v>
      </c>
      <c r="X45" s="77">
        <f t="shared" si="71"/>
        <v>0</v>
      </c>
      <c r="Y45" s="77">
        <f t="shared" si="71"/>
        <v>0</v>
      </c>
      <c r="Z45" s="402">
        <f>SUM(V45:Y45)</f>
        <v>0</v>
      </c>
      <c r="AA45" s="73"/>
      <c r="AB45" s="74"/>
      <c r="AC45" s="74"/>
      <c r="AD45" s="74"/>
      <c r="AE45" s="74"/>
      <c r="AF45" s="74"/>
      <c r="AG45" s="74"/>
      <c r="AH45" s="73"/>
      <c r="AI45" s="439"/>
      <c r="AJ45" s="440"/>
      <c r="AK45" s="440"/>
      <c r="AL45" s="440"/>
      <c r="AM45" s="440"/>
      <c r="AN45" s="440"/>
      <c r="AO45" s="440"/>
      <c r="AP45" s="440"/>
      <c r="AQ45" s="440"/>
      <c r="AR45" s="440"/>
      <c r="AS45" s="440"/>
      <c r="AT45" s="440"/>
      <c r="AU45" s="440"/>
      <c r="AV45" s="440"/>
      <c r="AW45" s="440"/>
      <c r="AX45" s="440"/>
      <c r="AY45" s="440"/>
      <c r="AZ45" s="193"/>
      <c r="BA45" s="196">
        <f t="shared" si="62"/>
        <v>0</v>
      </c>
      <c r="BB45" s="201">
        <f t="shared" si="63"/>
        <v>0</v>
      </c>
      <c r="BC45" s="201">
        <f t="shared" si="64"/>
        <v>0</v>
      </c>
      <c r="BD45" s="201">
        <f t="shared" si="65"/>
        <v>0</v>
      </c>
      <c r="BE45" s="201">
        <f t="shared" si="66"/>
        <v>0</v>
      </c>
      <c r="BF45" s="202">
        <f>(BB45*初始化表!E$17+BC45*初始化表!F$17+BD45*初始化表!G$17+BE45*初始化表!H$17)/1300</f>
        <v>0</v>
      </c>
      <c r="BG45" s="207">
        <f t="shared" si="67"/>
        <v>0</v>
      </c>
      <c r="BH45" s="207">
        <f t="shared" si="68"/>
        <v>0</v>
      </c>
      <c r="BI45" s="321">
        <f>$BI$51+MAX(0,第2期!BI45)-第3期!BF45</f>
        <v>0</v>
      </c>
      <c r="BJ45" s="201" t="str">
        <f t="shared" si="69"/>
        <v/>
      </c>
      <c r="BK45" s="201" t="str">
        <f t="shared" si="70"/>
        <v/>
      </c>
      <c r="BL45" s="203"/>
      <c r="BM45" s="194" t="s">
        <v>524</v>
      </c>
      <c r="BN45" s="201" t="e">
        <f t="shared" si="72"/>
        <v>#DIV/0!</v>
      </c>
      <c r="BO45" s="201" t="e">
        <f t="shared" si="72"/>
        <v>#DIV/0!</v>
      </c>
      <c r="BP45" s="201" t="e">
        <f t="shared" si="72"/>
        <v>#DIV/0!</v>
      </c>
      <c r="BQ45" s="201" t="e">
        <f t="shared" si="72"/>
        <v>#DIV/0!</v>
      </c>
      <c r="BR45" s="211"/>
      <c r="BS45" s="196">
        <f t="shared" si="45"/>
        <v>0</v>
      </c>
      <c r="BT45" s="213" t="e">
        <f t="shared" si="46"/>
        <v>#DIV/0!</v>
      </c>
      <c r="BU45" s="213" t="e">
        <f t="shared" si="47"/>
        <v>#DIV/0!</v>
      </c>
      <c r="BV45" s="213" t="e">
        <f t="shared" si="48"/>
        <v>#DIV/0!</v>
      </c>
      <c r="BW45" s="213" t="e">
        <f t="shared" si="49"/>
        <v>#DIV/0!</v>
      </c>
      <c r="BX45" s="213" t="e">
        <f t="shared" si="50"/>
        <v>#DIV/0!</v>
      </c>
      <c r="BY45" s="213" t="e">
        <f t="shared" si="51"/>
        <v>#DIV/0!</v>
      </c>
      <c r="BZ45" s="213" t="e">
        <f t="shared" si="52"/>
        <v>#DIV/0!</v>
      </c>
      <c r="CA45" s="213" t="e">
        <f t="shared" si="53"/>
        <v>#DIV/0!</v>
      </c>
      <c r="CB45" s="213" t="e">
        <f t="shared" si="54"/>
        <v>#DIV/0!</v>
      </c>
      <c r="CC45" s="213" t="e">
        <f t="shared" si="55"/>
        <v>#DIV/0!</v>
      </c>
      <c r="CD45" s="213" t="e">
        <f t="shared" si="56"/>
        <v>#DIV/0!</v>
      </c>
      <c r="CE45" s="213" t="e">
        <f t="shared" si="57"/>
        <v>#DIV/0!</v>
      </c>
      <c r="CF45" s="213" t="e">
        <f t="shared" si="58"/>
        <v>#DIV/0!</v>
      </c>
      <c r="CG45" s="213" t="e">
        <f t="shared" si="59"/>
        <v>#DIV/0!</v>
      </c>
      <c r="CH45" s="213" t="e">
        <f t="shared" si="60"/>
        <v>#DIV/0!</v>
      </c>
      <c r="CI45" s="213" t="e">
        <f t="shared" si="61"/>
        <v>#DIV/0!</v>
      </c>
      <c r="CJ45" s="226"/>
      <c r="CK45" s="228"/>
      <c r="CL45" s="228"/>
      <c r="CM45" s="228"/>
      <c r="CN45" s="228"/>
      <c r="CO45" s="228"/>
      <c r="CP45" s="228"/>
      <c r="CQ45" s="228"/>
      <c r="CR45" s="228"/>
      <c r="CS45" s="228"/>
      <c r="CT45" s="228"/>
      <c r="CU45" s="228"/>
      <c r="CV45" s="228"/>
      <c r="CW45" s="228"/>
      <c r="CX45" s="228"/>
      <c r="CY45" s="228"/>
      <c r="CZ45" s="228"/>
      <c r="DA45" s="228"/>
      <c r="DB45" s="228"/>
      <c r="DC45" s="228"/>
      <c r="DD45" s="228"/>
      <c r="DE45" s="228"/>
      <c r="DF45" s="228"/>
      <c r="DG45" s="228"/>
      <c r="DH45" s="228"/>
      <c r="DI45" s="228"/>
      <c r="DJ45" s="228"/>
      <c r="DK45" s="228"/>
      <c r="DL45" s="228"/>
      <c r="DM45" s="228"/>
      <c r="DN45" s="228"/>
      <c r="DO45" s="228"/>
      <c r="DP45" s="228"/>
      <c r="DQ45" s="228"/>
    </row>
    <row r="46" s="61" customFormat="1" ht="16" customHeight="1" spans="1:121">
      <c r="A46" s="269" t="s">
        <v>377</v>
      </c>
      <c r="B46" s="270"/>
      <c r="C46" s="77">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0</v>
      </c>
      <c r="D46" s="79"/>
      <c r="E46" s="79" t="e">
        <f t="shared" si="73"/>
        <v>#DIV/0!</v>
      </c>
      <c r="F46" s="79" t="e">
        <f>F44+C46</f>
        <v>#DIV/0!</v>
      </c>
      <c r="G46" s="73"/>
      <c r="H46" s="269" t="s">
        <v>652</v>
      </c>
      <c r="I46" s="269" t="s">
        <v>513</v>
      </c>
      <c r="J46" s="269" t="s">
        <v>514</v>
      </c>
      <c r="K46" s="269" t="s">
        <v>515</v>
      </c>
      <c r="L46" s="269" t="s">
        <v>516</v>
      </c>
      <c r="M46" s="85"/>
      <c r="N46" s="74"/>
      <c r="O46" s="74"/>
      <c r="P46" s="74"/>
      <c r="Q46" s="436" t="s">
        <v>255</v>
      </c>
      <c r="R46" s="437" t="e">
        <f>F77</f>
        <v>#DIV/0!</v>
      </c>
      <c r="S46" s="141" t="s">
        <v>653</v>
      </c>
      <c r="T46" s="144"/>
      <c r="U46" s="123"/>
      <c r="V46" s="74"/>
      <c r="W46" s="74"/>
      <c r="X46" s="74"/>
      <c r="Y46" s="74"/>
      <c r="Z46" s="74"/>
      <c r="AA46" s="73"/>
      <c r="AB46" s="74"/>
      <c r="AC46" s="74"/>
      <c r="AD46" s="74"/>
      <c r="AE46" s="74"/>
      <c r="AF46" s="74"/>
      <c r="AG46" s="74"/>
      <c r="AH46" s="73"/>
      <c r="AI46" s="439"/>
      <c r="AJ46" s="440"/>
      <c r="AK46" s="440"/>
      <c r="AL46" s="440"/>
      <c r="AM46" s="440"/>
      <c r="AN46" s="440"/>
      <c r="AO46" s="440"/>
      <c r="AP46" s="440"/>
      <c r="AQ46" s="440"/>
      <c r="AR46" s="440"/>
      <c r="AS46" s="440"/>
      <c r="AT46" s="440"/>
      <c r="AU46" s="440"/>
      <c r="AV46" s="440"/>
      <c r="AW46" s="440"/>
      <c r="AX46" s="440"/>
      <c r="AY46" s="440"/>
      <c r="AZ46" s="193"/>
      <c r="BA46" s="196">
        <f t="shared" si="62"/>
        <v>0</v>
      </c>
      <c r="BB46" s="201">
        <f t="shared" si="63"/>
        <v>0</v>
      </c>
      <c r="BC46" s="201">
        <f t="shared" si="64"/>
        <v>0</v>
      </c>
      <c r="BD46" s="201">
        <f t="shared" si="65"/>
        <v>0</v>
      </c>
      <c r="BE46" s="201">
        <f t="shared" si="66"/>
        <v>0</v>
      </c>
      <c r="BF46" s="202">
        <f>(BB46*初始化表!E$17+BC46*初始化表!F$17+BD46*初始化表!G$17+BE46*初始化表!H$17)/1300</f>
        <v>0</v>
      </c>
      <c r="BG46" s="207">
        <f t="shared" si="67"/>
        <v>0</v>
      </c>
      <c r="BH46" s="207">
        <f t="shared" si="68"/>
        <v>0</v>
      </c>
      <c r="BI46" s="321">
        <f>$BI$51+MAX(0,第2期!BI46)-第3期!BF46</f>
        <v>0</v>
      </c>
      <c r="BJ46" s="201" t="str">
        <f t="shared" si="69"/>
        <v/>
      </c>
      <c r="BK46" s="201" t="str">
        <f t="shared" si="70"/>
        <v/>
      </c>
      <c r="BL46" s="203"/>
      <c r="BM46" s="218"/>
      <c r="BN46" s="218"/>
      <c r="BO46" s="218"/>
      <c r="BP46" s="218"/>
      <c r="BQ46" s="218"/>
      <c r="BR46" s="211"/>
      <c r="BS46" s="196">
        <f t="shared" si="45"/>
        <v>0</v>
      </c>
      <c r="BT46" s="213" t="e">
        <f t="shared" si="46"/>
        <v>#DIV/0!</v>
      </c>
      <c r="BU46" s="213" t="e">
        <f t="shared" si="47"/>
        <v>#DIV/0!</v>
      </c>
      <c r="BV46" s="213" t="e">
        <f t="shared" si="48"/>
        <v>#DIV/0!</v>
      </c>
      <c r="BW46" s="213" t="e">
        <f t="shared" si="49"/>
        <v>#DIV/0!</v>
      </c>
      <c r="BX46" s="213" t="e">
        <f t="shared" si="50"/>
        <v>#DIV/0!</v>
      </c>
      <c r="BY46" s="213" t="e">
        <f t="shared" si="51"/>
        <v>#DIV/0!</v>
      </c>
      <c r="BZ46" s="213" t="e">
        <f t="shared" si="52"/>
        <v>#DIV/0!</v>
      </c>
      <c r="CA46" s="213" t="e">
        <f t="shared" si="53"/>
        <v>#DIV/0!</v>
      </c>
      <c r="CB46" s="213" t="e">
        <f t="shared" si="54"/>
        <v>#DIV/0!</v>
      </c>
      <c r="CC46" s="213" t="e">
        <f t="shared" si="55"/>
        <v>#DIV/0!</v>
      </c>
      <c r="CD46" s="213" t="e">
        <f t="shared" si="56"/>
        <v>#DIV/0!</v>
      </c>
      <c r="CE46" s="213" t="e">
        <f t="shared" si="57"/>
        <v>#DIV/0!</v>
      </c>
      <c r="CF46" s="213" t="e">
        <f t="shared" si="58"/>
        <v>#DIV/0!</v>
      </c>
      <c r="CG46" s="213" t="e">
        <f t="shared" si="59"/>
        <v>#DIV/0!</v>
      </c>
      <c r="CH46" s="213" t="e">
        <f t="shared" si="60"/>
        <v>#DIV/0!</v>
      </c>
      <c r="CI46" s="213" t="e">
        <f t="shared" si="61"/>
        <v>#DIV/0!</v>
      </c>
      <c r="CJ46" s="226"/>
      <c r="CK46" s="228"/>
      <c r="CL46" s="228"/>
      <c r="CM46" s="228"/>
      <c r="CN46" s="228"/>
      <c r="CO46" s="228"/>
      <c r="CP46" s="228"/>
      <c r="CQ46" s="228"/>
      <c r="CR46" s="228"/>
      <c r="CS46" s="228"/>
      <c r="CT46" s="228"/>
      <c r="CU46" s="228"/>
      <c r="CV46" s="228"/>
      <c r="CW46" s="228"/>
      <c r="CX46" s="228"/>
      <c r="CY46" s="228"/>
      <c r="CZ46" s="228"/>
      <c r="DA46" s="228"/>
      <c r="DB46" s="228"/>
      <c r="DC46" s="228"/>
      <c r="DD46" s="228"/>
      <c r="DE46" s="228"/>
      <c r="DF46" s="228"/>
      <c r="DG46" s="228"/>
      <c r="DH46" s="228"/>
      <c r="DI46" s="228"/>
      <c r="DJ46" s="228"/>
      <c r="DK46" s="228"/>
      <c r="DL46" s="228"/>
      <c r="DM46" s="228"/>
      <c r="DN46" s="228"/>
      <c r="DO46" s="228"/>
      <c r="DP46" s="228"/>
      <c r="DQ46" s="228"/>
    </row>
    <row r="47" s="61" customFormat="1" ht="16" customHeight="1" spans="1:121">
      <c r="A47" s="269" t="s">
        <v>276</v>
      </c>
      <c r="B47" s="270"/>
      <c r="C47" s="77" t="e">
        <f>-SUM(F6:F9)</f>
        <v>#DIV/0!</v>
      </c>
      <c r="D47" s="79"/>
      <c r="E47" s="79" t="e">
        <f t="shared" si="73"/>
        <v>#DIV/0!</v>
      </c>
      <c r="F47" s="79" t="e">
        <f>F46+C47</f>
        <v>#DIV/0!</v>
      </c>
      <c r="G47" s="73"/>
      <c r="H47" s="269" t="s">
        <v>521</v>
      </c>
      <c r="I47" s="90">
        <v>2</v>
      </c>
      <c r="J47" s="90">
        <v>2</v>
      </c>
      <c r="K47" s="90">
        <v>3</v>
      </c>
      <c r="L47" s="90">
        <v>3</v>
      </c>
      <c r="M47" s="85"/>
      <c r="N47" s="68"/>
      <c r="O47" s="69"/>
      <c r="P47" s="69"/>
      <c r="Q47" s="69"/>
      <c r="R47" s="69"/>
      <c r="S47" s="141" t="s">
        <v>655</v>
      </c>
      <c r="T47" s="438" t="e">
        <f>R46-T46</f>
        <v>#DIV/0!</v>
      </c>
      <c r="U47" s="68" t="s">
        <v>656</v>
      </c>
      <c r="V47" s="68" t="s">
        <v>459</v>
      </c>
      <c r="W47" s="68" t="s">
        <v>460</v>
      </c>
      <c r="X47" s="68" t="s">
        <v>461</v>
      </c>
      <c r="Y47" s="68" t="s">
        <v>462</v>
      </c>
      <c r="Z47" s="74"/>
      <c r="AA47" s="73"/>
      <c r="AB47" s="74"/>
      <c r="AC47" s="74"/>
      <c r="AD47" s="74"/>
      <c r="AE47" s="74"/>
      <c r="AF47" s="74"/>
      <c r="AG47" s="74"/>
      <c r="AH47" s="73"/>
      <c r="AI47" s="439"/>
      <c r="AJ47" s="440"/>
      <c r="AK47" s="440"/>
      <c r="AL47" s="440"/>
      <c r="AM47" s="440"/>
      <c r="AN47" s="440"/>
      <c r="AO47" s="440"/>
      <c r="AP47" s="440"/>
      <c r="AQ47" s="440"/>
      <c r="AR47" s="440"/>
      <c r="AS47" s="440"/>
      <c r="AT47" s="440"/>
      <c r="AU47" s="440"/>
      <c r="AV47" s="440"/>
      <c r="AW47" s="440"/>
      <c r="AX47" s="440"/>
      <c r="AY47" s="440"/>
      <c r="AZ47" s="193"/>
      <c r="BA47" s="196">
        <f t="shared" si="62"/>
        <v>0</v>
      </c>
      <c r="BB47" s="201">
        <f t="shared" si="63"/>
        <v>0</v>
      </c>
      <c r="BC47" s="201">
        <f t="shared" si="64"/>
        <v>0</v>
      </c>
      <c r="BD47" s="201">
        <f t="shared" si="65"/>
        <v>0</v>
      </c>
      <c r="BE47" s="201">
        <f t="shared" si="66"/>
        <v>0</v>
      </c>
      <c r="BF47" s="202">
        <f>(BB47*初始化表!E$17+BC47*初始化表!F$17+BD47*初始化表!G$17+BE47*初始化表!H$17)/1300</f>
        <v>0</v>
      </c>
      <c r="BG47" s="207">
        <f t="shared" si="67"/>
        <v>0</v>
      </c>
      <c r="BH47" s="207">
        <f t="shared" si="68"/>
        <v>0</v>
      </c>
      <c r="BI47" s="321">
        <f>$BI$51+MAX(0,第2期!BI47)-第3期!BF47</f>
        <v>0</v>
      </c>
      <c r="BJ47" s="201" t="str">
        <f t="shared" si="69"/>
        <v/>
      </c>
      <c r="BK47" s="201" t="str">
        <f t="shared" si="70"/>
        <v/>
      </c>
      <c r="BL47" s="203"/>
      <c r="BM47" s="203"/>
      <c r="BN47" s="203"/>
      <c r="BO47" s="203"/>
      <c r="BP47" s="203"/>
      <c r="BQ47" s="203"/>
      <c r="BR47" s="211"/>
      <c r="BS47" s="196">
        <f t="shared" si="45"/>
        <v>0</v>
      </c>
      <c r="BT47" s="213" t="e">
        <f t="shared" si="46"/>
        <v>#DIV/0!</v>
      </c>
      <c r="BU47" s="213" t="e">
        <f t="shared" si="47"/>
        <v>#DIV/0!</v>
      </c>
      <c r="BV47" s="213" t="e">
        <f t="shared" si="48"/>
        <v>#DIV/0!</v>
      </c>
      <c r="BW47" s="213" t="e">
        <f t="shared" si="49"/>
        <v>#DIV/0!</v>
      </c>
      <c r="BX47" s="213" t="e">
        <f t="shared" si="50"/>
        <v>#DIV/0!</v>
      </c>
      <c r="BY47" s="213" t="e">
        <f t="shared" si="51"/>
        <v>#DIV/0!</v>
      </c>
      <c r="BZ47" s="213" t="e">
        <f t="shared" si="52"/>
        <v>#DIV/0!</v>
      </c>
      <c r="CA47" s="213" t="e">
        <f t="shared" si="53"/>
        <v>#DIV/0!</v>
      </c>
      <c r="CB47" s="213" t="e">
        <f t="shared" si="54"/>
        <v>#DIV/0!</v>
      </c>
      <c r="CC47" s="213" t="e">
        <f t="shared" si="55"/>
        <v>#DIV/0!</v>
      </c>
      <c r="CD47" s="213" t="e">
        <f t="shared" si="56"/>
        <v>#DIV/0!</v>
      </c>
      <c r="CE47" s="213" t="e">
        <f t="shared" si="57"/>
        <v>#DIV/0!</v>
      </c>
      <c r="CF47" s="213" t="e">
        <f t="shared" si="58"/>
        <v>#DIV/0!</v>
      </c>
      <c r="CG47" s="213" t="e">
        <f t="shared" si="59"/>
        <v>#DIV/0!</v>
      </c>
      <c r="CH47" s="213" t="e">
        <f t="shared" si="60"/>
        <v>#DIV/0!</v>
      </c>
      <c r="CI47" s="213" t="e">
        <f t="shared" si="61"/>
        <v>#DIV/0!</v>
      </c>
      <c r="CJ47" s="226"/>
      <c r="CK47" s="228"/>
      <c r="CL47" s="228"/>
      <c r="CM47" s="228"/>
      <c r="CN47" s="228"/>
      <c r="CO47" s="228"/>
      <c r="CP47" s="228"/>
      <c r="CQ47" s="228"/>
      <c r="CR47" s="228"/>
      <c r="CS47" s="228"/>
      <c r="CT47" s="228"/>
      <c r="CU47" s="228"/>
      <c r="CV47" s="228"/>
      <c r="CW47" s="228"/>
      <c r="CX47" s="228"/>
      <c r="CY47" s="228"/>
      <c r="CZ47" s="228"/>
      <c r="DA47" s="228"/>
      <c r="DB47" s="228"/>
      <c r="DC47" s="228"/>
      <c r="DD47" s="228"/>
      <c r="DE47" s="228"/>
      <c r="DF47" s="228"/>
      <c r="DG47" s="228"/>
      <c r="DH47" s="228"/>
      <c r="DI47" s="228"/>
      <c r="DJ47" s="228"/>
      <c r="DK47" s="228"/>
      <c r="DL47" s="228"/>
      <c r="DM47" s="228"/>
      <c r="DN47" s="228"/>
      <c r="DO47" s="228"/>
      <c r="DP47" s="228"/>
      <c r="DQ47" s="228"/>
    </row>
    <row r="48" s="61" customFormat="1" ht="16" customHeight="1" spans="1:121">
      <c r="A48" s="269" t="s">
        <v>280</v>
      </c>
      <c r="B48" s="270"/>
      <c r="C48" s="77" t="e">
        <f>-SUM(B10:E10)</f>
        <v>#DIV/0!</v>
      </c>
      <c r="D48" s="79"/>
      <c r="E48" s="79" t="e">
        <f t="shared" si="73"/>
        <v>#DIV/0!</v>
      </c>
      <c r="F48" s="79" t="e">
        <f>F47+C48</f>
        <v>#DIV/0!</v>
      </c>
      <c r="G48" s="73"/>
      <c r="H48" s="269" t="s">
        <v>522</v>
      </c>
      <c r="I48" s="90">
        <v>2</v>
      </c>
      <c r="J48" s="90">
        <v>2</v>
      </c>
      <c r="K48" s="90">
        <v>3</v>
      </c>
      <c r="L48" s="90">
        <v>3</v>
      </c>
      <c r="M48" s="85"/>
      <c r="N48" s="68" t="s">
        <v>657</v>
      </c>
      <c r="O48" s="68" t="s">
        <v>658</v>
      </c>
      <c r="P48" s="68" t="s">
        <v>659</v>
      </c>
      <c r="Q48" s="68" t="s">
        <v>727</v>
      </c>
      <c r="R48" s="68" t="s">
        <v>642</v>
      </c>
      <c r="S48" s="121"/>
      <c r="T48" s="120"/>
      <c r="U48" s="68" t="s">
        <v>464</v>
      </c>
      <c r="V48" s="115" t="e">
        <f t="shared" ref="V48:Y51" si="74">INT(IF(IF(B6&lt;V23,(1+((V23-B6)/V23+O10)*15)*IF($F17&gt;$L6,1.1,1)*V17,(1+((V23-B6)/V23+O10)*5)*IF($F17&gt;$L6,1.1,1)*V17)&gt;0,IF(B6&lt;V23,(1+((V23-B6)/V23+O10)*15)*IF($F17&gt;$L6,1.1,1)*V17,(1+((V23-B6)/V23+O10)*5)*IF($F17&gt;$L6,1.1,1)*V17),0))</f>
        <v>#DIV/0!</v>
      </c>
      <c r="W48" s="115" t="e">
        <f t="shared" si="74"/>
        <v>#DIV/0!</v>
      </c>
      <c r="X48" s="115" t="e">
        <f t="shared" si="74"/>
        <v>#DIV/0!</v>
      </c>
      <c r="Y48" s="115" t="e">
        <f t="shared" si="74"/>
        <v>#DIV/0!</v>
      </c>
      <c r="Z48" s="74"/>
      <c r="AA48" s="73"/>
      <c r="AB48" s="74"/>
      <c r="AC48" s="74"/>
      <c r="AD48" s="74"/>
      <c r="AE48" s="74"/>
      <c r="AF48" s="74"/>
      <c r="AG48" s="74"/>
      <c r="AH48" s="73"/>
      <c r="AI48" s="439"/>
      <c r="AJ48" s="440"/>
      <c r="AK48" s="440"/>
      <c r="AL48" s="440"/>
      <c r="AM48" s="440"/>
      <c r="AN48" s="440"/>
      <c r="AO48" s="440"/>
      <c r="AP48" s="440"/>
      <c r="AQ48" s="440"/>
      <c r="AR48" s="440"/>
      <c r="AS48" s="440"/>
      <c r="AT48" s="440"/>
      <c r="AU48" s="440"/>
      <c r="AV48" s="440"/>
      <c r="AW48" s="440"/>
      <c r="AX48" s="440"/>
      <c r="AY48" s="440"/>
      <c r="AZ48" s="193"/>
      <c r="BA48" s="196">
        <f t="shared" si="62"/>
        <v>0</v>
      </c>
      <c r="BB48" s="201">
        <f t="shared" si="63"/>
        <v>0</v>
      </c>
      <c r="BC48" s="201">
        <f t="shared" si="64"/>
        <v>0</v>
      </c>
      <c r="BD48" s="201">
        <f t="shared" si="65"/>
        <v>0</v>
      </c>
      <c r="BE48" s="201">
        <f t="shared" si="66"/>
        <v>0</v>
      </c>
      <c r="BF48" s="202">
        <f>(BB48*初始化表!E$17+BC48*初始化表!F$17+BD48*初始化表!G$17+BE48*初始化表!H$17)/1300</f>
        <v>0</v>
      </c>
      <c r="BG48" s="207">
        <f t="shared" si="67"/>
        <v>0</v>
      </c>
      <c r="BH48" s="207">
        <f t="shared" si="68"/>
        <v>0</v>
      </c>
      <c r="BI48" s="321">
        <f>$BI$51+MAX(0,第2期!BI48)-第3期!BF48</f>
        <v>0</v>
      </c>
      <c r="BJ48" s="201" t="str">
        <f t="shared" si="69"/>
        <v/>
      </c>
      <c r="BK48" s="201" t="str">
        <f t="shared" si="70"/>
        <v/>
      </c>
      <c r="BL48" s="203"/>
      <c r="BM48" s="203"/>
      <c r="BN48" s="203"/>
      <c r="BO48" s="203"/>
      <c r="BP48" s="203"/>
      <c r="BQ48" s="203"/>
      <c r="BR48" s="211"/>
      <c r="BS48" s="196">
        <f t="shared" si="45"/>
        <v>0</v>
      </c>
      <c r="BT48" s="213" t="e">
        <f t="shared" si="46"/>
        <v>#DIV/0!</v>
      </c>
      <c r="BU48" s="213" t="e">
        <f t="shared" si="47"/>
        <v>#DIV/0!</v>
      </c>
      <c r="BV48" s="213" t="e">
        <f t="shared" si="48"/>
        <v>#DIV/0!</v>
      </c>
      <c r="BW48" s="213" t="e">
        <f t="shared" si="49"/>
        <v>#DIV/0!</v>
      </c>
      <c r="BX48" s="213" t="e">
        <f t="shared" si="50"/>
        <v>#DIV/0!</v>
      </c>
      <c r="BY48" s="213" t="e">
        <f t="shared" si="51"/>
        <v>#DIV/0!</v>
      </c>
      <c r="BZ48" s="213" t="e">
        <f t="shared" si="52"/>
        <v>#DIV/0!</v>
      </c>
      <c r="CA48" s="213" t="e">
        <f t="shared" si="53"/>
        <v>#DIV/0!</v>
      </c>
      <c r="CB48" s="213" t="e">
        <f t="shared" si="54"/>
        <v>#DIV/0!</v>
      </c>
      <c r="CC48" s="213" t="e">
        <f t="shared" si="55"/>
        <v>#DIV/0!</v>
      </c>
      <c r="CD48" s="213" t="e">
        <f t="shared" si="56"/>
        <v>#DIV/0!</v>
      </c>
      <c r="CE48" s="213" t="e">
        <f t="shared" si="57"/>
        <v>#DIV/0!</v>
      </c>
      <c r="CF48" s="213" t="e">
        <f t="shared" si="58"/>
        <v>#DIV/0!</v>
      </c>
      <c r="CG48" s="213" t="e">
        <f t="shared" si="59"/>
        <v>#DIV/0!</v>
      </c>
      <c r="CH48" s="213" t="e">
        <f t="shared" si="60"/>
        <v>#DIV/0!</v>
      </c>
      <c r="CI48" s="213" t="e">
        <f t="shared" si="61"/>
        <v>#DIV/0!</v>
      </c>
      <c r="CJ48" s="226"/>
      <c r="CK48" s="228"/>
      <c r="CL48" s="228"/>
      <c r="CM48" s="228"/>
      <c r="CN48" s="228"/>
      <c r="CO48" s="228"/>
      <c r="CP48" s="228"/>
      <c r="CQ48" s="228"/>
      <c r="CR48" s="228"/>
      <c r="CS48" s="228"/>
      <c r="CT48" s="228"/>
      <c r="CU48" s="228"/>
      <c r="CV48" s="228"/>
      <c r="CW48" s="228"/>
      <c r="CX48" s="228"/>
      <c r="CY48" s="228"/>
      <c r="CZ48" s="228"/>
      <c r="DA48" s="228"/>
      <c r="DB48" s="228"/>
      <c r="DC48" s="228"/>
      <c r="DD48" s="228"/>
      <c r="DE48" s="228"/>
      <c r="DF48" s="228"/>
      <c r="DG48" s="228"/>
      <c r="DH48" s="228"/>
      <c r="DI48" s="228"/>
      <c r="DJ48" s="228"/>
      <c r="DK48" s="228"/>
      <c r="DL48" s="228"/>
      <c r="DM48" s="228"/>
      <c r="DN48" s="228"/>
      <c r="DO48" s="228"/>
      <c r="DP48" s="228"/>
      <c r="DQ48" s="228"/>
    </row>
    <row r="49" s="61" customFormat="1" ht="16" customHeight="1" spans="1:121">
      <c r="A49" s="269" t="s">
        <v>378</v>
      </c>
      <c r="B49" s="270"/>
      <c r="C49" s="77" t="e">
        <f>IF(AJ24="",SUMPRODUCT(B6:E9,V42:Y45),B6*MAX(0,AM9-AK9)+MAX(0,AM10-AK10)*C6+MAX(0,AM11-AK11)*D6+MAX(0,AM12-AK12)*E6+MAX(0,AM13-AK13)*B7+MAX(0,AM14-AK14)*C7+MAX(0,AM15-AK15)*D7+MAX(0,AM16-AK16)*E7+MAX(0,AM17-AK17)*B8+MAX(0,AM18-AK18)*C8+MAX(0,AM19-AK19)*D8+MAX(0,AM20-AK20)*E8+MAX(0,AM21-AK21)*B9+MAX(0,AM22-AK22)*C9+MAX(0,AM23-AK23)*D9+MAX(0,AM24-AK24)*E9)+MIN(B6,V23)*MIN(V11,B12-V72)+MIN(W11,C12-W72)*MIN(C6,W23)+MIN(X11,D12-X72)*MIN(D6,X23)+MIN(Y11,E12-Y72)*MIN(E6,Y23)+MIN(B7,V24)*MIN(V12,B13-V73)+MIN(W12,C13-W73)*MIN(C7,W24)+MIN(X12,D13-X73)*MIN(D7,X24)+MIN(Y12,E13-Y73)*MIN(E7,Y24)+MIN(B8,V25)*MIN(V13,B14-V74)+MIN(W13,C14-W74)*MIN(C8,W25)+MIN(X13,D14-X74)*MIN(D8,X25)+MIN(Y13,E14-Y74)*MIN(E8,Y25)+MIN(B9,V26)*MIN(V14,B15-V75)+MIN(W14,C15-W75)*MIN(C9,W26)+MIN(X14,D15-X75)*MIN(D9,X26)+MIN(Y14,E15-Y75)*MIN(E9,Y26)</f>
        <v>#DIV/0!</v>
      </c>
      <c r="D49" s="79" t="e">
        <f>D41+C49</f>
        <v>#DIV/0!</v>
      </c>
      <c r="E49" s="79"/>
      <c r="F49" s="79" t="e">
        <f>F48+C49</f>
        <v>#DIV/0!</v>
      </c>
      <c r="G49" s="73"/>
      <c r="H49" s="269" t="s">
        <v>523</v>
      </c>
      <c r="I49" s="90">
        <v>2</v>
      </c>
      <c r="J49" s="90">
        <v>2</v>
      </c>
      <c r="K49" s="90">
        <v>3</v>
      </c>
      <c r="L49" s="90">
        <v>3</v>
      </c>
      <c r="M49" s="85"/>
      <c r="N49" s="77" t="e">
        <f>第2期!F69</f>
        <v>#DIV/0!</v>
      </c>
      <c r="O49" s="77" t="e">
        <f>N49+第2期!R49</f>
        <v>#DIV/0!</v>
      </c>
      <c r="P49" s="77" t="e">
        <f>INT((F61-0.05*C49+0-(F30-F48)*O49/N49)/初始化表!B8)</f>
        <v>#DIV/0!</v>
      </c>
      <c r="Q49" s="77" t="e">
        <f>INT((F61+第4期!P33+第4期!Q35-F30+F48)/初始化表!B8)</f>
        <v>#DIV/0!</v>
      </c>
      <c r="R49" s="93"/>
      <c r="S49" s="74"/>
      <c r="T49" s="120"/>
      <c r="U49" s="68" t="s">
        <v>465</v>
      </c>
      <c r="V49" s="115" t="e">
        <f t="shared" si="74"/>
        <v>#DIV/0!</v>
      </c>
      <c r="W49" s="115" t="e">
        <f t="shared" si="74"/>
        <v>#DIV/0!</v>
      </c>
      <c r="X49" s="115" t="e">
        <f t="shared" si="74"/>
        <v>#DIV/0!</v>
      </c>
      <c r="Y49" s="115" t="e">
        <f t="shared" si="74"/>
        <v>#DIV/0!</v>
      </c>
      <c r="Z49" s="74"/>
      <c r="AA49" s="73"/>
      <c r="AB49" s="74"/>
      <c r="AC49" s="74"/>
      <c r="AD49" s="74"/>
      <c r="AE49" s="74"/>
      <c r="AF49" s="74"/>
      <c r="AG49" s="74"/>
      <c r="AH49" s="73"/>
      <c r="AI49" s="439"/>
      <c r="AJ49" s="440"/>
      <c r="AK49" s="440"/>
      <c r="AL49" s="440"/>
      <c r="AM49" s="440"/>
      <c r="AN49" s="440"/>
      <c r="AO49" s="440"/>
      <c r="AP49" s="440"/>
      <c r="AQ49" s="440"/>
      <c r="AR49" s="440"/>
      <c r="AS49" s="440"/>
      <c r="AT49" s="440"/>
      <c r="AU49" s="440"/>
      <c r="AV49" s="440"/>
      <c r="AW49" s="440"/>
      <c r="AX49" s="440"/>
      <c r="AY49" s="440"/>
      <c r="AZ49" s="193"/>
      <c r="BA49" s="196">
        <f t="shared" si="62"/>
        <v>0</v>
      </c>
      <c r="BB49" s="201">
        <f t="shared" si="63"/>
        <v>0</v>
      </c>
      <c r="BC49" s="201">
        <f t="shared" si="64"/>
        <v>0</v>
      </c>
      <c r="BD49" s="201">
        <f t="shared" si="65"/>
        <v>0</v>
      </c>
      <c r="BE49" s="201">
        <f t="shared" si="66"/>
        <v>0</v>
      </c>
      <c r="BF49" s="202">
        <f>(BB49*初始化表!E$17+BC49*初始化表!F$17+BD49*初始化表!G$17+BE49*初始化表!H$17)/1300</f>
        <v>0</v>
      </c>
      <c r="BG49" s="207">
        <f t="shared" si="67"/>
        <v>0</v>
      </c>
      <c r="BH49" s="207">
        <f t="shared" si="68"/>
        <v>0</v>
      </c>
      <c r="BI49" s="321">
        <f>$BI$51+MAX(0,第2期!BI49)-第3期!BF49</f>
        <v>0</v>
      </c>
      <c r="BJ49" s="201" t="str">
        <f t="shared" si="69"/>
        <v/>
      </c>
      <c r="BK49" s="201" t="str">
        <f t="shared" si="70"/>
        <v/>
      </c>
      <c r="BL49" s="203"/>
      <c r="BM49" s="203"/>
      <c r="BN49" s="203"/>
      <c r="BO49" s="203"/>
      <c r="BP49" s="203"/>
      <c r="BQ49" s="203"/>
      <c r="BR49" s="211"/>
      <c r="BS49" s="196">
        <f t="shared" si="45"/>
        <v>0</v>
      </c>
      <c r="BT49" s="213" t="e">
        <f t="shared" si="46"/>
        <v>#DIV/0!</v>
      </c>
      <c r="BU49" s="213" t="e">
        <f t="shared" si="47"/>
        <v>#DIV/0!</v>
      </c>
      <c r="BV49" s="213" t="e">
        <f t="shared" si="48"/>
        <v>#DIV/0!</v>
      </c>
      <c r="BW49" s="213" t="e">
        <f t="shared" si="49"/>
        <v>#DIV/0!</v>
      </c>
      <c r="BX49" s="213" t="e">
        <f t="shared" si="50"/>
        <v>#DIV/0!</v>
      </c>
      <c r="BY49" s="213" t="e">
        <f t="shared" si="51"/>
        <v>#DIV/0!</v>
      </c>
      <c r="BZ49" s="213" t="e">
        <f t="shared" si="52"/>
        <v>#DIV/0!</v>
      </c>
      <c r="CA49" s="213" t="e">
        <f t="shared" si="53"/>
        <v>#DIV/0!</v>
      </c>
      <c r="CB49" s="213" t="e">
        <f t="shared" si="54"/>
        <v>#DIV/0!</v>
      </c>
      <c r="CC49" s="213" t="e">
        <f t="shared" si="55"/>
        <v>#DIV/0!</v>
      </c>
      <c r="CD49" s="213" t="e">
        <f t="shared" si="56"/>
        <v>#DIV/0!</v>
      </c>
      <c r="CE49" s="213" t="e">
        <f t="shared" si="57"/>
        <v>#DIV/0!</v>
      </c>
      <c r="CF49" s="213" t="e">
        <f t="shared" si="58"/>
        <v>#DIV/0!</v>
      </c>
      <c r="CG49" s="213" t="e">
        <f t="shared" si="59"/>
        <v>#DIV/0!</v>
      </c>
      <c r="CH49" s="213" t="e">
        <f t="shared" si="60"/>
        <v>#DIV/0!</v>
      </c>
      <c r="CI49" s="213" t="e">
        <f t="shared" si="61"/>
        <v>#DIV/0!</v>
      </c>
      <c r="CJ49" s="226"/>
      <c r="CK49" s="228"/>
      <c r="CL49" s="228"/>
      <c r="CM49" s="228"/>
      <c r="CN49" s="228"/>
      <c r="CO49" s="228"/>
      <c r="CP49" s="228"/>
      <c r="CQ49" s="228"/>
      <c r="CR49" s="228"/>
      <c r="CS49" s="228"/>
      <c r="CT49" s="228"/>
      <c r="CU49" s="228"/>
      <c r="CV49" s="228"/>
      <c r="CW49" s="228"/>
      <c r="CX49" s="228"/>
      <c r="CY49" s="228"/>
      <c r="CZ49" s="228"/>
      <c r="DA49" s="228"/>
      <c r="DB49" s="228"/>
      <c r="DC49" s="228"/>
      <c r="DD49" s="228"/>
      <c r="DE49" s="228"/>
      <c r="DF49" s="228"/>
      <c r="DG49" s="228"/>
      <c r="DH49" s="228"/>
      <c r="DI49" s="228"/>
      <c r="DJ49" s="228"/>
      <c r="DK49" s="228"/>
      <c r="DL49" s="228"/>
      <c r="DM49" s="228"/>
      <c r="DN49" s="228"/>
      <c r="DO49" s="228"/>
      <c r="DP49" s="228"/>
      <c r="DQ49" s="228"/>
    </row>
    <row r="50" s="61" customFormat="1" ht="16" customHeight="1" spans="1:121">
      <c r="A50" s="269" t="s">
        <v>379</v>
      </c>
      <c r="B50" s="270"/>
      <c r="C50" s="77" t="e">
        <f>-IF(AJ24="",0.4*SUMPRODUCT(B6:E9,V72:Y75),0.4*(AQ9*B6+AQ10*C6+AQ11*D6+AQ12*E6+AQ13*B7+AQ14*C7+AQ15*D7+AQ16*E7+AQ17*B8+AQ18*C8+AQ19*D8+AQ20*E8+AQ21*B9+AQ22*C9+AQ23*D9+AQ24*E9))</f>
        <v>#DIV/0!</v>
      </c>
      <c r="D50" s="79"/>
      <c r="E50" s="79" t="e">
        <f>E48-C50</f>
        <v>#DIV/0!</v>
      </c>
      <c r="F50" s="79" t="e">
        <f>F49+C50</f>
        <v>#DIV/0!</v>
      </c>
      <c r="G50" s="73"/>
      <c r="H50" s="269" t="s">
        <v>524</v>
      </c>
      <c r="I50" s="90">
        <v>2</v>
      </c>
      <c r="J50" s="90">
        <v>2</v>
      </c>
      <c r="K50" s="90">
        <v>3</v>
      </c>
      <c r="L50" s="90">
        <v>3</v>
      </c>
      <c r="M50" s="85"/>
      <c r="N50" s="74"/>
      <c r="O50" s="68" t="s">
        <v>574</v>
      </c>
      <c r="P50" s="432" t="e">
        <f>E60</f>
        <v>#DIV/0!</v>
      </c>
      <c r="Q50" s="147"/>
      <c r="R50" s="74"/>
      <c r="S50" s="74"/>
      <c r="T50" s="120"/>
      <c r="U50" s="68" t="s">
        <v>466</v>
      </c>
      <c r="V50" s="115" t="e">
        <f t="shared" si="74"/>
        <v>#DIV/0!</v>
      </c>
      <c r="W50" s="115" t="e">
        <f t="shared" si="74"/>
        <v>#DIV/0!</v>
      </c>
      <c r="X50" s="115" t="e">
        <f t="shared" si="74"/>
        <v>#DIV/0!</v>
      </c>
      <c r="Y50" s="115" t="e">
        <f t="shared" si="74"/>
        <v>#DIV/0!</v>
      </c>
      <c r="Z50" s="74"/>
      <c r="AA50" s="73"/>
      <c r="AB50" s="74"/>
      <c r="AC50" s="74"/>
      <c r="AD50" s="74"/>
      <c r="AE50" s="74"/>
      <c r="AF50" s="74"/>
      <c r="AG50" s="74"/>
      <c r="AH50" s="73"/>
      <c r="AI50" s="439"/>
      <c r="AJ50" s="440"/>
      <c r="AK50" s="440"/>
      <c r="AL50" s="440"/>
      <c r="AM50" s="440"/>
      <c r="AN50" s="440"/>
      <c r="AO50" s="440"/>
      <c r="AP50" s="440"/>
      <c r="AQ50" s="440"/>
      <c r="AR50" s="440"/>
      <c r="AS50" s="440"/>
      <c r="AT50" s="440"/>
      <c r="AU50" s="440"/>
      <c r="AV50" s="440"/>
      <c r="AW50" s="440"/>
      <c r="AX50" s="440"/>
      <c r="AY50" s="440"/>
      <c r="AZ50" s="193"/>
      <c r="BA50" s="196">
        <f t="shared" si="62"/>
        <v>0</v>
      </c>
      <c r="BB50" s="201">
        <f t="shared" si="63"/>
        <v>0</v>
      </c>
      <c r="BC50" s="201">
        <f t="shared" si="64"/>
        <v>0</v>
      </c>
      <c r="BD50" s="201">
        <f t="shared" si="65"/>
        <v>0</v>
      </c>
      <c r="BE50" s="201">
        <f t="shared" si="66"/>
        <v>0</v>
      </c>
      <c r="BF50" s="202">
        <f>(BB50*初始化表!E$17+BC50*初始化表!F$17+BD50*初始化表!G$17+BE50*初始化表!H$17)/1300</f>
        <v>0</v>
      </c>
      <c r="BG50" s="207">
        <f t="shared" si="67"/>
        <v>0</v>
      </c>
      <c r="BH50" s="207">
        <f t="shared" si="68"/>
        <v>0</v>
      </c>
      <c r="BI50" s="321">
        <f>$BI$51+MAX(0,第2期!BI50)-第3期!BF50</f>
        <v>0</v>
      </c>
      <c r="BJ50" s="201" t="str">
        <f t="shared" si="69"/>
        <v/>
      </c>
      <c r="BK50" s="201" t="str">
        <f t="shared" si="70"/>
        <v/>
      </c>
      <c r="BL50" s="203"/>
      <c r="BM50" s="203"/>
      <c r="BN50" s="203"/>
      <c r="BO50" s="203"/>
      <c r="BP50" s="203"/>
      <c r="BQ50" s="203"/>
      <c r="BR50" s="211"/>
      <c r="BS50" s="194" t="s">
        <v>569</v>
      </c>
      <c r="BT50" s="219" t="e">
        <f>SUM(AJ61:AJ80)/初始化表!$B5</f>
        <v>#DIV/0!</v>
      </c>
      <c r="BU50" s="219" t="e">
        <f>SUM(AK61:AK80)/初始化表!$B5</f>
        <v>#DIV/0!</v>
      </c>
      <c r="BV50" s="219" t="e">
        <f>SUM(AL61:AL80)/初始化表!$B5</f>
        <v>#DIV/0!</v>
      </c>
      <c r="BW50" s="219" t="e">
        <f>SUM(AM61:AM80)/初始化表!$B5</f>
        <v>#DIV/0!</v>
      </c>
      <c r="BX50" s="219" t="e">
        <f>SUM(AN61:AN80)/初始化表!$B5</f>
        <v>#DIV/0!</v>
      </c>
      <c r="BY50" s="219" t="e">
        <f>SUM(AO61:AO80)/初始化表!$B5</f>
        <v>#DIV/0!</v>
      </c>
      <c r="BZ50" s="219" t="e">
        <f>SUM(AP61:AP80)/初始化表!$B5</f>
        <v>#DIV/0!</v>
      </c>
      <c r="CA50" s="219" t="e">
        <f>SUM(AQ61:AQ80)/初始化表!$B5</f>
        <v>#DIV/0!</v>
      </c>
      <c r="CB50" s="219" t="e">
        <f>SUM(AR61:AR80)/初始化表!$B5</f>
        <v>#DIV/0!</v>
      </c>
      <c r="CC50" s="219" t="e">
        <f>SUM(AS61:AS80)/初始化表!$B5</f>
        <v>#DIV/0!</v>
      </c>
      <c r="CD50" s="219" t="e">
        <f>SUM(AT61:AT80)/初始化表!$B5</f>
        <v>#DIV/0!</v>
      </c>
      <c r="CE50" s="219" t="e">
        <f>SUM(AU61:AU80)/初始化表!$B5</f>
        <v>#DIV/0!</v>
      </c>
      <c r="CF50" s="219" t="e">
        <f>SUM(AV61:AV80)/初始化表!$B5</f>
        <v>#DIV/0!</v>
      </c>
      <c r="CG50" s="219" t="e">
        <f>SUM(AW61:AW80)/初始化表!$B5</f>
        <v>#DIV/0!</v>
      </c>
      <c r="CH50" s="219" t="e">
        <f>SUM(AX61:AX80)/初始化表!$B5</f>
        <v>#DIV/0!</v>
      </c>
      <c r="CI50" s="219" t="e">
        <f>SUM(AY61:AY80)/初始化表!$B5</f>
        <v>#DIV/0!</v>
      </c>
      <c r="CJ50" s="226"/>
      <c r="CK50" s="228"/>
      <c r="CL50" s="228"/>
      <c r="CM50" s="228"/>
      <c r="CN50" s="228"/>
      <c r="CO50" s="228"/>
      <c r="CP50" s="228"/>
      <c r="CQ50" s="228"/>
      <c r="CR50" s="228"/>
      <c r="CS50" s="228"/>
      <c r="CT50" s="228"/>
      <c r="CU50" s="228"/>
      <c r="CV50" s="228"/>
      <c r="CW50" s="228"/>
      <c r="CX50" s="228"/>
      <c r="CY50" s="228"/>
      <c r="CZ50" s="228"/>
      <c r="DA50" s="228"/>
      <c r="DB50" s="228"/>
      <c r="DC50" s="228"/>
      <c r="DD50" s="228"/>
      <c r="DE50" s="228"/>
      <c r="DF50" s="228"/>
      <c r="DG50" s="228"/>
      <c r="DH50" s="228"/>
      <c r="DI50" s="228"/>
      <c r="DJ50" s="228"/>
      <c r="DK50" s="228"/>
      <c r="DL50" s="228"/>
      <c r="DM50" s="228"/>
      <c r="DN50" s="228"/>
      <c r="DO50" s="228"/>
      <c r="DP50" s="228"/>
      <c r="DQ50" s="228"/>
    </row>
    <row r="51" s="61" customFormat="1" ht="16" customHeight="1" spans="1:121">
      <c r="A51" s="269" t="s">
        <v>380</v>
      </c>
      <c r="B51" s="270"/>
      <c r="C51" s="77" t="e">
        <f>-初始化表!H5*N49*初始化表!B8</f>
        <v>#DIV/0!</v>
      </c>
      <c r="D51" s="79"/>
      <c r="E51" s="79" t="e">
        <f>E50-C51</f>
        <v>#DIV/0!</v>
      </c>
      <c r="F51" s="79"/>
      <c r="G51" s="73"/>
      <c r="H51" s="269" t="s">
        <v>662</v>
      </c>
      <c r="I51" s="269" t="s">
        <v>521</v>
      </c>
      <c r="J51" s="269" t="s">
        <v>522</v>
      </c>
      <c r="K51" s="269" t="s">
        <v>523</v>
      </c>
      <c r="L51" s="269" t="s">
        <v>524</v>
      </c>
      <c r="M51" s="85"/>
      <c r="N51" s="74"/>
      <c r="O51" s="68" t="s">
        <v>296</v>
      </c>
      <c r="P51" s="432" t="e">
        <f>F64</f>
        <v>#DIV/0!</v>
      </c>
      <c r="Q51" s="147"/>
      <c r="R51" s="74"/>
      <c r="S51" s="74"/>
      <c r="T51" s="120"/>
      <c r="U51" s="68" t="s">
        <v>468</v>
      </c>
      <c r="V51" s="115" t="e">
        <f t="shared" si="74"/>
        <v>#DIV/0!</v>
      </c>
      <c r="W51" s="115" t="e">
        <f t="shared" si="74"/>
        <v>#DIV/0!</v>
      </c>
      <c r="X51" s="115" t="e">
        <f t="shared" si="74"/>
        <v>#DIV/0!</v>
      </c>
      <c r="Y51" s="115" t="e">
        <f t="shared" si="74"/>
        <v>#DIV/0!</v>
      </c>
      <c r="Z51" s="74"/>
      <c r="AA51" s="73"/>
      <c r="AB51" s="74"/>
      <c r="AC51" s="74"/>
      <c r="AD51" s="74"/>
      <c r="AE51" s="74"/>
      <c r="AF51" s="74"/>
      <c r="AG51" s="74"/>
      <c r="AH51" s="73"/>
      <c r="AI51" s="439"/>
      <c r="AJ51" s="440"/>
      <c r="AK51" s="440"/>
      <c r="AL51" s="440"/>
      <c r="AM51" s="440"/>
      <c r="AN51" s="440"/>
      <c r="AO51" s="440"/>
      <c r="AP51" s="440"/>
      <c r="AQ51" s="440"/>
      <c r="AR51" s="440"/>
      <c r="AS51" s="440"/>
      <c r="AT51" s="440"/>
      <c r="AU51" s="440"/>
      <c r="AV51" s="440"/>
      <c r="AW51" s="440"/>
      <c r="AX51" s="440"/>
      <c r="AY51" s="440"/>
      <c r="AZ51" s="193"/>
      <c r="BA51" s="194" t="s">
        <v>664</v>
      </c>
      <c r="BB51" s="202" t="e">
        <f>SUM(BB31:BB50)/初始化表!$B$5</f>
        <v>#DIV/0!</v>
      </c>
      <c r="BC51" s="202" t="e">
        <f>SUM(BC31:BC50)/初始化表!$B$5</f>
        <v>#DIV/0!</v>
      </c>
      <c r="BD51" s="202" t="e">
        <f>SUM(BD31:BD50)/初始化表!$B$5</f>
        <v>#DIV/0!</v>
      </c>
      <c r="BE51" s="202" t="e">
        <f>SUM(BE31:BE50)/初始化表!$B$5</f>
        <v>#DIV/0!</v>
      </c>
      <c r="BF51" s="202" t="e">
        <f>SUM(BF31:BF50)/初始化表!$B$5</f>
        <v>#DIV/0!</v>
      </c>
      <c r="BG51" s="202" t="e">
        <f>SUM(BG31:BG50)/初始化表!$B$5</f>
        <v>#DIV/0!</v>
      </c>
      <c r="BH51" s="202" t="e">
        <f>SUM(AJ107:AJ126)/SUM(BF31:BF50)</f>
        <v>#DIV/0!</v>
      </c>
      <c r="BI51" s="208">
        <f>((INT(I52)-SUM(AQ9:AQ12))*初始化表!E17+(INT(J52)-SUM(AQ13:AQ16))*初始化表!F17+(INT(K52)-SUM(AQ17:AQ20))*初始化表!G17+(INT(L52)-SUM(AQ21:AQ24))*初始化表!H17)/1300</f>
        <v>0</v>
      </c>
      <c r="BJ51" s="201"/>
      <c r="BK51" s="201"/>
      <c r="BL51" s="203"/>
      <c r="BM51" s="203"/>
      <c r="BN51" s="203"/>
      <c r="BO51" s="203"/>
      <c r="BP51" s="203"/>
      <c r="BQ51" s="203"/>
      <c r="BR51" s="211"/>
      <c r="BS51" s="194" t="s">
        <v>570</v>
      </c>
      <c r="BT51" s="220" t="e">
        <f t="shared" ref="BT51:CI51" si="75">STDEV.P(AJ61:AJ80)</f>
        <v>#DIV/0!</v>
      </c>
      <c r="BU51" s="220" t="e">
        <f t="shared" si="75"/>
        <v>#DIV/0!</v>
      </c>
      <c r="BV51" s="220" t="e">
        <f t="shared" si="75"/>
        <v>#DIV/0!</v>
      </c>
      <c r="BW51" s="220" t="e">
        <f t="shared" si="75"/>
        <v>#DIV/0!</v>
      </c>
      <c r="BX51" s="220" t="e">
        <f t="shared" si="75"/>
        <v>#DIV/0!</v>
      </c>
      <c r="BY51" s="220" t="e">
        <f t="shared" si="75"/>
        <v>#DIV/0!</v>
      </c>
      <c r="BZ51" s="220" t="e">
        <f t="shared" si="75"/>
        <v>#DIV/0!</v>
      </c>
      <c r="CA51" s="220" t="e">
        <f t="shared" si="75"/>
        <v>#DIV/0!</v>
      </c>
      <c r="CB51" s="220" t="e">
        <f t="shared" si="75"/>
        <v>#DIV/0!</v>
      </c>
      <c r="CC51" s="220" t="e">
        <f t="shared" si="75"/>
        <v>#DIV/0!</v>
      </c>
      <c r="CD51" s="220" t="e">
        <f t="shared" si="75"/>
        <v>#DIV/0!</v>
      </c>
      <c r="CE51" s="220" t="e">
        <f t="shared" si="75"/>
        <v>#DIV/0!</v>
      </c>
      <c r="CF51" s="220" t="e">
        <f t="shared" si="75"/>
        <v>#DIV/0!</v>
      </c>
      <c r="CG51" s="220" t="e">
        <f t="shared" si="75"/>
        <v>#DIV/0!</v>
      </c>
      <c r="CH51" s="220" t="e">
        <f t="shared" si="75"/>
        <v>#DIV/0!</v>
      </c>
      <c r="CI51" s="220" t="e">
        <f t="shared" si="75"/>
        <v>#DIV/0!</v>
      </c>
      <c r="CJ51" s="226"/>
      <c r="CK51" s="228"/>
      <c r="CL51" s="228"/>
      <c r="CM51" s="228"/>
      <c r="CN51" s="228"/>
      <c r="CO51" s="228"/>
      <c r="CP51" s="228"/>
      <c r="CQ51" s="228"/>
      <c r="CR51" s="228"/>
      <c r="CS51" s="228"/>
      <c r="CT51" s="228"/>
      <c r="CU51" s="228"/>
      <c r="CV51" s="228"/>
      <c r="CW51" s="228"/>
      <c r="CX51" s="228"/>
      <c r="CY51" s="228"/>
      <c r="CZ51" s="228"/>
      <c r="DA51" s="228"/>
      <c r="DB51" s="228"/>
      <c r="DC51" s="228"/>
      <c r="DD51" s="228"/>
      <c r="DE51" s="228"/>
      <c r="DF51" s="228"/>
      <c r="DG51" s="228"/>
      <c r="DH51" s="228"/>
      <c r="DI51" s="228"/>
      <c r="DJ51" s="228"/>
      <c r="DK51" s="228"/>
      <c r="DL51" s="228"/>
      <c r="DM51" s="228"/>
      <c r="DN51" s="228"/>
      <c r="DO51" s="228"/>
      <c r="DP51" s="228"/>
      <c r="DQ51" s="228"/>
    </row>
    <row r="52" s="61" customFormat="1" ht="16" customHeight="1" spans="1:88">
      <c r="A52" s="269" t="s">
        <v>381</v>
      </c>
      <c r="B52" s="270"/>
      <c r="C52" s="77">
        <f>IF(AJ24="",0,SUM(AP9:AP12)*初始化表!E22+SUM(AP13:AP16)*初始化表!F22+SUM(AP17:AP20)*初始化表!G22+SUM(AP21:AP24)*初始化表!H22)-(SUM(V5:Z5,-I56)*初始化表!E22+SUM(V6:Z6,-J56)*初始化表!F22+SUM(V7:Z7,-K56)*初始化表!G22+SUM(V8:Z8,-L56)*初始化表!H22)</f>
        <v>0</v>
      </c>
      <c r="D52" s="79"/>
      <c r="E52" s="79" t="e">
        <f>E51-C52</f>
        <v>#DIV/0!</v>
      </c>
      <c r="F52" s="79"/>
      <c r="G52" s="73"/>
      <c r="H52" s="269" t="s">
        <v>665</v>
      </c>
      <c r="I52" s="77">
        <f>Z5+初始化表!B4*SUM(B17:E17)</f>
        <v>0</v>
      </c>
      <c r="J52" s="77">
        <f>Z6+初始化表!B4*SUM(B18:E18)</f>
        <v>0</v>
      </c>
      <c r="K52" s="77">
        <f>Z7+初始化表!B4*SUM(B19:E19)</f>
        <v>0</v>
      </c>
      <c r="L52" s="77">
        <f>Z8+初始化表!B4*SUM(B20:E20)</f>
        <v>0</v>
      </c>
      <c r="M52" s="85"/>
      <c r="N52" s="74"/>
      <c r="O52" s="74"/>
      <c r="P52" s="74"/>
      <c r="Q52" s="74"/>
      <c r="R52" s="74"/>
      <c r="S52" s="74"/>
      <c r="T52" s="120"/>
      <c r="U52" s="396"/>
      <c r="V52" s="90"/>
      <c r="W52" s="90"/>
      <c r="X52" s="90"/>
      <c r="Y52" s="90"/>
      <c r="Z52" s="74"/>
      <c r="AA52" s="73"/>
      <c r="AB52" s="74"/>
      <c r="AC52" s="74"/>
      <c r="AD52" s="74"/>
      <c r="AE52" s="74"/>
      <c r="AF52" s="74"/>
      <c r="AG52" s="74"/>
      <c r="AH52" s="73"/>
      <c r="AI52" s="439"/>
      <c r="AJ52" s="440"/>
      <c r="AK52" s="440"/>
      <c r="AL52" s="440"/>
      <c r="AM52" s="440"/>
      <c r="AN52" s="440"/>
      <c r="AO52" s="440"/>
      <c r="AP52" s="440"/>
      <c r="AQ52" s="440"/>
      <c r="AR52" s="440"/>
      <c r="AS52" s="440"/>
      <c r="AT52" s="440"/>
      <c r="AU52" s="440"/>
      <c r="AV52" s="440"/>
      <c r="AW52" s="440"/>
      <c r="AX52" s="440"/>
      <c r="AY52" s="440"/>
      <c r="AZ52" s="193"/>
      <c r="BA52" s="429"/>
      <c r="BB52" s="203"/>
      <c r="BC52" s="203"/>
      <c r="BD52" s="203"/>
      <c r="BE52" s="203"/>
      <c r="BF52" s="203"/>
      <c r="BG52" s="203"/>
      <c r="BH52" s="203"/>
      <c r="BI52" s="203"/>
      <c r="BJ52" s="203"/>
      <c r="BK52" s="203"/>
      <c r="BL52" s="203"/>
      <c r="BM52" s="203"/>
      <c r="BN52" s="203"/>
      <c r="BO52" s="203"/>
      <c r="BP52" s="203"/>
      <c r="BQ52" s="203"/>
      <c r="BR52" s="211"/>
      <c r="BS52" s="211"/>
      <c r="BT52" s="211"/>
      <c r="BU52" s="211"/>
      <c r="BV52" s="211"/>
      <c r="BW52" s="211"/>
      <c r="BX52" s="211"/>
      <c r="BY52" s="211"/>
      <c r="BZ52" s="211"/>
      <c r="CA52" s="211"/>
      <c r="CB52" s="211"/>
      <c r="CC52" s="211"/>
      <c r="CD52" s="211"/>
      <c r="CE52" s="211"/>
      <c r="CF52" s="211"/>
      <c r="CG52" s="211"/>
      <c r="CH52" s="211"/>
      <c r="CI52" s="211"/>
      <c r="CJ52" s="62"/>
    </row>
    <row r="53" s="61" customFormat="1" ht="16" customHeight="1" spans="1:88">
      <c r="A53" s="269" t="s">
        <v>382</v>
      </c>
      <c r="B53" s="270"/>
      <c r="C53" s="77">
        <f>-(H43+L43)/2*初始化表!B7</f>
        <v>0</v>
      </c>
      <c r="D53" s="79"/>
      <c r="E53" s="79" t="e">
        <f>E52-C53</f>
        <v>#DIV/0!</v>
      </c>
      <c r="F53" s="79" t="e">
        <f>F50+C53</f>
        <v>#DIV/0!</v>
      </c>
      <c r="G53" s="73"/>
      <c r="H53" s="269" t="s">
        <v>671</v>
      </c>
      <c r="I53" s="269" t="s">
        <v>521</v>
      </c>
      <c r="J53" s="269" t="s">
        <v>522</v>
      </c>
      <c r="K53" s="269" t="s">
        <v>523</v>
      </c>
      <c r="L53" s="269" t="s">
        <v>524</v>
      </c>
      <c r="M53" s="85"/>
      <c r="N53" s="74"/>
      <c r="O53" s="74"/>
      <c r="P53" s="74"/>
      <c r="Q53" s="74"/>
      <c r="R53" s="74"/>
      <c r="S53" s="74"/>
      <c r="T53" s="120"/>
      <c r="U53" s="68" t="s">
        <v>673</v>
      </c>
      <c r="V53" s="68" t="s">
        <v>459</v>
      </c>
      <c r="W53" s="68" t="s">
        <v>460</v>
      </c>
      <c r="X53" s="68" t="s">
        <v>461</v>
      </c>
      <c r="Y53" s="68" t="s">
        <v>462</v>
      </c>
      <c r="Z53" s="74"/>
      <c r="AA53" s="73"/>
      <c r="AB53" s="74"/>
      <c r="AC53" s="74"/>
      <c r="AD53" s="74"/>
      <c r="AE53" s="74"/>
      <c r="AF53" s="74"/>
      <c r="AG53" s="74"/>
      <c r="AH53" s="73"/>
      <c r="AI53" s="439"/>
      <c r="AJ53" s="440"/>
      <c r="AK53" s="440"/>
      <c r="AL53" s="440"/>
      <c r="AM53" s="440"/>
      <c r="AN53" s="440"/>
      <c r="AO53" s="440"/>
      <c r="AP53" s="440"/>
      <c r="AQ53" s="440"/>
      <c r="AR53" s="440"/>
      <c r="AS53" s="440"/>
      <c r="AT53" s="440"/>
      <c r="AU53" s="440"/>
      <c r="AV53" s="440"/>
      <c r="AW53" s="440"/>
      <c r="AX53" s="440"/>
      <c r="AY53" s="440"/>
      <c r="AZ53" s="193"/>
      <c r="BA53" s="194" t="s">
        <v>37</v>
      </c>
      <c r="BB53" s="194" t="s">
        <v>674</v>
      </c>
      <c r="BC53" s="204"/>
      <c r="BD53" s="194" t="s">
        <v>675</v>
      </c>
      <c r="BE53" s="194" t="s">
        <v>198</v>
      </c>
      <c r="BF53" s="194" t="s">
        <v>202</v>
      </c>
      <c r="BG53" s="194" t="s">
        <v>206</v>
      </c>
      <c r="BH53" s="194" t="s">
        <v>208</v>
      </c>
      <c r="BI53" s="203"/>
      <c r="BJ53" s="203"/>
      <c r="BK53" s="203"/>
      <c r="BL53" s="203"/>
      <c r="BM53" s="203"/>
      <c r="BN53" s="203"/>
      <c r="BO53" s="203"/>
      <c r="BP53" s="203"/>
      <c r="BQ53" s="203"/>
      <c r="BR53" s="211"/>
      <c r="BS53" s="211"/>
      <c r="BT53" s="211"/>
      <c r="BU53" s="211"/>
      <c r="BV53" s="211"/>
      <c r="BW53" s="211"/>
      <c r="BX53" s="211"/>
      <c r="BY53" s="211"/>
      <c r="BZ53" s="211"/>
      <c r="CA53" s="211"/>
      <c r="CB53" s="211"/>
      <c r="CC53" s="211"/>
      <c r="CD53" s="211"/>
      <c r="CE53" s="211"/>
      <c r="CF53" s="211"/>
      <c r="CG53" s="211"/>
      <c r="CH53" s="211"/>
      <c r="CI53" s="211"/>
      <c r="CJ53" s="62"/>
    </row>
    <row r="54" s="61" customFormat="1" ht="16" customHeight="1" spans="1:88">
      <c r="A54" s="269" t="s">
        <v>383</v>
      </c>
      <c r="B54" s="270"/>
      <c r="C54" s="77">
        <f>-(SUM(V5:Z5,I56)/2*初始化表!E5+SUM(V6:Z6,J56)/2*初始化表!E6+SUM(V7:Z7,K56)/2*初始化表!E7+SUM(V8:Z8,L56)/2*初始化表!E8+IF(AJ24="",0,(SUM(AP9:AP12)*初始化表!E5+SUM(AP13:AP16)*初始化表!E6+SUM(AP17:AP20)*初始化表!E7+SUM(AP21:AP24)*初始化表!E8)/2))</f>
        <v>0</v>
      </c>
      <c r="D54" s="79"/>
      <c r="E54" s="79" t="e">
        <f>E53-C54</f>
        <v>#DIV/0!</v>
      </c>
      <c r="F54" s="79" t="e">
        <f t="shared" ref="F54:F64" si="76">F53+C54</f>
        <v>#DIV/0!</v>
      </c>
      <c r="G54" s="73"/>
      <c r="H54" s="269" t="s">
        <v>665</v>
      </c>
      <c r="I54" s="82">
        <f>INT(I52)-SUM(B12:E12)</f>
        <v>0</v>
      </c>
      <c r="J54" s="82">
        <f>INT(J52)-SUM(B13:E13)</f>
        <v>0</v>
      </c>
      <c r="K54" s="82">
        <f>INT(K52)-SUM(B14:E14)</f>
        <v>0</v>
      </c>
      <c r="L54" s="82">
        <f>INT(L52)-SUM(B15:E15)</f>
        <v>0</v>
      </c>
      <c r="M54" s="85"/>
      <c r="N54" s="74"/>
      <c r="O54" s="74"/>
      <c r="P54" s="74"/>
      <c r="Q54" s="74"/>
      <c r="R54" s="74"/>
      <c r="S54" s="74"/>
      <c r="T54" s="120"/>
      <c r="U54" s="68" t="s">
        <v>464</v>
      </c>
      <c r="V54" s="77" t="e">
        <f t="shared" ref="V54:Y57" si="77">IF(V42&gt;V48,V42-V48,0)</f>
        <v>#DIV/0!</v>
      </c>
      <c r="W54" s="77" t="e">
        <f t="shared" si="77"/>
        <v>#DIV/0!</v>
      </c>
      <c r="X54" s="77" t="e">
        <f t="shared" si="77"/>
        <v>#DIV/0!</v>
      </c>
      <c r="Y54" s="77" t="e">
        <f t="shared" si="77"/>
        <v>#DIV/0!</v>
      </c>
      <c r="Z54" s="74"/>
      <c r="AA54" s="73"/>
      <c r="AB54" s="74"/>
      <c r="AC54" s="74"/>
      <c r="AD54" s="74"/>
      <c r="AE54" s="74"/>
      <c r="AF54" s="74"/>
      <c r="AG54" s="74"/>
      <c r="AH54" s="73"/>
      <c r="AI54" s="439"/>
      <c r="AJ54" s="440"/>
      <c r="AK54" s="440"/>
      <c r="AL54" s="440"/>
      <c r="AM54" s="440"/>
      <c r="AN54" s="440"/>
      <c r="AO54" s="440"/>
      <c r="AP54" s="440"/>
      <c r="AQ54" s="440"/>
      <c r="AR54" s="440"/>
      <c r="AS54" s="440"/>
      <c r="AT54" s="440"/>
      <c r="AU54" s="440"/>
      <c r="AV54" s="440"/>
      <c r="AW54" s="440"/>
      <c r="AX54" s="440"/>
      <c r="AY54" s="440"/>
      <c r="AZ54" s="193"/>
      <c r="BA54" s="195">
        <f t="shared" ref="BA54:BA73" si="78">BA31</f>
        <v>0</v>
      </c>
      <c r="BB54" s="205">
        <f>IF(BT5=1,AL107/(第2期!AP107/2+AP107),0)</f>
        <v>0</v>
      </c>
      <c r="BC54" s="203"/>
      <c r="BD54" s="194">
        <f>BA54</f>
        <v>0</v>
      </c>
      <c r="BE54" s="209" t="e">
        <f>BB31/$BE$31</f>
        <v>#DIV/0!</v>
      </c>
      <c r="BF54" s="209" t="e">
        <f>BC31/$BE$31</f>
        <v>#DIV/0!</v>
      </c>
      <c r="BG54" s="209" t="e">
        <f>BD31/$BE$31</f>
        <v>#DIV/0!</v>
      </c>
      <c r="BH54" s="209">
        <v>1</v>
      </c>
      <c r="BI54" s="203"/>
      <c r="BJ54" s="203"/>
      <c r="BK54" s="203"/>
      <c r="BL54" s="203"/>
      <c r="BM54" s="203"/>
      <c r="BN54" s="203"/>
      <c r="BO54" s="203"/>
      <c r="BP54" s="203"/>
      <c r="BQ54" s="203"/>
      <c r="BR54" s="211"/>
      <c r="BS54" s="211"/>
      <c r="BT54" s="211"/>
      <c r="BU54" s="211"/>
      <c r="BV54" s="211"/>
      <c r="BW54" s="211"/>
      <c r="BX54" s="211"/>
      <c r="BY54" s="211"/>
      <c r="BZ54" s="211"/>
      <c r="CA54" s="211"/>
      <c r="CB54" s="211"/>
      <c r="CC54" s="211"/>
      <c r="CD54" s="211"/>
      <c r="CE54" s="211"/>
      <c r="CF54" s="211"/>
      <c r="CG54" s="211"/>
      <c r="CH54" s="211"/>
      <c r="CI54" s="211"/>
      <c r="CJ54" s="62"/>
    </row>
    <row r="55" s="61" customFormat="1" ht="16" customHeight="1" spans="1:88">
      <c r="A55" s="269" t="s">
        <v>384</v>
      </c>
      <c r="B55" s="270"/>
      <c r="C55" s="77">
        <f>N37</f>
        <v>0</v>
      </c>
      <c r="D55" s="79"/>
      <c r="E55" s="79"/>
      <c r="F55" s="79" t="e">
        <f t="shared" si="76"/>
        <v>#DIV/0!</v>
      </c>
      <c r="G55" s="73"/>
      <c r="H55" s="269" t="s">
        <v>677</v>
      </c>
      <c r="I55" s="269" t="s">
        <v>521</v>
      </c>
      <c r="J55" s="269" t="s">
        <v>522</v>
      </c>
      <c r="K55" s="269" t="s">
        <v>523</v>
      </c>
      <c r="L55" s="269" t="s">
        <v>524</v>
      </c>
      <c r="M55" s="85"/>
      <c r="N55" s="74"/>
      <c r="O55" s="74"/>
      <c r="P55" s="74"/>
      <c r="Q55" s="74"/>
      <c r="R55" s="74"/>
      <c r="S55" s="74"/>
      <c r="T55" s="120"/>
      <c r="U55" s="68" t="s">
        <v>465</v>
      </c>
      <c r="V55" s="77" t="e">
        <f t="shared" si="77"/>
        <v>#DIV/0!</v>
      </c>
      <c r="W55" s="77" t="e">
        <f t="shared" si="77"/>
        <v>#DIV/0!</v>
      </c>
      <c r="X55" s="77" t="e">
        <f t="shared" si="77"/>
        <v>#DIV/0!</v>
      </c>
      <c r="Y55" s="77" t="e">
        <f t="shared" si="77"/>
        <v>#DIV/0!</v>
      </c>
      <c r="Z55" s="74"/>
      <c r="AA55" s="73"/>
      <c r="AB55" s="74"/>
      <c r="AC55" s="74"/>
      <c r="AD55" s="74"/>
      <c r="AE55" s="74"/>
      <c r="AF55" s="74"/>
      <c r="AG55" s="74"/>
      <c r="AH55" s="73"/>
      <c r="AI55" s="439"/>
      <c r="AJ55" s="440"/>
      <c r="AK55" s="440"/>
      <c r="AL55" s="440"/>
      <c r="AM55" s="440"/>
      <c r="AN55" s="440"/>
      <c r="AO55" s="440"/>
      <c r="AP55" s="440"/>
      <c r="AQ55" s="440"/>
      <c r="AR55" s="440"/>
      <c r="AS55" s="440"/>
      <c r="AT55" s="440"/>
      <c r="AU55" s="440"/>
      <c r="AV55" s="440"/>
      <c r="AW55" s="440"/>
      <c r="AX55" s="440"/>
      <c r="AY55" s="440"/>
      <c r="AZ55" s="193"/>
      <c r="BA55" s="195">
        <f t="shared" si="78"/>
        <v>0</v>
      </c>
      <c r="BB55" s="205">
        <f>IF(BT6=1,AL108/(第2期!AP108/2+AP108),0)</f>
        <v>0</v>
      </c>
      <c r="BC55" s="203"/>
      <c r="BD55" s="194">
        <f t="shared" ref="BD55:BD73" si="79">BA55</f>
        <v>0</v>
      </c>
      <c r="BE55" s="209" t="e">
        <f t="shared" ref="BE55:BH70" si="80">BB32/$BE$31</f>
        <v>#DIV/0!</v>
      </c>
      <c r="BF55" s="209" t="e">
        <f t="shared" si="80"/>
        <v>#DIV/0!</v>
      </c>
      <c r="BG55" s="209" t="e">
        <f t="shared" si="80"/>
        <v>#DIV/0!</v>
      </c>
      <c r="BH55" s="209" t="e">
        <f t="shared" ref="BH55:BH60" si="81">BE32/$BE$31</f>
        <v>#DIV/0!</v>
      </c>
      <c r="BI55" s="203"/>
      <c r="BJ55" s="203"/>
      <c r="BK55" s="203"/>
      <c r="BL55" s="203"/>
      <c r="BM55" s="203"/>
      <c r="BN55" s="203"/>
      <c r="BO55" s="203"/>
      <c r="BP55" s="203"/>
      <c r="BQ55" s="203"/>
      <c r="BR55" s="211"/>
      <c r="BS55" s="211"/>
      <c r="BT55" s="211"/>
      <c r="BU55" s="211"/>
      <c r="BV55" s="211"/>
      <c r="BW55" s="211"/>
      <c r="BX55" s="211"/>
      <c r="BY55" s="211"/>
      <c r="BZ55" s="211"/>
      <c r="CA55" s="211"/>
      <c r="CB55" s="211"/>
      <c r="CC55" s="211"/>
      <c r="CD55" s="211"/>
      <c r="CE55" s="211"/>
      <c r="CF55" s="211"/>
      <c r="CG55" s="211"/>
      <c r="CH55" s="211"/>
      <c r="CI55" s="211"/>
      <c r="CJ55" s="62"/>
    </row>
    <row r="56" s="61" customFormat="1" ht="16" customHeight="1" spans="1:88">
      <c r="A56" s="269" t="s">
        <v>385</v>
      </c>
      <c r="B56" s="270"/>
      <c r="C56" s="77">
        <f>N37*初始化表!B23/4</f>
        <v>0</v>
      </c>
      <c r="D56" s="79" t="e">
        <f>D49+C56</f>
        <v>#DIV/0!</v>
      </c>
      <c r="E56" s="79"/>
      <c r="F56" s="79" t="e">
        <f t="shared" si="76"/>
        <v>#DIV/0!</v>
      </c>
      <c r="G56" s="73"/>
      <c r="H56" s="269" t="s">
        <v>665</v>
      </c>
      <c r="I56" s="77">
        <f>SUM(B17:E17)+Z5-SUM(B12:E12)</f>
        <v>0</v>
      </c>
      <c r="J56" s="77">
        <f>SUM(B18:E18)+Z6-SUM(B13:E13)</f>
        <v>0</v>
      </c>
      <c r="K56" s="77">
        <f>SUM(B19:E19)+Z7-SUM(B14:E14)</f>
        <v>0</v>
      </c>
      <c r="L56" s="77">
        <f>SUM(B20:E20)+Z8-SUM(B15:E15)</f>
        <v>0</v>
      </c>
      <c r="M56" s="85"/>
      <c r="N56" s="74"/>
      <c r="O56" s="74"/>
      <c r="P56" s="74"/>
      <c r="Q56" s="74"/>
      <c r="R56" s="74"/>
      <c r="S56" s="74"/>
      <c r="T56" s="120"/>
      <c r="U56" s="68" t="s">
        <v>466</v>
      </c>
      <c r="V56" s="77" t="e">
        <f t="shared" si="77"/>
        <v>#DIV/0!</v>
      </c>
      <c r="W56" s="77" t="e">
        <f t="shared" si="77"/>
        <v>#DIV/0!</v>
      </c>
      <c r="X56" s="77" t="e">
        <f t="shared" si="77"/>
        <v>#DIV/0!</v>
      </c>
      <c r="Y56" s="77" t="e">
        <f t="shared" si="77"/>
        <v>#DIV/0!</v>
      </c>
      <c r="Z56" s="74"/>
      <c r="AA56" s="73"/>
      <c r="AB56" s="74"/>
      <c r="AC56" s="74"/>
      <c r="AD56" s="74"/>
      <c r="AE56" s="74"/>
      <c r="AF56" s="74"/>
      <c r="AG56" s="74"/>
      <c r="AH56" s="73"/>
      <c r="AI56" s="439"/>
      <c r="AJ56" s="440"/>
      <c r="AK56" s="440"/>
      <c r="AL56" s="440"/>
      <c r="AM56" s="440"/>
      <c r="AN56" s="440"/>
      <c r="AO56" s="440"/>
      <c r="AP56" s="440"/>
      <c r="AQ56" s="440"/>
      <c r="AR56" s="440"/>
      <c r="AS56" s="440"/>
      <c r="AT56" s="440"/>
      <c r="AU56" s="440"/>
      <c r="AV56" s="440"/>
      <c r="AW56" s="440"/>
      <c r="AX56" s="440"/>
      <c r="AY56" s="440"/>
      <c r="AZ56" s="193"/>
      <c r="BA56" s="195">
        <f t="shared" si="78"/>
        <v>0</v>
      </c>
      <c r="BB56" s="205">
        <f>IF(BT7=1,AL109/(第2期!AP109/2+AP109),0)</f>
        <v>0</v>
      </c>
      <c r="BC56" s="203"/>
      <c r="BD56" s="194">
        <f t="shared" si="79"/>
        <v>0</v>
      </c>
      <c r="BE56" s="209" t="e">
        <f t="shared" si="80"/>
        <v>#DIV/0!</v>
      </c>
      <c r="BF56" s="209" t="e">
        <f t="shared" si="80"/>
        <v>#DIV/0!</v>
      </c>
      <c r="BG56" s="209" t="e">
        <f t="shared" si="80"/>
        <v>#DIV/0!</v>
      </c>
      <c r="BH56" s="209" t="e">
        <f t="shared" si="81"/>
        <v>#DIV/0!</v>
      </c>
      <c r="BI56" s="203"/>
      <c r="BJ56" s="203"/>
      <c r="BK56" s="203"/>
      <c r="BL56" s="203"/>
      <c r="BM56" s="203"/>
      <c r="BN56" s="203"/>
      <c r="BO56" s="203"/>
      <c r="BP56" s="203"/>
      <c r="BQ56" s="203"/>
      <c r="BR56" s="211"/>
      <c r="BS56" s="211"/>
      <c r="BT56" s="211"/>
      <c r="BU56" s="211"/>
      <c r="BV56" s="211"/>
      <c r="BW56" s="211"/>
      <c r="BX56" s="211"/>
      <c r="BY56" s="211"/>
      <c r="BZ56" s="211"/>
      <c r="CA56" s="211"/>
      <c r="CB56" s="211"/>
      <c r="CC56" s="211"/>
      <c r="CD56" s="211"/>
      <c r="CE56" s="211"/>
      <c r="CF56" s="211"/>
      <c r="CG56" s="211"/>
      <c r="CH56" s="211"/>
      <c r="CI56" s="211"/>
      <c r="CJ56" s="62"/>
    </row>
    <row r="57" s="61" customFormat="1" ht="16" customHeight="1" spans="1:88">
      <c r="A57" s="269" t="s">
        <v>386</v>
      </c>
      <c r="B57" s="270"/>
      <c r="C57" s="77">
        <f>-B24</f>
        <v>0</v>
      </c>
      <c r="D57" s="79"/>
      <c r="E57" s="79"/>
      <c r="F57" s="79" t="e">
        <f t="shared" si="76"/>
        <v>#DIV/0!</v>
      </c>
      <c r="G57" s="73"/>
      <c r="H57" s="269" t="s">
        <v>680</v>
      </c>
      <c r="I57" s="269" t="s">
        <v>513</v>
      </c>
      <c r="J57" s="269" t="s">
        <v>514</v>
      </c>
      <c r="K57" s="269" t="s">
        <v>515</v>
      </c>
      <c r="L57" s="269" t="s">
        <v>516</v>
      </c>
      <c r="M57" s="85"/>
      <c r="N57" s="74"/>
      <c r="O57" s="74"/>
      <c r="P57" s="74"/>
      <c r="Q57" s="74"/>
      <c r="R57" s="74"/>
      <c r="S57" s="74"/>
      <c r="T57" s="120"/>
      <c r="U57" s="68" t="s">
        <v>468</v>
      </c>
      <c r="V57" s="77" t="e">
        <f t="shared" si="77"/>
        <v>#DIV/0!</v>
      </c>
      <c r="W57" s="77" t="e">
        <f t="shared" si="77"/>
        <v>#DIV/0!</v>
      </c>
      <c r="X57" s="77" t="e">
        <f t="shared" si="77"/>
        <v>#DIV/0!</v>
      </c>
      <c r="Y57" s="77" t="e">
        <f t="shared" si="77"/>
        <v>#DIV/0!</v>
      </c>
      <c r="Z57" s="74"/>
      <c r="AA57" s="73"/>
      <c r="AB57" s="74"/>
      <c r="AC57" s="74"/>
      <c r="AD57" s="74"/>
      <c r="AE57" s="74"/>
      <c r="AF57" s="74"/>
      <c r="AG57" s="74"/>
      <c r="AH57" s="73"/>
      <c r="AI57" s="179" t="s">
        <v>681</v>
      </c>
      <c r="AJ57" s="180">
        <f>IF(AJ37="",0,SUM(AJ37:AJ56)/TEXT(COUNTA(AJ37:AJ56),"0;;"))</f>
        <v>0</v>
      </c>
      <c r="AK57" s="180">
        <f t="shared" ref="AK57:AY57" si="82">IF(AK37="",0,SUM(AK37:AK56)/TEXT(COUNTA(AK37:AK56),"0;;"))</f>
        <v>0</v>
      </c>
      <c r="AL57" s="180">
        <f t="shared" si="82"/>
        <v>0</v>
      </c>
      <c r="AM57" s="180">
        <f t="shared" si="82"/>
        <v>0</v>
      </c>
      <c r="AN57" s="180">
        <f t="shared" si="82"/>
        <v>0</v>
      </c>
      <c r="AO57" s="180">
        <f t="shared" si="82"/>
        <v>0</v>
      </c>
      <c r="AP57" s="180">
        <f t="shared" si="82"/>
        <v>0</v>
      </c>
      <c r="AQ57" s="180">
        <f t="shared" si="82"/>
        <v>0</v>
      </c>
      <c r="AR57" s="180">
        <f t="shared" si="82"/>
        <v>0</v>
      </c>
      <c r="AS57" s="180">
        <f t="shared" si="82"/>
        <v>0</v>
      </c>
      <c r="AT57" s="180">
        <f t="shared" si="82"/>
        <v>0</v>
      </c>
      <c r="AU57" s="180">
        <f t="shared" si="82"/>
        <v>0</v>
      </c>
      <c r="AV57" s="180">
        <f t="shared" si="82"/>
        <v>0</v>
      </c>
      <c r="AW57" s="180">
        <f t="shared" si="82"/>
        <v>0</v>
      </c>
      <c r="AX57" s="180">
        <f t="shared" si="82"/>
        <v>0</v>
      </c>
      <c r="AY57" s="180">
        <f t="shared" si="82"/>
        <v>0</v>
      </c>
      <c r="AZ57" s="193"/>
      <c r="BA57" s="195">
        <f t="shared" si="78"/>
        <v>0</v>
      </c>
      <c r="BB57" s="205">
        <f>IF(BT8=1,AL110/(第2期!AP110/2+AP110),0)</f>
        <v>0</v>
      </c>
      <c r="BC57" s="203"/>
      <c r="BD57" s="194">
        <f t="shared" si="79"/>
        <v>0</v>
      </c>
      <c r="BE57" s="209" t="e">
        <f t="shared" si="80"/>
        <v>#DIV/0!</v>
      </c>
      <c r="BF57" s="209" t="e">
        <f t="shared" si="80"/>
        <v>#DIV/0!</v>
      </c>
      <c r="BG57" s="209" t="e">
        <f t="shared" si="80"/>
        <v>#DIV/0!</v>
      </c>
      <c r="BH57" s="209" t="e">
        <f t="shared" si="81"/>
        <v>#DIV/0!</v>
      </c>
      <c r="BI57" s="203"/>
      <c r="BJ57" s="203"/>
      <c r="BK57" s="203"/>
      <c r="BL57" s="203"/>
      <c r="BM57" s="203"/>
      <c r="BN57" s="203"/>
      <c r="BO57" s="203"/>
      <c r="BP57" s="203"/>
      <c r="BQ57" s="203"/>
      <c r="BR57" s="211"/>
      <c r="BS57" s="211"/>
      <c r="BT57" s="211"/>
      <c r="BU57" s="211"/>
      <c r="BV57" s="211"/>
      <c r="BW57" s="211"/>
      <c r="BX57" s="211"/>
      <c r="BY57" s="211"/>
      <c r="BZ57" s="211"/>
      <c r="CA57" s="211"/>
      <c r="CB57" s="211"/>
      <c r="CC57" s="211"/>
      <c r="CD57" s="211"/>
      <c r="CE57" s="211"/>
      <c r="CF57" s="211"/>
      <c r="CG57" s="211"/>
      <c r="CH57" s="211"/>
      <c r="CI57" s="211"/>
      <c r="CJ57" s="62"/>
    </row>
    <row r="58" s="61" customFormat="1" ht="16" customHeight="1" spans="1:88">
      <c r="A58" s="269" t="s">
        <v>387</v>
      </c>
      <c r="B58" s="270"/>
      <c r="C58" s="77">
        <f>-B24*初始化表!B22/4</f>
        <v>0</v>
      </c>
      <c r="D58" s="79"/>
      <c r="E58" s="79" t="e">
        <f>E54-C58</f>
        <v>#DIV/0!</v>
      </c>
      <c r="F58" s="79" t="e">
        <f t="shared" si="76"/>
        <v>#DIV/0!</v>
      </c>
      <c r="G58" s="73"/>
      <c r="H58" s="269" t="s">
        <v>521</v>
      </c>
      <c r="I58" s="77">
        <f>INT(IF($F$24=1,IF(MOD(($I52+SUM($V5:$Y5)-SUM($V11:$Y11))*I47/SUM($I47:$L47)-V5+V11-9,20)&gt;11,(($I52+SUM($V5:$Y5)-SUM($V11:$Y11))*I47/SUM($I47:$L47)-V5+V11),(($I52+SUM($V5:$Y5)-SUM($V11:$Y11))*I47/SUM($I47:$L47)-V5+V11)-MOD(($I52+SUM($V5:$Y5)-SUM($V11:$Y11))*I47/SUM($I47:$L47)-V5+V11-9,20)),($I52+SUM($V5:$Y5)-SUM($V11:$Y11))*I47/SUM($I47:$L47)-V5+V11))</f>
        <v>-11</v>
      </c>
      <c r="J58" s="77">
        <f>INT(IF($F$24=1,IF(MOD(($I52+SUM($V5:$Y5)-SUM($V11:$Y11))*J47/SUM($I47:$L47)-W5+W11-9,20)&gt;11,(($I52+SUM($V5:$Y5)-SUM($V11:$Y11))*J47/SUM($I47:$L47)-W5+W11),(($I52+SUM($V5:$Y5)-SUM($V11:$Y11))*J47/SUM($I47:$L47)-W5+W11)-MOD(($I52+SUM($V5:$Y5)-SUM($V11:$Y11))*J47/SUM($I47:$L47)-W5+W11-9,20)),($I52+SUM($V5:$Y5)-SUM($V11:$Y11))*J47/SUM($I47:$L47)-W5+W11))</f>
        <v>-11</v>
      </c>
      <c r="K58" s="77">
        <f>INT(IF($F$24=1,IF(MOD(($I52+SUM($V5:$Y5)-SUM($V11:$Y11))*K47/SUM($I47:$L47)-X5+X11-9,20)&gt;11,(($I52+SUM($V5:$Y5)-SUM($V11:$Y11))*K47/SUM($I47:$L47)-X5+X11),(($I52+SUM($V5:$Y5)-SUM($V11:$Y11))*K47/SUM($I47:$L47)-X5+X11)-MOD(($I52+SUM($V5:$Y5)-SUM($V11:$Y11))*K47/SUM($I47:$L47)-X5+X11-9,20)),($I52+SUM($V5:$Y5)-SUM($V11:$Y11))*K47/SUM($I47:$L47)-X5+X11))</f>
        <v>-11</v>
      </c>
      <c r="L58" s="77">
        <f>INT(IF($F$24=1,IF(MOD(($I52+SUM($V5:$Y5)-SUM($V11:$Y11))*L47/SUM($I47:$L47)-Y5+Y11-9,20)&gt;11,(($I52+SUM($V5:$Y5)-SUM($V11:$Y11))*L47/SUM($I47:$L47)-Y5+Y11),(($I52+SUM($V5:$Y5)-SUM($V11:$Y11))*L47/SUM($I47:$L47)-Y5+Y11)-MOD(($I52+SUM($V5:$Y5)-SUM($V11:$Y11))*L47/SUM($I47:$L47)-Y5+Y11-9,20)),($I52+SUM($V5:$Y5)-SUM($V11:$Y11))*L47/SUM($I47:$L47)-Y5+Y11))</f>
        <v>-11</v>
      </c>
      <c r="M58" s="85"/>
      <c r="N58" s="74"/>
      <c r="O58" s="74"/>
      <c r="P58" s="74"/>
      <c r="Q58" s="74"/>
      <c r="R58" s="74"/>
      <c r="S58" s="74"/>
      <c r="T58" s="120"/>
      <c r="U58" s="396"/>
      <c r="V58" s="90"/>
      <c r="W58" s="90"/>
      <c r="X58" s="90"/>
      <c r="Y58" s="90"/>
      <c r="Z58" s="74"/>
      <c r="AA58" s="73"/>
      <c r="AB58" s="74"/>
      <c r="AC58" s="74"/>
      <c r="AD58" s="74"/>
      <c r="AE58" s="74"/>
      <c r="AF58" s="74"/>
      <c r="AG58" s="74"/>
      <c r="AH58" s="73"/>
      <c r="AI58" s="68" t="s">
        <v>481</v>
      </c>
      <c r="AJ58" s="69"/>
      <c r="AK58" s="69"/>
      <c r="AL58" s="69"/>
      <c r="AM58" s="69"/>
      <c r="AN58" s="69"/>
      <c r="AO58" s="69"/>
      <c r="AP58" s="69"/>
      <c r="AQ58" s="69"/>
      <c r="AR58" s="69"/>
      <c r="AS58" s="69"/>
      <c r="AT58" s="69"/>
      <c r="AU58" s="69"/>
      <c r="AV58" s="69"/>
      <c r="AW58" s="69"/>
      <c r="AX58" s="69"/>
      <c r="AY58" s="69"/>
      <c r="AZ58" s="193"/>
      <c r="BA58" s="195">
        <f t="shared" si="78"/>
        <v>0</v>
      </c>
      <c r="BB58" s="205">
        <f>IF(BT9=1,AL111/(第2期!AP111/2+AP111),0)</f>
        <v>0</v>
      </c>
      <c r="BC58" s="203"/>
      <c r="BD58" s="194">
        <f t="shared" si="79"/>
        <v>0</v>
      </c>
      <c r="BE58" s="209" t="e">
        <f t="shared" si="80"/>
        <v>#DIV/0!</v>
      </c>
      <c r="BF58" s="209" t="e">
        <f t="shared" si="80"/>
        <v>#DIV/0!</v>
      </c>
      <c r="BG58" s="209" t="e">
        <f t="shared" si="80"/>
        <v>#DIV/0!</v>
      </c>
      <c r="BH58" s="209" t="e">
        <f t="shared" si="81"/>
        <v>#DIV/0!</v>
      </c>
      <c r="BI58" s="203"/>
      <c r="BJ58" s="203"/>
      <c r="BK58" s="203"/>
      <c r="BL58" s="203"/>
      <c r="BM58" s="203"/>
      <c r="BN58" s="203"/>
      <c r="BO58" s="203"/>
      <c r="BP58" s="203"/>
      <c r="BQ58" s="203"/>
      <c r="BR58" s="211"/>
      <c r="BS58" s="211"/>
      <c r="BT58" s="211"/>
      <c r="BU58" s="211"/>
      <c r="BV58" s="211"/>
      <c r="BW58" s="211"/>
      <c r="BX58" s="211"/>
      <c r="BY58" s="211"/>
      <c r="BZ58" s="211"/>
      <c r="CA58" s="211"/>
      <c r="CB58" s="211"/>
      <c r="CC58" s="211"/>
      <c r="CD58" s="211"/>
      <c r="CE58" s="211"/>
      <c r="CF58" s="211"/>
      <c r="CG58" s="211"/>
      <c r="CH58" s="211"/>
      <c r="CI58" s="211"/>
      <c r="CJ58" s="62"/>
    </row>
    <row r="59" s="61" customFormat="1" ht="16" customHeight="1" spans="1:88">
      <c r="A59" s="269" t="s">
        <v>388</v>
      </c>
      <c r="B59" s="270"/>
      <c r="C59" s="77" t="e">
        <f>-R33</f>
        <v>#DIV/0!</v>
      </c>
      <c r="D59" s="79"/>
      <c r="E59" s="79"/>
      <c r="F59" s="79" t="e">
        <f t="shared" si="76"/>
        <v>#DIV/0!</v>
      </c>
      <c r="G59" s="73"/>
      <c r="H59" s="269" t="s">
        <v>522</v>
      </c>
      <c r="I59" s="77">
        <f>INT(IF($F$24=1,IF(MOD(($J52+SUM($V6:$Y6)-SUM($V12:$Y12))*I48/SUM($I48:$L48)-V6+V12-9,20)&gt;11,(($J52+SUM($V6:$Y6)-SUM($V12:$Y12))*I48/SUM($I48:$L48)-V6+V12),(($J52+SUM($V6:$Y6)-SUM($V12:$Y12))*I48/SUM($I48:$L48)-V6+V12)-MOD(($J52+SUM($V6:$Y6)-SUM($V12:$Y12))*I48/SUM($I48:$L48)-V6+V12-9,20)),($J52+SUM($V6:$Y6)-SUM($V12:$Y12))*I48/SUM($I48:$L48)-V6+V12))</f>
        <v>-11</v>
      </c>
      <c r="J59" s="77">
        <f>INT(IF($F$24=1,IF(MOD(($J52+SUM($V6:$Y6)-SUM($V12:$Y12))*J48/SUM($I48:$L48)-W6+W12-9,20)&gt;11,(($J52+SUM($V6:$Y6)-SUM($V12:$Y12))*J48/SUM($I48:$L48)-W6+W12),(($J52+SUM($V6:$Y6)-SUM($V12:$Y12))*J48/SUM($I48:$L48)-W6+W12)-MOD(($J52+SUM($V6:$Y6)-SUM($V12:$Y12))*J48/SUM($I48:$L48)-W6+W12-9,20)),($J52+SUM($V6:$Y6)-SUM($V12:$Y12))*J48/SUM($I48:$L48)-W6+W12))</f>
        <v>-11</v>
      </c>
      <c r="K59" s="77">
        <f>INT(IF($F$24=1,IF(MOD(($J52+SUM($V6:$Y6)-SUM($V12:$Y12))*K48/SUM($I48:$L48)-X6+X12-9,20)&gt;11,(($J52+SUM($V6:$Y6)-SUM($V12:$Y12))*K48/SUM($I48:$L48)-X6+X12),(($J52+SUM($V6:$Y6)-SUM($V12:$Y12))*K48/SUM($I48:$L48)-X6+X12)-MOD(($J52+SUM($V6:$Y6)-SUM($V12:$Y12))*K48/SUM($I48:$L48)-X6+X12-9,20)),($J52+SUM($V6:$Y6)-SUM($V12:$Y12))*K48/SUM($I48:$L48)-X6+X12))</f>
        <v>-11</v>
      </c>
      <c r="L59" s="77">
        <f>INT(IF($F$24=1,IF(MOD(($J52+SUM($V6:$Y6)-SUM($V12:$Y12))*L48/SUM($I48:$L48)-Y6+Y12-9,20)&gt;11,(($J52+SUM($V6:$Y6)-SUM($V12:$Y12))*L48/SUM($I48:$L48)-Y6+Y12),(($J52+SUM($V6:$Y6)-SUM($V12:$Y12))*L48/SUM($I48:$L48)-Y6+Y12)-MOD(($J52+SUM($V6:$Y6)-SUM($V12:$Y12))*L48/SUM($I48:$L48)-Y6+Y12-9,20)),($J52+SUM($V6:$Y6)-SUM($V12:$Y12))*L48/SUM($I48:$L48)-Y6+Y12))</f>
        <v>-11</v>
      </c>
      <c r="M59" s="85"/>
      <c r="N59" s="74"/>
      <c r="O59" s="74"/>
      <c r="P59" s="74"/>
      <c r="Q59" s="74"/>
      <c r="R59" s="74"/>
      <c r="S59" s="74"/>
      <c r="T59" s="120"/>
      <c r="U59" s="68" t="s">
        <v>682</v>
      </c>
      <c r="V59" s="68" t="s">
        <v>38</v>
      </c>
      <c r="W59" s="68" t="s">
        <v>39</v>
      </c>
      <c r="X59" s="68" t="s">
        <v>40</v>
      </c>
      <c r="Y59" s="68" t="s">
        <v>41</v>
      </c>
      <c r="Z59" s="74"/>
      <c r="AA59" s="73"/>
      <c r="AB59" s="74"/>
      <c r="AC59" s="74"/>
      <c r="AD59" s="74"/>
      <c r="AE59" s="74"/>
      <c r="AF59" s="74"/>
      <c r="AG59" s="74"/>
      <c r="AH59" s="73"/>
      <c r="AI59" s="68" t="s">
        <v>37</v>
      </c>
      <c r="AJ59" s="68" t="s">
        <v>35</v>
      </c>
      <c r="AK59" s="69"/>
      <c r="AL59" s="69"/>
      <c r="AM59" s="69"/>
      <c r="AN59" s="68" t="s">
        <v>465</v>
      </c>
      <c r="AO59" s="69"/>
      <c r="AP59" s="69"/>
      <c r="AQ59" s="69"/>
      <c r="AR59" s="68" t="s">
        <v>466</v>
      </c>
      <c r="AS59" s="69"/>
      <c r="AT59" s="69"/>
      <c r="AU59" s="69"/>
      <c r="AV59" s="68" t="s">
        <v>468</v>
      </c>
      <c r="AW59" s="69"/>
      <c r="AX59" s="69"/>
      <c r="AY59" s="69"/>
      <c r="AZ59" s="193"/>
      <c r="BA59" s="195">
        <f t="shared" si="78"/>
        <v>0</v>
      </c>
      <c r="BB59" s="205">
        <f>IF(BT10=1,AL112/(第2期!AP112/2+AP112),0)</f>
        <v>0</v>
      </c>
      <c r="BC59" s="203"/>
      <c r="BD59" s="194">
        <f t="shared" si="79"/>
        <v>0</v>
      </c>
      <c r="BE59" s="209" t="e">
        <f t="shared" si="80"/>
        <v>#DIV/0!</v>
      </c>
      <c r="BF59" s="209" t="e">
        <f t="shared" si="80"/>
        <v>#DIV/0!</v>
      </c>
      <c r="BG59" s="209" t="e">
        <f t="shared" si="80"/>
        <v>#DIV/0!</v>
      </c>
      <c r="BH59" s="209" t="e">
        <f t="shared" si="81"/>
        <v>#DIV/0!</v>
      </c>
      <c r="BI59" s="203"/>
      <c r="BJ59" s="203"/>
      <c r="BK59" s="203"/>
      <c r="BL59" s="203"/>
      <c r="BM59" s="203"/>
      <c r="BN59" s="203"/>
      <c r="BO59" s="203"/>
      <c r="BP59" s="203"/>
      <c r="BQ59" s="203"/>
      <c r="BR59" s="211"/>
      <c r="BS59" s="211"/>
      <c r="BT59" s="211"/>
      <c r="BU59" s="211"/>
      <c r="BV59" s="211"/>
      <c r="BW59" s="211"/>
      <c r="BX59" s="211"/>
      <c r="BY59" s="211"/>
      <c r="BZ59" s="211"/>
      <c r="CA59" s="211"/>
      <c r="CB59" s="211"/>
      <c r="CC59" s="211"/>
      <c r="CD59" s="211"/>
      <c r="CE59" s="211"/>
      <c r="CF59" s="211"/>
      <c r="CG59" s="211"/>
      <c r="CH59" s="211"/>
      <c r="CI59" s="211"/>
      <c r="CJ59" s="62"/>
    </row>
    <row r="60" s="61" customFormat="1" ht="16" customHeight="1" spans="1:88">
      <c r="A60" s="269" t="s">
        <v>389</v>
      </c>
      <c r="B60" s="270"/>
      <c r="C60" s="77" t="e">
        <f>C59*0.1</f>
        <v>#DIV/0!</v>
      </c>
      <c r="D60" s="79"/>
      <c r="E60" s="79" t="e">
        <f>E58-C60</f>
        <v>#DIV/0!</v>
      </c>
      <c r="F60" s="79" t="e">
        <f t="shared" si="76"/>
        <v>#DIV/0!</v>
      </c>
      <c r="G60" s="73"/>
      <c r="H60" s="269" t="s">
        <v>523</v>
      </c>
      <c r="I60" s="77">
        <f>INT(IF($F$24=1,IF(MOD(($K52+SUM($V7:$Y7)-SUM($V13:$Y13))*I49/SUM($I49:$L49)-V7+V13-9,20)&gt;11,(($K52+SUM($V7:$Y7)-SUM($V13:$Y13))*I49/SUM($I49:$L49)-V7+V13),(($K52+SUM($V7:$Y7)-SUM($V13:$Y13))*I49/SUM($I49:$L49)-V7+V13)-MOD(($K52+SUM($V7:$Y7)-SUM($V13:$Y13))*I49/SUM($I49:$L49)-V7+V13-9,20)),($K52+SUM($V7:$Y7)-SUM($V13:$Y13))*I49/SUM($I49:$L49)-V7+V13))</f>
        <v>-11</v>
      </c>
      <c r="J60" s="77">
        <f>INT(IF($F$24=1,IF(MOD(($K52+SUM($V7:$Y7)-SUM($V13:$Y13))*J49/SUM($I49:$L49)-W7+W13-9,20)&gt;11,(($K52+SUM($V7:$Y7)-SUM($V13:$Y13))*J49/SUM($I49:$L49)-W7+W13),(($K52+SUM($V7:$Y7)-SUM($V13:$Y13))*J49/SUM($I49:$L49)-W7+W13)-MOD(($K52+SUM($V7:$Y7)-SUM($V13:$Y13))*J49/SUM($I49:$L49)-W7+W13-9,20)),($K52+SUM($V7:$Y7)-SUM($V13:$Y13))*J49/SUM($I49:$L49)-W7+W13))</f>
        <v>-11</v>
      </c>
      <c r="K60" s="77">
        <f>INT(IF($F$24=1,IF(MOD(($K52+SUM($V7:$Y7)-SUM($V13:$Y13))*K49/SUM($I49:$L49)-X7+X13-9,20)&gt;11,(($K52+SUM($V7:$Y7)-SUM($V13:$Y13))*K49/SUM($I49:$L49)-X7+X13),(($K52+SUM($V7:$Y7)-SUM($V13:$Y13))*K49/SUM($I49:$L49)-X7+X13)-MOD(($K52+SUM($V7:$Y7)-SUM($V13:$Y13))*K49/SUM($I49:$L49)-X7+X13-9,20)),($K52+SUM($V7:$Y7)-SUM($V13:$Y13))*K49/SUM($I49:$L49)-X7+X13))</f>
        <v>-11</v>
      </c>
      <c r="L60" s="77">
        <f>INT(IF($F$24=1,IF(MOD(($K52+SUM($V7:$Y7)-SUM($V13:$Y13))*L49/SUM($I49:$L49)-Y7+Y13-9,20)&gt;11,(($K52+SUM($V7:$Y7)-SUM($V13:$Y13))*L49/SUM($I49:$L49)-Y7+Y13),(($K52+SUM($V7:$Y7)-SUM($V13:$Y13))*L49/SUM($I49:$L49)-Y7+Y13)-MOD(($K52+SUM($V7:$Y7)-SUM($V13:$Y13))*L49/SUM($I49:$L49)-Y7+Y13-9,20)),($K52+SUM($V7:$Y7)-SUM($V13:$Y13))*L49/SUM($I49:$L49)-Y7+Y13))</f>
        <v>-11</v>
      </c>
      <c r="M60" s="85"/>
      <c r="N60" s="74"/>
      <c r="O60" s="74"/>
      <c r="P60" s="74"/>
      <c r="Q60" s="74"/>
      <c r="R60" s="74"/>
      <c r="S60" s="74"/>
      <c r="T60" s="120"/>
      <c r="U60" s="68" t="s">
        <v>464</v>
      </c>
      <c r="V60" s="77" t="e">
        <f>IF(V48&gt;V42,INT((V48-V42)*初始化表!E11),0)</f>
        <v>#DIV/0!</v>
      </c>
      <c r="W60" s="77" t="e">
        <f>IF(W48&gt;W42,INT((W48-W42)*初始化表!F11),0)</f>
        <v>#DIV/0!</v>
      </c>
      <c r="X60" s="77" t="e">
        <f>IF(X48&gt;X42,INT((X48-X42)*初始化表!G11),0)</f>
        <v>#DIV/0!</v>
      </c>
      <c r="Y60" s="77" t="e">
        <f>IF(Y48&gt;Y42,INT((Y48-Y42)*初始化表!H11),0)</f>
        <v>#DIV/0!</v>
      </c>
      <c r="Z60" s="74"/>
      <c r="AA60" s="73"/>
      <c r="AB60" s="74"/>
      <c r="AC60" s="74"/>
      <c r="AD60" s="74"/>
      <c r="AE60" s="74"/>
      <c r="AF60" s="74"/>
      <c r="AG60" s="74"/>
      <c r="AH60" s="73"/>
      <c r="AI60" s="69"/>
      <c r="AJ60" s="68" t="s">
        <v>320</v>
      </c>
      <c r="AK60" s="68" t="s">
        <v>321</v>
      </c>
      <c r="AL60" s="68" t="s">
        <v>322</v>
      </c>
      <c r="AM60" s="68" t="s">
        <v>319</v>
      </c>
      <c r="AN60" s="68" t="s">
        <v>320</v>
      </c>
      <c r="AO60" s="68" t="s">
        <v>321</v>
      </c>
      <c r="AP60" s="68" t="s">
        <v>322</v>
      </c>
      <c r="AQ60" s="68" t="s">
        <v>319</v>
      </c>
      <c r="AR60" s="68" t="s">
        <v>320</v>
      </c>
      <c r="AS60" s="68" t="s">
        <v>321</v>
      </c>
      <c r="AT60" s="68" t="s">
        <v>322</v>
      </c>
      <c r="AU60" s="68" t="s">
        <v>319</v>
      </c>
      <c r="AV60" s="68" t="s">
        <v>320</v>
      </c>
      <c r="AW60" s="68" t="s">
        <v>321</v>
      </c>
      <c r="AX60" s="68" t="s">
        <v>322</v>
      </c>
      <c r="AY60" s="68" t="s">
        <v>41</v>
      </c>
      <c r="AZ60" s="193"/>
      <c r="BA60" s="195">
        <f t="shared" si="78"/>
        <v>0</v>
      </c>
      <c r="BB60" s="205">
        <f>IF(BT11=1,AL113/(第2期!AP113/2+AP113),0)</f>
        <v>0</v>
      </c>
      <c r="BC60" s="203"/>
      <c r="BD60" s="194">
        <f t="shared" si="79"/>
        <v>0</v>
      </c>
      <c r="BE60" s="209" t="e">
        <f t="shared" si="80"/>
        <v>#DIV/0!</v>
      </c>
      <c r="BF60" s="209" t="e">
        <f t="shared" si="80"/>
        <v>#DIV/0!</v>
      </c>
      <c r="BG60" s="209" t="e">
        <f t="shared" si="80"/>
        <v>#DIV/0!</v>
      </c>
      <c r="BH60" s="209" t="e">
        <f t="shared" si="81"/>
        <v>#DIV/0!</v>
      </c>
      <c r="BI60" s="203"/>
      <c r="BJ60" s="203"/>
      <c r="BK60" s="203"/>
      <c r="BL60" s="203"/>
      <c r="BM60" s="203"/>
      <c r="BN60" s="203"/>
      <c r="BO60" s="203"/>
      <c r="BP60" s="203"/>
      <c r="BQ60" s="203"/>
      <c r="BR60" s="211"/>
      <c r="BS60" s="211"/>
      <c r="BT60" s="211"/>
      <c r="BU60" s="211"/>
      <c r="BV60" s="211"/>
      <c r="BW60" s="211"/>
      <c r="BX60" s="211"/>
      <c r="BY60" s="211"/>
      <c r="BZ60" s="211"/>
      <c r="CA60" s="211"/>
      <c r="CB60" s="211"/>
      <c r="CC60" s="211"/>
      <c r="CD60" s="211"/>
      <c r="CE60" s="211"/>
      <c r="CF60" s="211"/>
      <c r="CG60" s="211"/>
      <c r="CH60" s="211"/>
      <c r="CI60" s="211"/>
      <c r="CJ60" s="62"/>
    </row>
    <row r="61" s="61" customFormat="1" ht="16" customHeight="1" spans="1:88">
      <c r="A61" s="269" t="s">
        <v>684</v>
      </c>
      <c r="B61" s="270"/>
      <c r="C61" s="77" t="e">
        <f>-IF(F77*初始化表!B25&gt;-第2期!F80,F77*初始化表!B25+第2期!F80,0)</f>
        <v>#DIV/0!</v>
      </c>
      <c r="D61" s="79"/>
      <c r="E61" s="79"/>
      <c r="F61" s="79" t="e">
        <f t="shared" si="76"/>
        <v>#DIV/0!</v>
      </c>
      <c r="G61" s="73"/>
      <c r="H61" s="269" t="s">
        <v>524</v>
      </c>
      <c r="I61" s="77">
        <f>INT(IF($F$24=1,IF(MOD(($L52+SUM($V8:$Y8)-SUM($V14:$Y14))*I50/SUM($I50:$L50)-V8+V14-9,20)&gt;11,(($L52+SUM($V8:$Y8)-SUM($V14:$Y14))*I50/SUM($I50:$L50)-V8+V14),(($L52+SUM($V8:$Y8)-SUM($V14:$Y14))*I50/SUM($I50:$L50)-V8+V14)-MOD(($L52+SUM($V8:$Y8)-SUM($V14:$Y14))*I50/SUM($I50:$L50)-V8+V14-9,20)),($L52+SUM($V8:$Y8)-SUM($V14:$Y14))*I50/SUM($I50:$L50)-V8+V14))</f>
        <v>-11</v>
      </c>
      <c r="J61" s="77">
        <f>INT(IF($F$24=1,IF(MOD(($L52+SUM($V8:$Y8)-SUM($V14:$Y14))*J50/SUM($I50:$L50)-W8+W14-9,20)&gt;11,(($L52+SUM($V8:$Y8)-SUM($V14:$Y14))*J50/SUM($I50:$L50)-W8+W14),(($L52+SUM($V8:$Y8)-SUM($V14:$Y14))*J50/SUM($I50:$L50)-W8+W14)-MOD(($L52+SUM($V8:$Y8)-SUM($V14:$Y14))*J50/SUM($I50:$L50)-W8+W14-9,20)),($L52+SUM($V8:$Y8)-SUM($V14:$Y14))*J50/SUM($I50:$L50)-W8+W14))</f>
        <v>-11</v>
      </c>
      <c r="K61" s="77">
        <f>INT(IF($F$24=1,IF(MOD(($L52+SUM($V8:$Y8)-SUM($V14:$Y14))*K50/SUM($I50:$L50)-X8+X14-9,20)&gt;11,(($L52+SUM($V8:$Y8)-SUM($V14:$Y14))*K50/SUM($I50:$L50)-X8+X14),(($L52+SUM($V8:$Y8)-SUM($V14:$Y14))*K50/SUM($I50:$L50)-X8+X14)-MOD(($L52+SUM($V8:$Y8)-SUM($V14:$Y14))*K50/SUM($I50:$L50)-X8+X14-9,20)),($L52+SUM($V8:$Y8)-SUM($V14:$Y14))*K50/SUM($I50:$L50)-X8+X14))</f>
        <v>-11</v>
      </c>
      <c r="L61" s="77">
        <f>INT(IF($F$24=1,IF(MOD(($L52+SUM($V8:$Y8)-SUM($V14:$Y14))*L50/SUM($I50:$L50)-Y8+Y14-9,20)&gt;11,(($L52+SUM($V8:$Y8)-SUM($V14:$Y14))*L50/SUM($I50:$L50)-Y8+Y14),(($L52+SUM($V8:$Y8)-SUM($V14:$Y14))*L50/SUM($I50:$L50)-Y8+Y14)-MOD(($L52+SUM($V8:$Y8)-SUM($V14:$Y14))*L50/SUM($I50:$L50)-Y8+Y14-9,20)),($L52+SUM($V8:$Y8)-SUM($V14:$Y14))*L50/SUM($I50:$L50)-Y8+Y14))</f>
        <v>-11</v>
      </c>
      <c r="M61" s="85"/>
      <c r="N61" s="74"/>
      <c r="O61" s="74"/>
      <c r="P61" s="74"/>
      <c r="Q61" s="74"/>
      <c r="R61" s="74"/>
      <c r="S61" s="74"/>
      <c r="T61" s="120"/>
      <c r="U61" s="68" t="s">
        <v>465</v>
      </c>
      <c r="V61" s="77" t="e">
        <f>IF(V49&gt;V43,INT((V49-V43)*初始化表!E12),0)</f>
        <v>#DIV/0!</v>
      </c>
      <c r="W61" s="77" t="e">
        <f>IF(W49&gt;W43,INT((W49-W43)*初始化表!F12),0)</f>
        <v>#DIV/0!</v>
      </c>
      <c r="X61" s="77" t="e">
        <f>IF(X49&gt;X43,INT((X49-X43)*初始化表!G12),0)</f>
        <v>#DIV/0!</v>
      </c>
      <c r="Y61" s="77" t="e">
        <f>IF(Y49&gt;Y43,INT((Y49-Y43)*初始化表!H12),0)</f>
        <v>#DIV/0!</v>
      </c>
      <c r="Z61" s="74"/>
      <c r="AA61" s="73"/>
      <c r="AB61" s="74"/>
      <c r="AC61" s="74"/>
      <c r="AD61" s="74"/>
      <c r="AE61" s="74"/>
      <c r="AF61" s="74"/>
      <c r="AG61" s="74"/>
      <c r="AH61" s="73"/>
      <c r="AI61" s="367"/>
      <c r="AJ61" s="362"/>
      <c r="AK61" s="362"/>
      <c r="AL61" s="362"/>
      <c r="AM61" s="362"/>
      <c r="AN61" s="362"/>
      <c r="AO61" s="362"/>
      <c r="AP61" s="362"/>
      <c r="AQ61" s="362"/>
      <c r="AR61" s="362"/>
      <c r="AS61" s="362"/>
      <c r="AT61" s="362"/>
      <c r="AU61" s="362"/>
      <c r="AV61" s="362"/>
      <c r="AW61" s="362"/>
      <c r="AX61" s="362"/>
      <c r="AY61" s="362"/>
      <c r="AZ61" s="193"/>
      <c r="BA61" s="195">
        <f t="shared" si="78"/>
        <v>0</v>
      </c>
      <c r="BB61" s="205">
        <f>IF(BT12=1,AL114/(第2期!AP114/2+AP114),0)</f>
        <v>0</v>
      </c>
      <c r="BC61" s="203"/>
      <c r="BD61" s="194">
        <f t="shared" si="79"/>
        <v>0</v>
      </c>
      <c r="BE61" s="209" t="e">
        <f t="shared" si="80"/>
        <v>#DIV/0!</v>
      </c>
      <c r="BF61" s="209" t="e">
        <f t="shared" si="80"/>
        <v>#DIV/0!</v>
      </c>
      <c r="BG61" s="209" t="e">
        <f t="shared" si="80"/>
        <v>#DIV/0!</v>
      </c>
      <c r="BH61" s="209" t="e">
        <f t="shared" si="80"/>
        <v>#DIV/0!</v>
      </c>
      <c r="BI61" s="203"/>
      <c r="BJ61" s="203"/>
      <c r="BK61" s="203"/>
      <c r="BL61" s="203"/>
      <c r="BM61" s="203"/>
      <c r="BN61" s="203"/>
      <c r="BO61" s="203"/>
      <c r="BP61" s="203"/>
      <c r="BQ61" s="203"/>
      <c r="BR61" s="211"/>
      <c r="BS61" s="211"/>
      <c r="BT61" s="211"/>
      <c r="BU61" s="211"/>
      <c r="BV61" s="211"/>
      <c r="BW61" s="211"/>
      <c r="BX61" s="211"/>
      <c r="BY61" s="211"/>
      <c r="BZ61" s="211"/>
      <c r="CA61" s="211"/>
      <c r="CB61" s="211"/>
      <c r="CC61" s="211"/>
      <c r="CD61" s="211"/>
      <c r="CE61" s="211"/>
      <c r="CF61" s="211"/>
      <c r="CG61" s="211"/>
      <c r="CH61" s="211"/>
      <c r="CI61" s="211"/>
      <c r="CJ61" s="62"/>
    </row>
    <row r="62" s="61" customFormat="1" ht="16" customHeight="1" spans="1:88">
      <c r="A62" s="269" t="s">
        <v>306</v>
      </c>
      <c r="B62" s="270"/>
      <c r="C62" s="77">
        <f>-D22*初始化表!B8</f>
        <v>0</v>
      </c>
      <c r="D62" s="79"/>
      <c r="E62" s="79"/>
      <c r="F62" s="79" t="e">
        <f t="shared" si="76"/>
        <v>#DIV/0!</v>
      </c>
      <c r="G62" s="73"/>
      <c r="H62" s="269" t="s">
        <v>685</v>
      </c>
      <c r="I62" s="269" t="s">
        <v>513</v>
      </c>
      <c r="J62" s="269" t="s">
        <v>514</v>
      </c>
      <c r="K62" s="269" t="s">
        <v>515</v>
      </c>
      <c r="L62" s="269" t="s">
        <v>516</v>
      </c>
      <c r="M62" s="85"/>
      <c r="N62" s="74"/>
      <c r="O62" s="74"/>
      <c r="P62" s="74"/>
      <c r="Q62" s="74"/>
      <c r="R62" s="74"/>
      <c r="S62" s="74"/>
      <c r="T62" s="120"/>
      <c r="U62" s="68" t="s">
        <v>466</v>
      </c>
      <c r="V62" s="77" t="e">
        <f>IF(V50&gt;V44,INT((V50-V44)*初始化表!E13),0)</f>
        <v>#DIV/0!</v>
      </c>
      <c r="W62" s="77" t="e">
        <f>IF(W50&gt;W44,INT((W50-W44)*初始化表!F13),0)</f>
        <v>#DIV/0!</v>
      </c>
      <c r="X62" s="77" t="e">
        <f>IF(X50&gt;X44,INT((X50-X44)*初始化表!G13),0)</f>
        <v>#DIV/0!</v>
      </c>
      <c r="Y62" s="77" t="e">
        <f>IF(Y50&gt;Y44,INT((Y50-Y44)*初始化表!H13),0)</f>
        <v>#DIV/0!</v>
      </c>
      <c r="Z62" s="74"/>
      <c r="AA62" s="73"/>
      <c r="AB62" s="74"/>
      <c r="AC62" s="74"/>
      <c r="AD62" s="74"/>
      <c r="AE62" s="74"/>
      <c r="AF62" s="74"/>
      <c r="AG62" s="74"/>
      <c r="AH62" s="73"/>
      <c r="AI62" s="367"/>
      <c r="AJ62" s="362"/>
      <c r="AK62" s="362"/>
      <c r="AL62" s="362"/>
      <c r="AM62" s="362"/>
      <c r="AN62" s="362"/>
      <c r="AO62" s="362"/>
      <c r="AP62" s="362"/>
      <c r="AQ62" s="362"/>
      <c r="AR62" s="362"/>
      <c r="AS62" s="362"/>
      <c r="AT62" s="362"/>
      <c r="AU62" s="362"/>
      <c r="AV62" s="362"/>
      <c r="AW62" s="362"/>
      <c r="AX62" s="362"/>
      <c r="AY62" s="362"/>
      <c r="AZ62" s="193"/>
      <c r="BA62" s="195">
        <f t="shared" si="78"/>
        <v>0</v>
      </c>
      <c r="BB62" s="205">
        <f>IF(BT13=1,AL115/(第2期!AP115/2+AP115),0)</f>
        <v>0</v>
      </c>
      <c r="BC62" s="203"/>
      <c r="BD62" s="194">
        <f t="shared" si="79"/>
        <v>0</v>
      </c>
      <c r="BE62" s="209" t="e">
        <f t="shared" si="80"/>
        <v>#DIV/0!</v>
      </c>
      <c r="BF62" s="209" t="e">
        <f t="shared" si="80"/>
        <v>#DIV/0!</v>
      </c>
      <c r="BG62" s="209" t="e">
        <f t="shared" si="80"/>
        <v>#DIV/0!</v>
      </c>
      <c r="BH62" s="209" t="e">
        <f t="shared" si="80"/>
        <v>#DIV/0!</v>
      </c>
      <c r="BI62" s="203"/>
      <c r="BJ62" s="203"/>
      <c r="BK62" s="203"/>
      <c r="BL62" s="203"/>
      <c r="BM62" s="203"/>
      <c r="BN62" s="203"/>
      <c r="BO62" s="203"/>
      <c r="BP62" s="203"/>
      <c r="BQ62" s="203"/>
      <c r="BR62" s="211"/>
      <c r="BS62" s="211"/>
      <c r="BT62" s="211"/>
      <c r="BU62" s="211"/>
      <c r="BV62" s="211"/>
      <c r="BW62" s="211"/>
      <c r="BX62" s="211"/>
      <c r="BY62" s="211"/>
      <c r="BZ62" s="211"/>
      <c r="CA62" s="211"/>
      <c r="CB62" s="211"/>
      <c r="CC62" s="211"/>
      <c r="CD62" s="211"/>
      <c r="CE62" s="211"/>
      <c r="CF62" s="211"/>
      <c r="CG62" s="211"/>
      <c r="CH62" s="211"/>
      <c r="CI62" s="211"/>
      <c r="CJ62" s="62"/>
    </row>
    <row r="63" s="61" customFormat="1" ht="16" customHeight="1" spans="1:88">
      <c r="A63" s="269" t="s">
        <v>686</v>
      </c>
      <c r="B63" s="270"/>
      <c r="C63" s="77" t="e">
        <f>IF(R37&gt;P37,-P37,-R37)</f>
        <v>#DIV/0!</v>
      </c>
      <c r="D63" s="79"/>
      <c r="E63" s="79"/>
      <c r="F63" s="79" t="e">
        <f t="shared" si="76"/>
        <v>#DIV/0!</v>
      </c>
      <c r="G63" s="73"/>
      <c r="H63" s="269" t="s">
        <v>521</v>
      </c>
      <c r="I63" s="97">
        <v>0</v>
      </c>
      <c r="J63" s="97">
        <v>0</v>
      </c>
      <c r="K63" s="97">
        <v>0</v>
      </c>
      <c r="L63" s="97">
        <v>0</v>
      </c>
      <c r="M63" s="85"/>
      <c r="N63" s="74"/>
      <c r="O63" s="74"/>
      <c r="P63" s="74"/>
      <c r="Q63" s="74"/>
      <c r="R63" s="74"/>
      <c r="S63" s="74"/>
      <c r="T63" s="120"/>
      <c r="U63" s="68" t="s">
        <v>468</v>
      </c>
      <c r="V63" s="77" t="e">
        <f>IF(V51&gt;V45,INT((V51-V45)*初始化表!E14),0)</f>
        <v>#DIV/0!</v>
      </c>
      <c r="W63" s="77" t="e">
        <f>IF(W51&gt;W45,INT((W51-W45)*初始化表!F14),0)</f>
        <v>#DIV/0!</v>
      </c>
      <c r="X63" s="77" t="e">
        <f>IF(X51&gt;X45,INT((X51-X45)*初始化表!G14),0)</f>
        <v>#DIV/0!</v>
      </c>
      <c r="Y63" s="77" t="e">
        <f>IF(Y51&gt;Y45,INT((Y51-Y45)*初始化表!H14),0)</f>
        <v>#DIV/0!</v>
      </c>
      <c r="Z63" s="74"/>
      <c r="AA63" s="73"/>
      <c r="AB63" s="74"/>
      <c r="AC63" s="74"/>
      <c r="AD63" s="74"/>
      <c r="AE63" s="74"/>
      <c r="AF63" s="74"/>
      <c r="AG63" s="74"/>
      <c r="AH63" s="73"/>
      <c r="AI63" s="367"/>
      <c r="AJ63" s="362"/>
      <c r="AK63" s="362"/>
      <c r="AL63" s="362"/>
      <c r="AM63" s="362"/>
      <c r="AN63" s="362"/>
      <c r="AO63" s="362"/>
      <c r="AP63" s="362"/>
      <c r="AQ63" s="362"/>
      <c r="AR63" s="362"/>
      <c r="AS63" s="362"/>
      <c r="AT63" s="362"/>
      <c r="AU63" s="362"/>
      <c r="AV63" s="362"/>
      <c r="AW63" s="362"/>
      <c r="AX63" s="362"/>
      <c r="AY63" s="362"/>
      <c r="AZ63" s="193"/>
      <c r="BA63" s="195">
        <f t="shared" si="78"/>
        <v>0</v>
      </c>
      <c r="BB63" s="205">
        <f>IF(BT14=1,AL116/(第2期!AP116/2+AP116),0)</f>
        <v>0</v>
      </c>
      <c r="BC63" s="203"/>
      <c r="BD63" s="194">
        <f t="shared" si="79"/>
        <v>0</v>
      </c>
      <c r="BE63" s="209" t="e">
        <f t="shared" si="80"/>
        <v>#DIV/0!</v>
      </c>
      <c r="BF63" s="209" t="e">
        <f t="shared" si="80"/>
        <v>#DIV/0!</v>
      </c>
      <c r="BG63" s="209" t="e">
        <f t="shared" si="80"/>
        <v>#DIV/0!</v>
      </c>
      <c r="BH63" s="209" t="e">
        <f t="shared" si="80"/>
        <v>#DIV/0!</v>
      </c>
      <c r="BI63" s="203"/>
      <c r="BJ63" s="203"/>
      <c r="BK63" s="203"/>
      <c r="BL63" s="203"/>
      <c r="BM63" s="203"/>
      <c r="BN63" s="203"/>
      <c r="BO63" s="203"/>
      <c r="BP63" s="203"/>
      <c r="BQ63" s="203"/>
      <c r="BR63" s="211"/>
      <c r="BS63" s="211"/>
      <c r="BT63" s="211"/>
      <c r="BU63" s="211"/>
      <c r="BV63" s="211"/>
      <c r="BW63" s="211"/>
      <c r="BX63" s="211"/>
      <c r="BY63" s="211"/>
      <c r="BZ63" s="211"/>
      <c r="CA63" s="211"/>
      <c r="CB63" s="211"/>
      <c r="CC63" s="211"/>
      <c r="CD63" s="211"/>
      <c r="CE63" s="211"/>
      <c r="CF63" s="211"/>
      <c r="CG63" s="211"/>
      <c r="CH63" s="211"/>
      <c r="CI63" s="211"/>
      <c r="CJ63" s="62"/>
    </row>
    <row r="64" s="61" customFormat="1" ht="16" customHeight="1" spans="1:88">
      <c r="A64" s="269" t="s">
        <v>392</v>
      </c>
      <c r="B64" s="270"/>
      <c r="C64" s="77">
        <f>-D24</f>
        <v>0</v>
      </c>
      <c r="D64" s="79"/>
      <c r="E64" s="79"/>
      <c r="F64" s="79" t="e">
        <f t="shared" si="76"/>
        <v>#DIV/0!</v>
      </c>
      <c r="G64" s="73"/>
      <c r="H64" s="269" t="s">
        <v>522</v>
      </c>
      <c r="I64" s="97">
        <v>0</v>
      </c>
      <c r="J64" s="97">
        <v>0</v>
      </c>
      <c r="K64" s="97">
        <v>0</v>
      </c>
      <c r="L64" s="97">
        <v>0</v>
      </c>
      <c r="M64" s="85"/>
      <c r="N64" s="74"/>
      <c r="O64" s="74"/>
      <c r="P64" s="74"/>
      <c r="Q64" s="74"/>
      <c r="R64" s="74"/>
      <c r="S64" s="74"/>
      <c r="T64" s="120"/>
      <c r="U64" s="74"/>
      <c r="V64" s="74"/>
      <c r="W64" s="74"/>
      <c r="X64" s="74"/>
      <c r="Y64" s="74"/>
      <c r="Z64" s="74"/>
      <c r="AA64" s="73"/>
      <c r="AB64" s="74"/>
      <c r="AC64" s="74"/>
      <c r="AD64" s="74"/>
      <c r="AE64" s="74"/>
      <c r="AF64" s="74"/>
      <c r="AG64" s="74"/>
      <c r="AH64" s="73"/>
      <c r="AI64" s="367"/>
      <c r="AJ64" s="362"/>
      <c r="AK64" s="362"/>
      <c r="AL64" s="362"/>
      <c r="AM64" s="362"/>
      <c r="AN64" s="362"/>
      <c r="AO64" s="362"/>
      <c r="AP64" s="362"/>
      <c r="AQ64" s="362"/>
      <c r="AR64" s="362"/>
      <c r="AS64" s="362"/>
      <c r="AT64" s="362"/>
      <c r="AU64" s="362"/>
      <c r="AV64" s="362"/>
      <c r="AW64" s="362"/>
      <c r="AX64" s="362"/>
      <c r="AY64" s="362"/>
      <c r="AZ64" s="193"/>
      <c r="BA64" s="195">
        <f t="shared" si="78"/>
        <v>0</v>
      </c>
      <c r="BB64" s="205">
        <f>IF(BT15=1,AL117/(第2期!AP117/2+AP117),0)</f>
        <v>0</v>
      </c>
      <c r="BC64" s="203"/>
      <c r="BD64" s="194">
        <f t="shared" si="79"/>
        <v>0</v>
      </c>
      <c r="BE64" s="209" t="e">
        <f t="shared" si="80"/>
        <v>#DIV/0!</v>
      </c>
      <c r="BF64" s="209" t="e">
        <f t="shared" si="80"/>
        <v>#DIV/0!</v>
      </c>
      <c r="BG64" s="209" t="e">
        <f t="shared" si="80"/>
        <v>#DIV/0!</v>
      </c>
      <c r="BH64" s="209" t="e">
        <f t="shared" si="80"/>
        <v>#DIV/0!</v>
      </c>
      <c r="BI64" s="203"/>
      <c r="BJ64" s="203"/>
      <c r="BK64" s="203"/>
      <c r="BL64" s="203"/>
      <c r="BM64" s="203"/>
      <c r="BN64" s="203"/>
      <c r="BO64" s="203"/>
      <c r="BP64" s="203"/>
      <c r="BQ64" s="203"/>
      <c r="BR64" s="211"/>
      <c r="BS64" s="211"/>
      <c r="BT64" s="211"/>
      <c r="BU64" s="211"/>
      <c r="BV64" s="211"/>
      <c r="BW64" s="211"/>
      <c r="BX64" s="211"/>
      <c r="BY64" s="211"/>
      <c r="BZ64" s="211"/>
      <c r="CA64" s="211"/>
      <c r="CB64" s="211"/>
      <c r="CC64" s="211"/>
      <c r="CD64" s="211"/>
      <c r="CE64" s="211"/>
      <c r="CF64" s="211"/>
      <c r="CG64" s="211"/>
      <c r="CH64" s="211"/>
      <c r="CI64" s="211"/>
      <c r="CJ64" s="62"/>
    </row>
    <row r="65" s="61" customFormat="1" ht="16" customHeight="1" spans="1:88">
      <c r="A65" s="74"/>
      <c r="B65" s="74"/>
      <c r="C65" s="74"/>
      <c r="D65" s="74"/>
      <c r="E65" s="74"/>
      <c r="F65" s="74"/>
      <c r="G65" s="73"/>
      <c r="H65" s="269" t="s">
        <v>523</v>
      </c>
      <c r="I65" s="97">
        <v>0</v>
      </c>
      <c r="J65" s="97">
        <v>0</v>
      </c>
      <c r="K65" s="97">
        <v>0</v>
      </c>
      <c r="L65" s="97">
        <v>0</v>
      </c>
      <c r="M65" s="85"/>
      <c r="N65" s="74"/>
      <c r="O65" s="74"/>
      <c r="P65" s="74"/>
      <c r="Q65" s="74"/>
      <c r="R65" s="74"/>
      <c r="S65" s="74"/>
      <c r="T65" s="120"/>
      <c r="U65" s="68" t="s">
        <v>728</v>
      </c>
      <c r="V65" s="68" t="s">
        <v>459</v>
      </c>
      <c r="W65" s="68" t="s">
        <v>460</v>
      </c>
      <c r="X65" s="68" t="s">
        <v>461</v>
      </c>
      <c r="Y65" s="68" t="s">
        <v>462</v>
      </c>
      <c r="Z65" s="68" t="s">
        <v>569</v>
      </c>
      <c r="AA65" s="73"/>
      <c r="AB65" s="74"/>
      <c r="AC65" s="74"/>
      <c r="AD65" s="74"/>
      <c r="AE65" s="74"/>
      <c r="AF65" s="74"/>
      <c r="AG65" s="74"/>
      <c r="AH65" s="73"/>
      <c r="AI65" s="367"/>
      <c r="AJ65" s="362"/>
      <c r="AK65" s="362"/>
      <c r="AL65" s="362"/>
      <c r="AM65" s="362"/>
      <c r="AN65" s="362"/>
      <c r="AO65" s="362"/>
      <c r="AP65" s="362"/>
      <c r="AQ65" s="362"/>
      <c r="AR65" s="362"/>
      <c r="AS65" s="362"/>
      <c r="AT65" s="362"/>
      <c r="AU65" s="362"/>
      <c r="AV65" s="362"/>
      <c r="AW65" s="362"/>
      <c r="AX65" s="362"/>
      <c r="AY65" s="362"/>
      <c r="AZ65" s="193"/>
      <c r="BA65" s="195">
        <f t="shared" si="78"/>
        <v>0</v>
      </c>
      <c r="BB65" s="205">
        <f>IF(BT16=1,AL118/(第2期!AP118/2+AP118),0)</f>
        <v>0</v>
      </c>
      <c r="BC65" s="203"/>
      <c r="BD65" s="194">
        <f t="shared" si="79"/>
        <v>0</v>
      </c>
      <c r="BE65" s="209" t="e">
        <f t="shared" si="80"/>
        <v>#DIV/0!</v>
      </c>
      <c r="BF65" s="209" t="e">
        <f t="shared" si="80"/>
        <v>#DIV/0!</v>
      </c>
      <c r="BG65" s="209" t="e">
        <f t="shared" si="80"/>
        <v>#DIV/0!</v>
      </c>
      <c r="BH65" s="209" t="e">
        <f t="shared" si="80"/>
        <v>#DIV/0!</v>
      </c>
      <c r="BI65" s="203"/>
      <c r="BJ65" s="203"/>
      <c r="BK65" s="203"/>
      <c r="BL65" s="203"/>
      <c r="BM65" s="203"/>
      <c r="BN65" s="203"/>
      <c r="BO65" s="203"/>
      <c r="BP65" s="203"/>
      <c r="BQ65" s="203"/>
      <c r="BR65" s="211"/>
      <c r="BS65" s="211"/>
      <c r="BT65" s="211"/>
      <c r="BU65" s="211"/>
      <c r="BV65" s="211"/>
      <c r="BW65" s="211"/>
      <c r="BX65" s="211"/>
      <c r="BY65" s="211"/>
      <c r="BZ65" s="211"/>
      <c r="CA65" s="211"/>
      <c r="CB65" s="211"/>
      <c r="CC65" s="211"/>
      <c r="CD65" s="211"/>
      <c r="CE65" s="211"/>
      <c r="CF65" s="211"/>
      <c r="CG65" s="211"/>
      <c r="CH65" s="211"/>
      <c r="CI65" s="211"/>
      <c r="CJ65" s="62"/>
    </row>
    <row r="66" s="61" customFormat="1" ht="16" customHeight="1" spans="1:88">
      <c r="A66" s="269" t="s">
        <v>423</v>
      </c>
      <c r="B66" s="270"/>
      <c r="C66" s="270"/>
      <c r="D66" s="74"/>
      <c r="E66" s="269" t="s">
        <v>448</v>
      </c>
      <c r="F66" s="270"/>
      <c r="G66" s="73"/>
      <c r="H66" s="269" t="s">
        <v>524</v>
      </c>
      <c r="I66" s="97">
        <v>0</v>
      </c>
      <c r="J66" s="97">
        <v>0</v>
      </c>
      <c r="K66" s="97">
        <v>0</v>
      </c>
      <c r="L66" s="97">
        <v>0</v>
      </c>
      <c r="M66" s="85"/>
      <c r="N66" s="74"/>
      <c r="O66" s="74"/>
      <c r="P66" s="74"/>
      <c r="Q66" s="74"/>
      <c r="R66" s="74"/>
      <c r="S66" s="74"/>
      <c r="T66" s="120"/>
      <c r="U66" s="68" t="s">
        <v>464</v>
      </c>
      <c r="V66" s="455">
        <f>V72-第2期!V66</f>
        <v>0</v>
      </c>
      <c r="W66" s="455">
        <f>W72-第2期!W66</f>
        <v>0</v>
      </c>
      <c r="X66" s="455">
        <f>X72-第2期!X66</f>
        <v>0</v>
      </c>
      <c r="Y66" s="455">
        <f>Y72-第2期!Y66</f>
        <v>0</v>
      </c>
      <c r="Z66" s="150">
        <f>SUM(V66:Y66)/4</f>
        <v>0</v>
      </c>
      <c r="AA66" s="73"/>
      <c r="AB66" s="74"/>
      <c r="AC66" s="74"/>
      <c r="AD66" s="74"/>
      <c r="AE66" s="74"/>
      <c r="AF66" s="74"/>
      <c r="AG66" s="74"/>
      <c r="AH66" s="73"/>
      <c r="AI66" s="367"/>
      <c r="AJ66" s="362"/>
      <c r="AK66" s="362"/>
      <c r="AL66" s="362"/>
      <c r="AM66" s="362"/>
      <c r="AN66" s="362"/>
      <c r="AO66" s="362"/>
      <c r="AP66" s="362"/>
      <c r="AQ66" s="362"/>
      <c r="AR66" s="362"/>
      <c r="AS66" s="362"/>
      <c r="AT66" s="362"/>
      <c r="AU66" s="362"/>
      <c r="AV66" s="362"/>
      <c r="AW66" s="362"/>
      <c r="AX66" s="362"/>
      <c r="AY66" s="362"/>
      <c r="AZ66" s="193"/>
      <c r="BA66" s="195">
        <f t="shared" si="78"/>
        <v>0</v>
      </c>
      <c r="BB66" s="205">
        <f>IF(BT17=1,AL119/(第2期!AP119/2+AP119),0)</f>
        <v>0</v>
      </c>
      <c r="BC66" s="203"/>
      <c r="BD66" s="194">
        <f t="shared" si="79"/>
        <v>0</v>
      </c>
      <c r="BE66" s="209" t="e">
        <f t="shared" si="80"/>
        <v>#DIV/0!</v>
      </c>
      <c r="BF66" s="209" t="e">
        <f t="shared" si="80"/>
        <v>#DIV/0!</v>
      </c>
      <c r="BG66" s="209" t="e">
        <f t="shared" si="80"/>
        <v>#DIV/0!</v>
      </c>
      <c r="BH66" s="209" t="e">
        <f t="shared" si="80"/>
        <v>#DIV/0!</v>
      </c>
      <c r="BI66" s="203"/>
      <c r="BJ66" s="203"/>
      <c r="BK66" s="203"/>
      <c r="BL66" s="203"/>
      <c r="BM66" s="203"/>
      <c r="BN66" s="203"/>
      <c r="BO66" s="203"/>
      <c r="BP66" s="203"/>
      <c r="BQ66" s="203"/>
      <c r="BR66" s="211"/>
      <c r="BS66" s="211"/>
      <c r="BT66" s="211"/>
      <c r="BU66" s="211"/>
      <c r="BV66" s="211"/>
      <c r="BW66" s="211"/>
      <c r="BX66" s="211"/>
      <c r="BY66" s="211"/>
      <c r="BZ66" s="211"/>
      <c r="CA66" s="211"/>
      <c r="CB66" s="211"/>
      <c r="CC66" s="211"/>
      <c r="CD66" s="211"/>
      <c r="CE66" s="211"/>
      <c r="CF66" s="211"/>
      <c r="CG66" s="211"/>
      <c r="CH66" s="211"/>
      <c r="CI66" s="211"/>
      <c r="CJ66" s="62"/>
    </row>
    <row r="67" s="61" customFormat="1" ht="16" customHeight="1" spans="1:88">
      <c r="A67" s="269" t="s">
        <v>688</v>
      </c>
      <c r="B67" s="269" t="s">
        <v>689</v>
      </c>
      <c r="C67" s="269" t="s">
        <v>690</v>
      </c>
      <c r="D67" s="74"/>
      <c r="E67" s="328" t="s">
        <v>691</v>
      </c>
      <c r="F67" s="328" t="s">
        <v>692</v>
      </c>
      <c r="G67" s="73"/>
      <c r="H67" s="269" t="s">
        <v>687</v>
      </c>
      <c r="I67" s="270" t="str">
        <f>I62</f>
        <v>市场1</v>
      </c>
      <c r="J67" s="270" t="str">
        <f>J62</f>
        <v>市场2</v>
      </c>
      <c r="K67" s="270" t="str">
        <f>K62</f>
        <v>市场3</v>
      </c>
      <c r="L67" s="270" t="str">
        <f>L62</f>
        <v>市场4</v>
      </c>
      <c r="M67" s="378" t="s">
        <v>693</v>
      </c>
      <c r="N67" s="117" t="s">
        <v>729</v>
      </c>
      <c r="O67" s="117" t="s">
        <v>38</v>
      </c>
      <c r="P67" s="117" t="s">
        <v>39</v>
      </c>
      <c r="Q67" s="117" t="s">
        <v>40</v>
      </c>
      <c r="R67" s="117" t="s">
        <v>41</v>
      </c>
      <c r="S67" s="74"/>
      <c r="T67" s="120"/>
      <c r="U67" s="68" t="s">
        <v>465</v>
      </c>
      <c r="V67" s="455">
        <f>V73-第2期!V67</f>
        <v>0</v>
      </c>
      <c r="W67" s="455">
        <f>W73-第2期!W67</f>
        <v>0</v>
      </c>
      <c r="X67" s="455">
        <f>X73-第2期!X67</f>
        <v>0</v>
      </c>
      <c r="Y67" s="455">
        <f>Y73-第2期!Y67</f>
        <v>0</v>
      </c>
      <c r="Z67" s="150">
        <f t="shared" ref="Z67:Z69" si="83">SUM(V67:Y67)/4</f>
        <v>0</v>
      </c>
      <c r="AA67" s="73"/>
      <c r="AB67" s="74"/>
      <c r="AC67" s="74"/>
      <c r="AD67" s="74"/>
      <c r="AE67" s="74"/>
      <c r="AF67" s="74"/>
      <c r="AG67" s="74"/>
      <c r="AH67" s="73"/>
      <c r="AI67" s="367"/>
      <c r="AJ67" s="362"/>
      <c r="AK67" s="362"/>
      <c r="AL67" s="362"/>
      <c r="AM67" s="362"/>
      <c r="AN67" s="362"/>
      <c r="AO67" s="362"/>
      <c r="AP67" s="362"/>
      <c r="AQ67" s="362"/>
      <c r="AR67" s="362"/>
      <c r="AS67" s="362"/>
      <c r="AT67" s="362"/>
      <c r="AU67" s="362"/>
      <c r="AV67" s="362"/>
      <c r="AW67" s="362"/>
      <c r="AX67" s="362"/>
      <c r="AY67" s="362"/>
      <c r="AZ67" s="193"/>
      <c r="BA67" s="195">
        <f t="shared" si="78"/>
        <v>0</v>
      </c>
      <c r="BB67" s="205">
        <f>IF(BT18=1,AL120/(第2期!AP120/2+AP120),0)</f>
        <v>0</v>
      </c>
      <c r="BC67" s="203"/>
      <c r="BD67" s="194">
        <f t="shared" si="79"/>
        <v>0</v>
      </c>
      <c r="BE67" s="209" t="e">
        <f t="shared" si="80"/>
        <v>#DIV/0!</v>
      </c>
      <c r="BF67" s="209" t="e">
        <f t="shared" si="80"/>
        <v>#DIV/0!</v>
      </c>
      <c r="BG67" s="209" t="e">
        <f t="shared" si="80"/>
        <v>#DIV/0!</v>
      </c>
      <c r="BH67" s="209" t="e">
        <f t="shared" si="80"/>
        <v>#DIV/0!</v>
      </c>
      <c r="BI67" s="203"/>
      <c r="BJ67" s="203"/>
      <c r="BK67" s="203"/>
      <c r="BL67" s="203"/>
      <c r="BM67" s="203"/>
      <c r="BN67" s="203"/>
      <c r="BO67" s="203"/>
      <c r="BP67" s="203"/>
      <c r="BQ67" s="203"/>
      <c r="BR67" s="211"/>
      <c r="BS67" s="211"/>
      <c r="BT67" s="211"/>
      <c r="BU67" s="211"/>
      <c r="BV67" s="211"/>
      <c r="BW67" s="211"/>
      <c r="BX67" s="211"/>
      <c r="BY67" s="211"/>
      <c r="BZ67" s="211"/>
      <c r="CA67" s="211"/>
      <c r="CB67" s="211"/>
      <c r="CC67" s="211"/>
      <c r="CD67" s="211"/>
      <c r="CE67" s="211"/>
      <c r="CF67" s="211"/>
      <c r="CG67" s="211"/>
      <c r="CH67" s="211"/>
      <c r="CI67" s="211"/>
      <c r="CJ67" s="62"/>
    </row>
    <row r="68" s="61" customFormat="1" ht="16" customHeight="1" spans="1:88">
      <c r="A68" s="269" t="s">
        <v>694</v>
      </c>
      <c r="B68" s="77" t="e">
        <f>F64</f>
        <v>#DIV/0!</v>
      </c>
      <c r="C68" s="77" t="e">
        <f>B68</f>
        <v>#DIV/0!</v>
      </c>
      <c r="D68" s="74"/>
      <c r="E68" s="328" t="s">
        <v>345</v>
      </c>
      <c r="F68" s="235">
        <f>L17</f>
        <v>0</v>
      </c>
      <c r="G68" s="73"/>
      <c r="H68" s="270" t="str">
        <f>H63</f>
        <v>产品1</v>
      </c>
      <c r="I68" s="77">
        <f t="shared" ref="I68:L71" si="84">V72</f>
        <v>0</v>
      </c>
      <c r="J68" s="77">
        <f t="shared" si="84"/>
        <v>0</v>
      </c>
      <c r="K68" s="77">
        <f t="shared" si="84"/>
        <v>0</v>
      </c>
      <c r="L68" s="77">
        <f t="shared" si="84"/>
        <v>0</v>
      </c>
      <c r="M68" s="242">
        <f>SUM(I63:L63)</f>
        <v>0</v>
      </c>
      <c r="N68" s="117" t="s">
        <v>198</v>
      </c>
      <c r="O68" s="118">
        <f>IF(第2期!$AI$9=0,4,ABS((V23-第2期!V23)/((V17-第2期!V17)-IF(第2期!$J6&gt;0,10,0))))</f>
        <v>4</v>
      </c>
      <c r="P68" s="118">
        <f>IF(第2期!$AI$9=0,4,ABS((W23-第2期!W23)/((W17-第2期!W17)-IF(第2期!$J6&gt;0,10,0))))</f>
        <v>4</v>
      </c>
      <c r="Q68" s="118">
        <f>IF(第2期!$AI$9=0,3,ABS((X23-第2期!X23)/((X17-第2期!X17)-IF(第2期!$J6&gt;0,10,0))))</f>
        <v>3</v>
      </c>
      <c r="R68" s="118">
        <f>IF(第2期!$AI$9=0,3,ABS((Y23-第2期!Y23)/((Y17-第2期!Y17)-IF(第2期!$J6&gt;0,10,0))))</f>
        <v>3</v>
      </c>
      <c r="S68" s="74"/>
      <c r="T68" s="120"/>
      <c r="U68" s="68" t="s">
        <v>466</v>
      </c>
      <c r="V68" s="455">
        <f>V74-第2期!V68</f>
        <v>0</v>
      </c>
      <c r="W68" s="455">
        <f>W74-第2期!W68</f>
        <v>0</v>
      </c>
      <c r="X68" s="455">
        <f>X74-第2期!X68</f>
        <v>0</v>
      </c>
      <c r="Y68" s="455">
        <f>Y74-第2期!Y68</f>
        <v>0</v>
      </c>
      <c r="Z68" s="150">
        <f t="shared" si="83"/>
        <v>0</v>
      </c>
      <c r="AA68" s="73"/>
      <c r="AB68" s="74"/>
      <c r="AC68" s="74"/>
      <c r="AD68" s="74"/>
      <c r="AE68" s="74"/>
      <c r="AF68" s="74"/>
      <c r="AG68" s="74"/>
      <c r="AH68" s="73"/>
      <c r="AI68" s="367"/>
      <c r="AJ68" s="362"/>
      <c r="AK68" s="362"/>
      <c r="AL68" s="362"/>
      <c r="AM68" s="362"/>
      <c r="AN68" s="362"/>
      <c r="AO68" s="362"/>
      <c r="AP68" s="362"/>
      <c r="AQ68" s="362"/>
      <c r="AR68" s="362"/>
      <c r="AS68" s="362"/>
      <c r="AT68" s="362"/>
      <c r="AU68" s="362"/>
      <c r="AV68" s="362"/>
      <c r="AW68" s="362"/>
      <c r="AX68" s="362"/>
      <c r="AY68" s="362"/>
      <c r="AZ68" s="193"/>
      <c r="BA68" s="195">
        <f t="shared" si="78"/>
        <v>0</v>
      </c>
      <c r="BB68" s="205">
        <f>IF(BT19=1,AL121/(第2期!AP121/2+AP121),0)</f>
        <v>0</v>
      </c>
      <c r="BC68" s="203"/>
      <c r="BD68" s="194">
        <f t="shared" si="79"/>
        <v>0</v>
      </c>
      <c r="BE68" s="209" t="e">
        <f t="shared" si="80"/>
        <v>#DIV/0!</v>
      </c>
      <c r="BF68" s="209" t="e">
        <f t="shared" si="80"/>
        <v>#DIV/0!</v>
      </c>
      <c r="BG68" s="209" t="e">
        <f t="shared" si="80"/>
        <v>#DIV/0!</v>
      </c>
      <c r="BH68" s="209" t="e">
        <f t="shared" si="80"/>
        <v>#DIV/0!</v>
      </c>
      <c r="BI68" s="203"/>
      <c r="BJ68" s="203"/>
      <c r="BK68" s="203"/>
      <c r="BL68" s="203"/>
      <c r="BM68" s="203"/>
      <c r="BN68" s="203"/>
      <c r="BO68" s="203"/>
      <c r="BP68" s="203"/>
      <c r="BQ68" s="203"/>
      <c r="BR68" s="211"/>
      <c r="BS68" s="211"/>
      <c r="BT68" s="211"/>
      <c r="BU68" s="211"/>
      <c r="BV68" s="211"/>
      <c r="BW68" s="211"/>
      <c r="BX68" s="211"/>
      <c r="BY68" s="211"/>
      <c r="BZ68" s="211"/>
      <c r="CA68" s="211"/>
      <c r="CB68" s="211"/>
      <c r="CC68" s="211"/>
      <c r="CD68" s="211"/>
      <c r="CE68" s="211"/>
      <c r="CF68" s="211"/>
      <c r="CG68" s="211"/>
      <c r="CH68" s="211"/>
      <c r="CI68" s="211"/>
      <c r="CJ68" s="62"/>
    </row>
    <row r="69" s="61" customFormat="1" ht="16" customHeight="1" spans="1:88">
      <c r="A69" s="269" t="s">
        <v>695</v>
      </c>
      <c r="B69" s="77">
        <f>D24</f>
        <v>0</v>
      </c>
      <c r="C69" s="77" t="e">
        <f t="shared" ref="C69:C76" si="85">C68+B69</f>
        <v>#DIV/0!</v>
      </c>
      <c r="D69" s="74"/>
      <c r="E69" s="328" t="s">
        <v>346</v>
      </c>
      <c r="F69" s="235" t="e">
        <f>O49</f>
        <v>#DIV/0!</v>
      </c>
      <c r="G69" s="73"/>
      <c r="H69" s="270" t="str">
        <f>H64</f>
        <v>产品2</v>
      </c>
      <c r="I69" s="77">
        <f t="shared" si="84"/>
        <v>0</v>
      </c>
      <c r="J69" s="77">
        <f t="shared" si="84"/>
        <v>0</v>
      </c>
      <c r="K69" s="77">
        <f t="shared" si="84"/>
        <v>0</v>
      </c>
      <c r="L69" s="77">
        <f t="shared" si="84"/>
        <v>0</v>
      </c>
      <c r="M69" s="242">
        <f>SUM(I64:L64)</f>
        <v>0</v>
      </c>
      <c r="N69" s="117" t="s">
        <v>202</v>
      </c>
      <c r="O69" s="118">
        <f>IF(第2期!$AI$9=0,5,ABS((V24-第2期!V24)/((V18-第2期!V18)-IF(第2期!$J7&gt;0,10,0))))</f>
        <v>5</v>
      </c>
      <c r="P69" s="118">
        <f>IF(第2期!$AI$9=0,5,ABS((W24-第2期!W24)/((W18-第2期!W18)-IF(第2期!$J7&gt;0,10,0))))</f>
        <v>5</v>
      </c>
      <c r="Q69" s="118">
        <f>IF(第2期!$AI$9=0,4,ABS((X24-第2期!X24)/((X18-第2期!X18)-IF(第2期!$J7&gt;0,10,0))))</f>
        <v>4</v>
      </c>
      <c r="R69" s="118">
        <f>IF(第2期!$AI$9=0,4,ABS((Y24-第2期!Y24)/((Y18-第2期!Y18)-IF(第2期!$J7&gt;0,10,0))))</f>
        <v>4</v>
      </c>
      <c r="S69" s="74"/>
      <c r="T69" s="120"/>
      <c r="U69" s="68" t="s">
        <v>468</v>
      </c>
      <c r="V69" s="455">
        <f>V75-第2期!V69</f>
        <v>0</v>
      </c>
      <c r="W69" s="455">
        <f>W75-第2期!W69</f>
        <v>0</v>
      </c>
      <c r="X69" s="455">
        <f>X75-第2期!X69</f>
        <v>0</v>
      </c>
      <c r="Y69" s="455">
        <f>Y75-第2期!Y69</f>
        <v>0</v>
      </c>
      <c r="Z69" s="150">
        <f t="shared" si="83"/>
        <v>0</v>
      </c>
      <c r="AA69" s="73"/>
      <c r="AB69" s="74"/>
      <c r="AC69" s="74"/>
      <c r="AD69" s="74"/>
      <c r="AE69" s="74"/>
      <c r="AF69" s="74"/>
      <c r="AG69" s="74"/>
      <c r="AH69" s="73"/>
      <c r="AI69" s="367"/>
      <c r="AJ69" s="362"/>
      <c r="AK69" s="362"/>
      <c r="AL69" s="362"/>
      <c r="AM69" s="362"/>
      <c r="AN69" s="362"/>
      <c r="AO69" s="362"/>
      <c r="AP69" s="362"/>
      <c r="AQ69" s="362"/>
      <c r="AR69" s="362"/>
      <c r="AS69" s="362"/>
      <c r="AT69" s="362"/>
      <c r="AU69" s="362"/>
      <c r="AV69" s="362"/>
      <c r="AW69" s="362"/>
      <c r="AX69" s="362"/>
      <c r="AY69" s="362"/>
      <c r="AZ69" s="193"/>
      <c r="BA69" s="195">
        <f t="shared" si="78"/>
        <v>0</v>
      </c>
      <c r="BB69" s="205">
        <f>IF(BT20=1,AL122/(第2期!AP122/2+AP122),0)</f>
        <v>0</v>
      </c>
      <c r="BC69" s="203"/>
      <c r="BD69" s="194">
        <f t="shared" si="79"/>
        <v>0</v>
      </c>
      <c r="BE69" s="209" t="e">
        <f t="shared" si="80"/>
        <v>#DIV/0!</v>
      </c>
      <c r="BF69" s="209" t="e">
        <f t="shared" si="80"/>
        <v>#DIV/0!</v>
      </c>
      <c r="BG69" s="209" t="e">
        <f t="shared" si="80"/>
        <v>#DIV/0!</v>
      </c>
      <c r="BH69" s="209" t="e">
        <f t="shared" si="80"/>
        <v>#DIV/0!</v>
      </c>
      <c r="BI69" s="203"/>
      <c r="BJ69" s="203"/>
      <c r="BK69" s="203"/>
      <c r="BL69" s="203"/>
      <c r="BM69" s="203"/>
      <c r="BN69" s="203"/>
      <c r="BO69" s="203"/>
      <c r="BP69" s="203"/>
      <c r="BQ69" s="203"/>
      <c r="BR69" s="211"/>
      <c r="BS69" s="211"/>
      <c r="BT69" s="211"/>
      <c r="BU69" s="211"/>
      <c r="BV69" s="211"/>
      <c r="BW69" s="211"/>
      <c r="BX69" s="211"/>
      <c r="BY69" s="211"/>
      <c r="BZ69" s="211"/>
      <c r="CA69" s="211"/>
      <c r="CB69" s="211"/>
      <c r="CC69" s="211"/>
      <c r="CD69" s="211"/>
      <c r="CE69" s="211"/>
      <c r="CF69" s="211"/>
      <c r="CG69" s="211"/>
      <c r="CH69" s="211"/>
      <c r="CI69" s="211"/>
      <c r="CJ69" s="62"/>
    </row>
    <row r="70" s="61" customFormat="1" ht="16" customHeight="1" spans="1:88">
      <c r="A70" s="269" t="s">
        <v>441</v>
      </c>
      <c r="B70" s="77">
        <f>L43</f>
        <v>0</v>
      </c>
      <c r="C70" s="77" t="e">
        <f t="shared" si="85"/>
        <v>#DIV/0!</v>
      </c>
      <c r="D70" s="74"/>
      <c r="E70" s="328" t="s">
        <v>441</v>
      </c>
      <c r="F70" s="236">
        <f>L43</f>
        <v>0</v>
      </c>
      <c r="G70" s="73"/>
      <c r="H70" s="270" t="str">
        <f>H65</f>
        <v>产品3</v>
      </c>
      <c r="I70" s="77">
        <f t="shared" si="84"/>
        <v>0</v>
      </c>
      <c r="J70" s="77">
        <f t="shared" si="84"/>
        <v>0</v>
      </c>
      <c r="K70" s="77">
        <f t="shared" si="84"/>
        <v>0</v>
      </c>
      <c r="L70" s="77">
        <f t="shared" si="84"/>
        <v>0</v>
      </c>
      <c r="M70" s="242">
        <f>SUM(I65:L65)</f>
        <v>0</v>
      </c>
      <c r="N70" s="117" t="s">
        <v>206</v>
      </c>
      <c r="O70" s="118">
        <f>IF(第2期!$AI$9=0,8,ABS((V25-第2期!V25)/((V19-第2期!V19)-IF(第2期!$J8&gt;0,5,0))))</f>
        <v>8</v>
      </c>
      <c r="P70" s="118">
        <f>IF(第2期!$AI$9=0,8,ABS((W25-第2期!W25)/((W19-第2期!W19)-IF(第2期!$J8&gt;0,5,0))))</f>
        <v>8</v>
      </c>
      <c r="Q70" s="118">
        <f>IF(第2期!$AI$9=0,7,ABS((X25-第2期!X25)/((X19-第2期!X19)-IF(第2期!$J8&gt;0,5,0))))</f>
        <v>7</v>
      </c>
      <c r="R70" s="118">
        <f>IF(第2期!$AI$9=0,7,ABS((Y25-第2期!Y25)/((Y19-第2期!Y19)-IF(第2期!$J8&gt;0,5,0))))</f>
        <v>7</v>
      </c>
      <c r="S70" s="74"/>
      <c r="T70" s="120"/>
      <c r="U70" s="74"/>
      <c r="V70" s="74"/>
      <c r="W70" s="74"/>
      <c r="X70" s="74"/>
      <c r="Y70" s="74"/>
      <c r="Z70" s="74"/>
      <c r="AA70" s="73"/>
      <c r="AB70" s="74"/>
      <c r="AC70" s="74"/>
      <c r="AD70" s="74"/>
      <c r="AE70" s="74"/>
      <c r="AF70" s="74"/>
      <c r="AG70" s="74"/>
      <c r="AH70" s="73"/>
      <c r="AI70" s="367"/>
      <c r="AJ70" s="362"/>
      <c r="AK70" s="362"/>
      <c r="AL70" s="362"/>
      <c r="AM70" s="362"/>
      <c r="AN70" s="362"/>
      <c r="AO70" s="362"/>
      <c r="AP70" s="362"/>
      <c r="AQ70" s="362"/>
      <c r="AR70" s="362"/>
      <c r="AS70" s="362"/>
      <c r="AT70" s="362"/>
      <c r="AU70" s="362"/>
      <c r="AV70" s="362"/>
      <c r="AW70" s="362"/>
      <c r="AX70" s="362"/>
      <c r="AY70" s="362"/>
      <c r="AZ70" s="193"/>
      <c r="BA70" s="195">
        <f t="shared" si="78"/>
        <v>0</v>
      </c>
      <c r="BB70" s="205">
        <f>IF(BT21=1,AL123/(第2期!AP123/2+AP123),0)</f>
        <v>0</v>
      </c>
      <c r="BC70" s="203"/>
      <c r="BD70" s="194">
        <f t="shared" si="79"/>
        <v>0</v>
      </c>
      <c r="BE70" s="209" t="e">
        <f t="shared" si="80"/>
        <v>#DIV/0!</v>
      </c>
      <c r="BF70" s="209" t="e">
        <f t="shared" si="80"/>
        <v>#DIV/0!</v>
      </c>
      <c r="BG70" s="209" t="e">
        <f t="shared" si="80"/>
        <v>#DIV/0!</v>
      </c>
      <c r="BH70" s="209" t="e">
        <f t="shared" si="80"/>
        <v>#DIV/0!</v>
      </c>
      <c r="BI70" s="203"/>
      <c r="BJ70" s="203"/>
      <c r="BK70" s="203"/>
      <c r="BL70" s="203"/>
      <c r="BM70" s="203"/>
      <c r="BN70" s="203"/>
      <c r="BO70" s="203"/>
      <c r="BP70" s="203"/>
      <c r="BQ70" s="203"/>
      <c r="BR70" s="211"/>
      <c r="BS70" s="211"/>
      <c r="BT70" s="211"/>
      <c r="BU70" s="211"/>
      <c r="BV70" s="211"/>
      <c r="BW70" s="211"/>
      <c r="BX70" s="211"/>
      <c r="BY70" s="211"/>
      <c r="BZ70" s="211"/>
      <c r="CA70" s="211"/>
      <c r="CB70" s="211"/>
      <c r="CC70" s="211"/>
      <c r="CD70" s="211"/>
      <c r="CE70" s="211"/>
      <c r="CF70" s="211"/>
      <c r="CG70" s="211"/>
      <c r="CH70" s="211"/>
      <c r="CI70" s="211"/>
      <c r="CJ70" s="62"/>
    </row>
    <row r="71" s="61" customFormat="1" ht="16" customHeight="1" spans="1:88">
      <c r="A71" s="269" t="s">
        <v>696</v>
      </c>
      <c r="B71" s="77">
        <f>(SUM(AP9:AP12)+I56)*初始化表!E22</f>
        <v>0</v>
      </c>
      <c r="C71" s="77" t="e">
        <f t="shared" si="85"/>
        <v>#DIV/0!</v>
      </c>
      <c r="D71" s="74"/>
      <c r="E71" s="328" t="s">
        <v>697</v>
      </c>
      <c r="F71" s="236" t="e">
        <f>F64</f>
        <v>#DIV/0!</v>
      </c>
      <c r="G71" s="73"/>
      <c r="H71" s="270" t="str">
        <f>H66</f>
        <v>产品4</v>
      </c>
      <c r="I71" s="77">
        <f t="shared" si="84"/>
        <v>0</v>
      </c>
      <c r="J71" s="77">
        <f t="shared" si="84"/>
        <v>0</v>
      </c>
      <c r="K71" s="77">
        <f t="shared" si="84"/>
        <v>0</v>
      </c>
      <c r="L71" s="77">
        <f t="shared" si="84"/>
        <v>0</v>
      </c>
      <c r="M71" s="242">
        <f>SUM(I66:L66)</f>
        <v>0</v>
      </c>
      <c r="N71" s="117" t="s">
        <v>208</v>
      </c>
      <c r="O71" s="118">
        <f>IF(第2期!$AI$9=0,12,ABS((V26-第2期!V26)/((V20-第2期!V20)-IF(第2期!$J9&gt;0,5,0))))</f>
        <v>12</v>
      </c>
      <c r="P71" s="118">
        <f>IF(第2期!$AI$9=0,12,ABS((W26-第2期!W26)/((W20-第2期!W20)-IF(第2期!$J9&gt;0,5,0))))</f>
        <v>12</v>
      </c>
      <c r="Q71" s="118">
        <f>IF(第2期!$AI$9=0,10,ABS((X26-第2期!X26)/((X20-第2期!X20)-IF(第2期!$J9&gt;0,5,0))))</f>
        <v>10</v>
      </c>
      <c r="R71" s="118">
        <f>IF(第2期!$AI$9=0,10,ABS((Y26-第2期!Y26)/((Y20-第2期!Y20)-IF(第2期!$J9&gt;0,5,0))))</f>
        <v>10</v>
      </c>
      <c r="S71" s="74"/>
      <c r="T71" s="120"/>
      <c r="U71" s="68" t="s">
        <v>687</v>
      </c>
      <c r="V71" s="68" t="s">
        <v>459</v>
      </c>
      <c r="W71" s="68" t="s">
        <v>460</v>
      </c>
      <c r="X71" s="68" t="s">
        <v>461</v>
      </c>
      <c r="Y71" s="68" t="s">
        <v>462</v>
      </c>
      <c r="Z71" s="74"/>
      <c r="AA71" s="73"/>
      <c r="AB71" s="74"/>
      <c r="AC71" s="74"/>
      <c r="AD71" s="74"/>
      <c r="AE71" s="74"/>
      <c r="AF71" s="74"/>
      <c r="AG71" s="74"/>
      <c r="AH71" s="73"/>
      <c r="AI71" s="367"/>
      <c r="AJ71" s="362"/>
      <c r="AK71" s="362"/>
      <c r="AL71" s="362"/>
      <c r="AM71" s="362"/>
      <c r="AN71" s="362"/>
      <c r="AO71" s="362"/>
      <c r="AP71" s="362"/>
      <c r="AQ71" s="362"/>
      <c r="AR71" s="362"/>
      <c r="AS71" s="362"/>
      <c r="AT71" s="362"/>
      <c r="AU71" s="362"/>
      <c r="AV71" s="362"/>
      <c r="AW71" s="362"/>
      <c r="AX71" s="362"/>
      <c r="AY71" s="362"/>
      <c r="AZ71" s="193"/>
      <c r="BA71" s="195">
        <f t="shared" si="78"/>
        <v>0</v>
      </c>
      <c r="BB71" s="205">
        <f>IF(BT22=1,AL124/(第2期!AP124/2+AP124),0)</f>
        <v>0</v>
      </c>
      <c r="BC71" s="203"/>
      <c r="BD71" s="194">
        <f t="shared" si="79"/>
        <v>0</v>
      </c>
      <c r="BE71" s="209" t="e">
        <f t="shared" ref="BE71:BH73" si="86">BB48/$BE$31</f>
        <v>#DIV/0!</v>
      </c>
      <c r="BF71" s="209" t="e">
        <f t="shared" si="86"/>
        <v>#DIV/0!</v>
      </c>
      <c r="BG71" s="209" t="e">
        <f t="shared" si="86"/>
        <v>#DIV/0!</v>
      </c>
      <c r="BH71" s="209" t="e">
        <f t="shared" si="86"/>
        <v>#DIV/0!</v>
      </c>
      <c r="BI71" s="203"/>
      <c r="BJ71" s="203"/>
      <c r="BK71" s="203"/>
      <c r="BL71" s="203"/>
      <c r="BM71" s="203"/>
      <c r="BN71" s="203"/>
      <c r="BO71" s="203"/>
      <c r="BP71" s="203"/>
      <c r="BQ71" s="203"/>
      <c r="BR71" s="211"/>
      <c r="BS71" s="211"/>
      <c r="BT71" s="211"/>
      <c r="BU71" s="211"/>
      <c r="BV71" s="211"/>
      <c r="BW71" s="211"/>
      <c r="BX71" s="211"/>
      <c r="BY71" s="211"/>
      <c r="BZ71" s="211"/>
      <c r="CA71" s="211"/>
      <c r="CB71" s="211"/>
      <c r="CC71" s="211"/>
      <c r="CD71" s="211"/>
      <c r="CE71" s="211"/>
      <c r="CF71" s="211"/>
      <c r="CG71" s="211"/>
      <c r="CH71" s="211"/>
      <c r="CI71" s="211"/>
      <c r="CJ71" s="62"/>
    </row>
    <row r="72" s="61" customFormat="1" ht="16" customHeight="1" spans="1:88">
      <c r="A72" s="269" t="s">
        <v>699</v>
      </c>
      <c r="B72" s="77">
        <f>(SUM(AP13:AP16)+J56)*初始化表!F22</f>
        <v>0</v>
      </c>
      <c r="C72" s="77" t="e">
        <f t="shared" si="85"/>
        <v>#DIV/0!</v>
      </c>
      <c r="D72" s="74"/>
      <c r="E72" s="328" t="s">
        <v>457</v>
      </c>
      <c r="F72" s="236" t="e">
        <f>B77</f>
        <v>#DIV/0!</v>
      </c>
      <c r="G72" s="73"/>
      <c r="H72" s="270" t="str">
        <f t="shared" ref="H72:L76" si="87">U41</f>
        <v>本期待销</v>
      </c>
      <c r="I72" s="270" t="str">
        <f t="shared" si="87"/>
        <v>市场1</v>
      </c>
      <c r="J72" s="270" t="str">
        <f t="shared" si="87"/>
        <v>市场2</v>
      </c>
      <c r="K72" s="270" t="str">
        <f t="shared" si="87"/>
        <v>市场3</v>
      </c>
      <c r="L72" s="270" t="str">
        <f t="shared" si="87"/>
        <v>市场4</v>
      </c>
      <c r="M72" s="378" t="s">
        <v>700</v>
      </c>
      <c r="N72" s="117" t="s">
        <v>720</v>
      </c>
      <c r="O72" s="117" t="s">
        <v>38</v>
      </c>
      <c r="P72" s="117" t="s">
        <v>39</v>
      </c>
      <c r="Q72" s="117" t="s">
        <v>40</v>
      </c>
      <c r="R72" s="117" t="s">
        <v>41</v>
      </c>
      <c r="S72" s="117" t="s">
        <v>721</v>
      </c>
      <c r="T72" s="120"/>
      <c r="U72" s="68" t="s">
        <v>464</v>
      </c>
      <c r="V72" s="251">
        <f>INT(B12*(1-$O$43)+0.5)</f>
        <v>0</v>
      </c>
      <c r="W72" s="251">
        <f>INT(C12*(1-$O$43)+0.5)</f>
        <v>0</v>
      </c>
      <c r="X72" s="251">
        <f>INT(D12*(1-$O$43)+0.5)</f>
        <v>0</v>
      </c>
      <c r="Y72" s="251">
        <f>INT(E12*(1-$O$43)+0.5)</f>
        <v>0</v>
      </c>
      <c r="Z72" s="74"/>
      <c r="AA72" s="73"/>
      <c r="AB72" s="74"/>
      <c r="AC72" s="74"/>
      <c r="AD72" s="74"/>
      <c r="AE72" s="74"/>
      <c r="AF72" s="74"/>
      <c r="AG72" s="74"/>
      <c r="AH72" s="73"/>
      <c r="AI72" s="367"/>
      <c r="AJ72" s="362"/>
      <c r="AK72" s="362"/>
      <c r="AL72" s="362"/>
      <c r="AM72" s="362"/>
      <c r="AN72" s="362"/>
      <c r="AO72" s="362"/>
      <c r="AP72" s="362"/>
      <c r="AQ72" s="362"/>
      <c r="AR72" s="362"/>
      <c r="AS72" s="362"/>
      <c r="AT72" s="362"/>
      <c r="AU72" s="362"/>
      <c r="AV72" s="362"/>
      <c r="AW72" s="362"/>
      <c r="AX72" s="362"/>
      <c r="AY72" s="362"/>
      <c r="AZ72" s="193"/>
      <c r="BA72" s="195">
        <f t="shared" si="78"/>
        <v>0</v>
      </c>
      <c r="BB72" s="205">
        <f>IF(BT23=1,AL125/(第2期!AP125/2+AP125),0)</f>
        <v>0</v>
      </c>
      <c r="BC72" s="203"/>
      <c r="BD72" s="194">
        <f t="shared" si="79"/>
        <v>0</v>
      </c>
      <c r="BE72" s="209" t="e">
        <f t="shared" si="86"/>
        <v>#DIV/0!</v>
      </c>
      <c r="BF72" s="209" t="e">
        <f t="shared" si="86"/>
        <v>#DIV/0!</v>
      </c>
      <c r="BG72" s="209" t="e">
        <f t="shared" si="86"/>
        <v>#DIV/0!</v>
      </c>
      <c r="BH72" s="209" t="e">
        <f t="shared" si="86"/>
        <v>#DIV/0!</v>
      </c>
      <c r="BI72" s="203"/>
      <c r="BJ72" s="203"/>
      <c r="BK72" s="203"/>
      <c r="BL72" s="203"/>
      <c r="BM72" s="203"/>
      <c r="BN72" s="203"/>
      <c r="BO72" s="203"/>
      <c r="BP72" s="203"/>
      <c r="BQ72" s="203"/>
      <c r="BR72" s="211"/>
      <c r="BS72" s="211"/>
      <c r="BT72" s="211"/>
      <c r="BU72" s="211"/>
      <c r="BV72" s="211"/>
      <c r="BW72" s="211"/>
      <c r="BX72" s="211"/>
      <c r="BY72" s="211"/>
      <c r="BZ72" s="211"/>
      <c r="CA72" s="211"/>
      <c r="CB72" s="211"/>
      <c r="CC72" s="211"/>
      <c r="CD72" s="211"/>
      <c r="CE72" s="211"/>
      <c r="CF72" s="211"/>
      <c r="CG72" s="211"/>
      <c r="CH72" s="211"/>
      <c r="CI72" s="211"/>
      <c r="CJ72" s="62"/>
    </row>
    <row r="73" s="61" customFormat="1" ht="16" customHeight="1" spans="1:88">
      <c r="A73" s="269" t="s">
        <v>701</v>
      </c>
      <c r="B73" s="77">
        <f>(SUM(AP17:AP20)+K56)*初始化表!G22</f>
        <v>0</v>
      </c>
      <c r="C73" s="77" t="e">
        <f t="shared" si="85"/>
        <v>#DIV/0!</v>
      </c>
      <c r="D73" s="74"/>
      <c r="E73" s="328" t="s">
        <v>463</v>
      </c>
      <c r="F73" s="236">
        <f>MAX(P33-B24,0)</f>
        <v>0</v>
      </c>
      <c r="G73" s="73"/>
      <c r="H73" s="270" t="str">
        <f t="shared" si="87"/>
        <v>产品1</v>
      </c>
      <c r="I73" s="77">
        <f t="shared" si="87"/>
        <v>0</v>
      </c>
      <c r="J73" s="77">
        <f t="shared" si="87"/>
        <v>0</v>
      </c>
      <c r="K73" s="77">
        <f t="shared" si="87"/>
        <v>0</v>
      </c>
      <c r="L73" s="77">
        <f t="shared" si="87"/>
        <v>0</v>
      </c>
      <c r="M73" s="243" t="e">
        <f>INT((M68-Z5)/初始化表!$B$4)</f>
        <v>#DIV/0!</v>
      </c>
      <c r="N73" s="117" t="s">
        <v>198</v>
      </c>
      <c r="O73" s="244">
        <f>V42-IF(V17=0,第2期!I73,V17)</f>
        <v>0</v>
      </c>
      <c r="P73" s="244">
        <f>W42-IF(W17=0,第2期!J73,W17)</f>
        <v>0</v>
      </c>
      <c r="Q73" s="244">
        <f>X42-IF(X17=0,第2期!K73,X17)</f>
        <v>0</v>
      </c>
      <c r="R73" s="244">
        <f>Y42-IF(Y17=0,第2期!L73,Y17)</f>
        <v>0</v>
      </c>
      <c r="S73" s="244">
        <f>IF(I85=0,0,ABS(P85-O85)/ABS(I85-J85))</f>
        <v>0</v>
      </c>
      <c r="T73" s="120"/>
      <c r="U73" s="68" t="s">
        <v>465</v>
      </c>
      <c r="V73" s="251">
        <f>INT(B13*(1-$P$43)+0.5)</f>
        <v>0</v>
      </c>
      <c r="W73" s="251">
        <f>INT(C13*(1-$P$43)+0.5)</f>
        <v>0</v>
      </c>
      <c r="X73" s="251">
        <f>INT(D13*(1-$P$43)+0.5)</f>
        <v>0</v>
      </c>
      <c r="Y73" s="251">
        <f>INT(E13*(1-$P$43)+0.5)</f>
        <v>0</v>
      </c>
      <c r="Z73" s="74"/>
      <c r="AA73" s="73"/>
      <c r="AB73" s="74"/>
      <c r="AC73" s="74"/>
      <c r="AD73" s="74"/>
      <c r="AE73" s="74"/>
      <c r="AF73" s="74"/>
      <c r="AG73" s="74"/>
      <c r="AH73" s="73"/>
      <c r="AI73" s="367"/>
      <c r="AJ73" s="362"/>
      <c r="AK73" s="362"/>
      <c r="AL73" s="362"/>
      <c r="AM73" s="362"/>
      <c r="AN73" s="362"/>
      <c r="AO73" s="362"/>
      <c r="AP73" s="362"/>
      <c r="AQ73" s="362"/>
      <c r="AR73" s="362"/>
      <c r="AS73" s="362"/>
      <c r="AT73" s="362"/>
      <c r="AU73" s="362"/>
      <c r="AV73" s="362"/>
      <c r="AW73" s="362"/>
      <c r="AX73" s="362"/>
      <c r="AY73" s="362"/>
      <c r="AZ73" s="193"/>
      <c r="BA73" s="195">
        <f t="shared" si="78"/>
        <v>0</v>
      </c>
      <c r="BB73" s="205">
        <f>IF(BT24=1,AL126/(第2期!AP126/2+AP126),0)</f>
        <v>0</v>
      </c>
      <c r="BC73" s="203"/>
      <c r="BD73" s="194">
        <f t="shared" si="79"/>
        <v>0</v>
      </c>
      <c r="BE73" s="209" t="e">
        <f t="shared" si="86"/>
        <v>#DIV/0!</v>
      </c>
      <c r="BF73" s="209" t="e">
        <f t="shared" si="86"/>
        <v>#DIV/0!</v>
      </c>
      <c r="BG73" s="209" t="e">
        <f t="shared" si="86"/>
        <v>#DIV/0!</v>
      </c>
      <c r="BH73" s="209" t="e">
        <f t="shared" si="86"/>
        <v>#DIV/0!</v>
      </c>
      <c r="BI73" s="203"/>
      <c r="BJ73" s="203"/>
      <c r="BK73" s="203"/>
      <c r="BL73" s="203"/>
      <c r="BM73" s="203"/>
      <c r="BN73" s="203"/>
      <c r="BO73" s="203"/>
      <c r="BP73" s="203"/>
      <c r="BQ73" s="203"/>
      <c r="BR73" s="211"/>
      <c r="BS73" s="211"/>
      <c r="BT73" s="211"/>
      <c r="BU73" s="211"/>
      <c r="BV73" s="211"/>
      <c r="BW73" s="211"/>
      <c r="BX73" s="211"/>
      <c r="BY73" s="211"/>
      <c r="BZ73" s="211"/>
      <c r="CA73" s="211"/>
      <c r="CB73" s="211"/>
      <c r="CC73" s="211"/>
      <c r="CD73" s="211"/>
      <c r="CE73" s="211"/>
      <c r="CF73" s="211"/>
      <c r="CG73" s="211"/>
      <c r="CH73" s="211"/>
      <c r="CI73" s="211"/>
      <c r="CJ73" s="62"/>
    </row>
    <row r="74" s="61" customFormat="1" ht="16" customHeight="1" spans="1:88">
      <c r="A74" s="269" t="s">
        <v>702</v>
      </c>
      <c r="B74" s="77">
        <f>(SUM(AP21:AP24)+L56)*初始化表!H22</f>
        <v>0</v>
      </c>
      <c r="C74" s="77" t="e">
        <f t="shared" si="85"/>
        <v>#DIV/0!</v>
      </c>
      <c r="D74" s="74"/>
      <c r="E74" s="328" t="s">
        <v>703</v>
      </c>
      <c r="F74" s="236">
        <f>D24</f>
        <v>0</v>
      </c>
      <c r="G74" s="73"/>
      <c r="H74" s="270" t="str">
        <f t="shared" si="87"/>
        <v>产品2</v>
      </c>
      <c r="I74" s="77">
        <f t="shared" si="87"/>
        <v>0</v>
      </c>
      <c r="J74" s="77">
        <f t="shared" si="87"/>
        <v>0</v>
      </c>
      <c r="K74" s="77">
        <f t="shared" si="87"/>
        <v>0</v>
      </c>
      <c r="L74" s="77">
        <f t="shared" si="87"/>
        <v>0</v>
      </c>
      <c r="M74" s="243" t="e">
        <f>INT((M69-Z6)/初始化表!$B$4)</f>
        <v>#DIV/0!</v>
      </c>
      <c r="N74" s="117" t="s">
        <v>202</v>
      </c>
      <c r="O74" s="244">
        <f>V43-IF(V18=0,第2期!I74,V18)</f>
        <v>0</v>
      </c>
      <c r="P74" s="244">
        <f>W43-IF(W18=0,第2期!J74,W18)</f>
        <v>0</v>
      </c>
      <c r="Q74" s="244">
        <f>X43-IF(X18=0,第2期!K74,X18)</f>
        <v>0</v>
      </c>
      <c r="R74" s="244">
        <f>Y43-IF(Y18=0,第2期!L74,Y18)</f>
        <v>0</v>
      </c>
      <c r="S74" s="244">
        <f>IF(I86=0,0,ABS(P86-O86)/ABS(I86-J86))</f>
        <v>0</v>
      </c>
      <c r="T74" s="120"/>
      <c r="U74" s="68" t="s">
        <v>466</v>
      </c>
      <c r="V74" s="251">
        <f>INT(B14*(1-$Q$43)+0.5)</f>
        <v>0</v>
      </c>
      <c r="W74" s="251">
        <f>INT(C14*(1-$Q$43)+0.5)</f>
        <v>0</v>
      </c>
      <c r="X74" s="251">
        <f>INT(D14*(1-$Q$43)+0.5)</f>
        <v>0</v>
      </c>
      <c r="Y74" s="251">
        <f>INT(E14*(1-$Q$43)+0.5)</f>
        <v>0</v>
      </c>
      <c r="Z74" s="74"/>
      <c r="AA74" s="73"/>
      <c r="AB74" s="74"/>
      <c r="AC74" s="74"/>
      <c r="AD74" s="74"/>
      <c r="AE74" s="74"/>
      <c r="AF74" s="74"/>
      <c r="AG74" s="74"/>
      <c r="AH74" s="73"/>
      <c r="AI74" s="367"/>
      <c r="AJ74" s="362"/>
      <c r="AK74" s="362"/>
      <c r="AL74" s="362"/>
      <c r="AM74" s="362"/>
      <c r="AN74" s="362"/>
      <c r="AO74" s="362"/>
      <c r="AP74" s="362"/>
      <c r="AQ74" s="362"/>
      <c r="AR74" s="362"/>
      <c r="AS74" s="362"/>
      <c r="AT74" s="362"/>
      <c r="AU74" s="362"/>
      <c r="AV74" s="362"/>
      <c r="AW74" s="362"/>
      <c r="AX74" s="362"/>
      <c r="AY74" s="362"/>
      <c r="AZ74" s="193"/>
      <c r="BA74" s="203"/>
      <c r="BB74" s="203"/>
      <c r="BC74" s="203"/>
      <c r="BD74" s="203"/>
      <c r="BE74" s="203"/>
      <c r="BF74" s="203"/>
      <c r="BG74" s="203"/>
      <c r="BH74" s="203"/>
      <c r="BI74" s="203"/>
      <c r="BJ74" s="203"/>
      <c r="BK74" s="203"/>
      <c r="BL74" s="203"/>
      <c r="BM74" s="203"/>
      <c r="BN74" s="203"/>
      <c r="BO74" s="203"/>
      <c r="BP74" s="203"/>
      <c r="BQ74" s="203"/>
      <c r="BR74" s="211"/>
      <c r="BS74" s="211"/>
      <c r="BT74" s="211"/>
      <c r="BU74" s="211"/>
      <c r="BV74" s="211"/>
      <c r="BW74" s="211"/>
      <c r="BX74" s="211"/>
      <c r="BY74" s="211"/>
      <c r="BZ74" s="211"/>
      <c r="CA74" s="211"/>
      <c r="CB74" s="211"/>
      <c r="CC74" s="211"/>
      <c r="CD74" s="211"/>
      <c r="CE74" s="211"/>
      <c r="CF74" s="211"/>
      <c r="CG74" s="211"/>
      <c r="CH74" s="211"/>
      <c r="CI74" s="211"/>
      <c r="CJ74" s="62"/>
    </row>
    <row r="75" s="61" customFormat="1" ht="16" customHeight="1" spans="1:88">
      <c r="A75" s="269" t="s">
        <v>442</v>
      </c>
      <c r="B75" s="77">
        <f>SUM(F17:F20)/2</f>
        <v>0</v>
      </c>
      <c r="C75" s="77" t="e">
        <f t="shared" si="85"/>
        <v>#DIV/0!</v>
      </c>
      <c r="D75" s="74"/>
      <c r="E75" s="328" t="s">
        <v>704</v>
      </c>
      <c r="F75" s="236">
        <f>B78</f>
        <v>0</v>
      </c>
      <c r="G75" s="73"/>
      <c r="H75" s="270" t="str">
        <f t="shared" si="87"/>
        <v>产品3</v>
      </c>
      <c r="I75" s="77">
        <f t="shared" si="87"/>
        <v>0</v>
      </c>
      <c r="J75" s="77">
        <f t="shared" si="87"/>
        <v>0</v>
      </c>
      <c r="K75" s="77">
        <f t="shared" si="87"/>
        <v>0</v>
      </c>
      <c r="L75" s="77">
        <f t="shared" si="87"/>
        <v>0</v>
      </c>
      <c r="M75" s="243" t="e">
        <f>INT((M70-Z7)/初始化表!$B$4)</f>
        <v>#DIV/0!</v>
      </c>
      <c r="N75" s="117" t="s">
        <v>206</v>
      </c>
      <c r="O75" s="244">
        <f>V44-IF(V19=0,第2期!I75,V19)</f>
        <v>0</v>
      </c>
      <c r="P75" s="244">
        <f>W44-IF(W19=0,第2期!J75,W19)</f>
        <v>0</v>
      </c>
      <c r="Q75" s="244">
        <f>X44-IF(X19=0,第2期!K75,X19)</f>
        <v>0</v>
      </c>
      <c r="R75" s="244">
        <f>Y44-IF(Y19=0,第2期!L75,Y19)</f>
        <v>0</v>
      </c>
      <c r="S75" s="244">
        <f t="shared" ref="S75:S76" si="88">IF(I87=0,0,ABS(P87-O87)/ABS(I87-J87))</f>
        <v>0</v>
      </c>
      <c r="T75" s="120"/>
      <c r="U75" s="68" t="s">
        <v>468</v>
      </c>
      <c r="V75" s="251">
        <f>INT(B15*(1-$R$43)+0.5)</f>
        <v>0</v>
      </c>
      <c r="W75" s="251">
        <f>INT(C15*(1-$R$43)+0.5)</f>
        <v>0</v>
      </c>
      <c r="X75" s="251">
        <f>INT(D15*(1-$R$43)+0.5)</f>
        <v>0</v>
      </c>
      <c r="Y75" s="251">
        <f>INT(E15*(1-$R$43)+0.5)</f>
        <v>0</v>
      </c>
      <c r="Z75" s="74"/>
      <c r="AA75" s="73"/>
      <c r="AB75" s="74"/>
      <c r="AC75" s="74"/>
      <c r="AD75" s="74"/>
      <c r="AE75" s="74"/>
      <c r="AF75" s="74"/>
      <c r="AG75" s="74"/>
      <c r="AH75" s="73"/>
      <c r="AI75" s="367"/>
      <c r="AJ75" s="362"/>
      <c r="AK75" s="362"/>
      <c r="AL75" s="362"/>
      <c r="AM75" s="362"/>
      <c r="AN75" s="362"/>
      <c r="AO75" s="362"/>
      <c r="AP75" s="362"/>
      <c r="AQ75" s="362"/>
      <c r="AR75" s="362"/>
      <c r="AS75" s="362"/>
      <c r="AT75" s="362"/>
      <c r="AU75" s="362"/>
      <c r="AV75" s="362"/>
      <c r="AW75" s="362"/>
      <c r="AX75" s="362"/>
      <c r="AY75" s="362"/>
      <c r="AZ75" s="193"/>
      <c r="BA75" s="203"/>
      <c r="BB75" s="203"/>
      <c r="BC75" s="203"/>
      <c r="BD75" s="203"/>
      <c r="BE75" s="203"/>
      <c r="BF75" s="203"/>
      <c r="BG75" s="203"/>
      <c r="BH75" s="203"/>
      <c r="BI75" s="203"/>
      <c r="BJ75" s="203"/>
      <c r="BK75" s="203"/>
      <c r="BL75" s="203"/>
      <c r="BM75" s="203"/>
      <c r="BN75" s="203"/>
      <c r="BO75" s="203"/>
      <c r="BP75" s="203"/>
      <c r="BQ75" s="203"/>
      <c r="BR75" s="211"/>
      <c r="BS75" s="211"/>
      <c r="BT75" s="211"/>
      <c r="BU75" s="211"/>
      <c r="BV75" s="211"/>
      <c r="BW75" s="211"/>
      <c r="BX75" s="211"/>
      <c r="BY75" s="211"/>
      <c r="BZ75" s="211"/>
      <c r="CA75" s="211"/>
      <c r="CB75" s="211"/>
      <c r="CC75" s="211"/>
      <c r="CD75" s="211"/>
      <c r="CE75" s="211"/>
      <c r="CF75" s="211"/>
      <c r="CG75" s="211"/>
      <c r="CH75" s="211"/>
      <c r="CI75" s="211"/>
      <c r="CJ75" s="62"/>
    </row>
    <row r="76" s="61" customFormat="1" ht="16" customHeight="1" spans="1:88">
      <c r="A76" s="269" t="s">
        <v>443</v>
      </c>
      <c r="B76" s="77" t="e">
        <f>O49*初始化表!B8</f>
        <v>#DIV/0!</v>
      </c>
      <c r="C76" s="77" t="e">
        <f t="shared" si="85"/>
        <v>#DIV/0!</v>
      </c>
      <c r="D76" s="74"/>
      <c r="E76" s="328" t="s">
        <v>467</v>
      </c>
      <c r="F76" s="236">
        <f>SUM(I6:I9,F17:F20)</f>
        <v>0</v>
      </c>
      <c r="G76" s="73"/>
      <c r="H76" s="270" t="str">
        <f t="shared" si="87"/>
        <v>产品4</v>
      </c>
      <c r="I76" s="77">
        <f t="shared" si="87"/>
        <v>0</v>
      </c>
      <c r="J76" s="77">
        <f t="shared" si="87"/>
        <v>0</v>
      </c>
      <c r="K76" s="77">
        <f t="shared" si="87"/>
        <v>0</v>
      </c>
      <c r="L76" s="77">
        <f t="shared" si="87"/>
        <v>0</v>
      </c>
      <c r="M76" s="243" t="e">
        <f>INT((M71-Z8)/初始化表!$B$4)</f>
        <v>#DIV/0!</v>
      </c>
      <c r="N76" s="117" t="s">
        <v>208</v>
      </c>
      <c r="O76" s="244">
        <f>V45-IF(V20=0,第2期!I76,V20)</f>
        <v>0</v>
      </c>
      <c r="P76" s="244">
        <f>W45-IF(W20=0,第2期!J76,W20)</f>
        <v>0</v>
      </c>
      <c r="Q76" s="244">
        <f>X45-IF(X20=0,第2期!K76,X20)</f>
        <v>0</v>
      </c>
      <c r="R76" s="244">
        <f>Y45-IF(Y20=0,第2期!L76,Y20)</f>
        <v>0</v>
      </c>
      <c r="S76" s="244">
        <f t="shared" si="88"/>
        <v>0</v>
      </c>
      <c r="T76" s="120"/>
      <c r="U76" s="74"/>
      <c r="V76" s="74"/>
      <c r="W76" s="74"/>
      <c r="X76" s="74"/>
      <c r="Y76" s="74"/>
      <c r="Z76" s="74"/>
      <c r="AA76" s="73"/>
      <c r="AB76" s="74"/>
      <c r="AC76" s="74"/>
      <c r="AD76" s="74"/>
      <c r="AE76" s="74"/>
      <c r="AF76" s="74"/>
      <c r="AG76" s="74"/>
      <c r="AH76" s="73"/>
      <c r="AI76" s="367"/>
      <c r="AJ76" s="362"/>
      <c r="AK76" s="362"/>
      <c r="AL76" s="362"/>
      <c r="AM76" s="362"/>
      <c r="AN76" s="362"/>
      <c r="AO76" s="362"/>
      <c r="AP76" s="362"/>
      <c r="AQ76" s="362"/>
      <c r="AR76" s="362"/>
      <c r="AS76" s="362"/>
      <c r="AT76" s="362"/>
      <c r="AU76" s="362"/>
      <c r="AV76" s="362"/>
      <c r="AW76" s="362"/>
      <c r="AX76" s="362"/>
      <c r="AY76" s="362"/>
      <c r="AZ76" s="193"/>
      <c r="BA76" s="203"/>
      <c r="BB76" s="203"/>
      <c r="BC76" s="203"/>
      <c r="BD76" s="203"/>
      <c r="BE76" s="203"/>
      <c r="BF76" s="203"/>
      <c r="BG76" s="203"/>
      <c r="BH76" s="203"/>
      <c r="BI76" s="203"/>
      <c r="BJ76" s="203"/>
      <c r="BK76" s="203"/>
      <c r="BL76" s="203"/>
      <c r="BM76" s="203"/>
      <c r="BN76" s="203"/>
      <c r="BO76" s="203"/>
      <c r="BP76" s="203"/>
      <c r="BQ76" s="203"/>
      <c r="BR76" s="211"/>
      <c r="BS76" s="211"/>
      <c r="BT76" s="211"/>
      <c r="BU76" s="211"/>
      <c r="BV76" s="211"/>
      <c r="BW76" s="211"/>
      <c r="BX76" s="211"/>
      <c r="BY76" s="211"/>
      <c r="BZ76" s="211"/>
      <c r="CA76" s="211"/>
      <c r="CB76" s="211"/>
      <c r="CC76" s="211"/>
      <c r="CD76" s="211"/>
      <c r="CE76" s="211"/>
      <c r="CF76" s="211"/>
      <c r="CG76" s="211"/>
      <c r="CH76" s="211"/>
      <c r="CI76" s="211"/>
      <c r="CJ76" s="62"/>
    </row>
    <row r="77" s="61" customFormat="1" ht="16" customHeight="1" spans="1:88">
      <c r="A77" s="269" t="s">
        <v>444</v>
      </c>
      <c r="B77" s="77" t="e">
        <f>第2期!B77-C51</f>
        <v>#DIV/0!</v>
      </c>
      <c r="C77" s="77" t="e">
        <f>C76-B77</f>
        <v>#DIV/0!</v>
      </c>
      <c r="D77" s="74"/>
      <c r="E77" s="328" t="s">
        <v>255</v>
      </c>
      <c r="F77" s="408" t="e">
        <f>D56-E60</f>
        <v>#DIV/0!</v>
      </c>
      <c r="G77" s="73"/>
      <c r="H77" s="269" t="s">
        <v>722</v>
      </c>
      <c r="I77" s="269"/>
      <c r="J77" s="269"/>
      <c r="K77" s="269"/>
      <c r="L77" s="269"/>
      <c r="M77" s="269" t="s">
        <v>723</v>
      </c>
      <c r="N77" s="117" t="s">
        <v>730</v>
      </c>
      <c r="O77" s="117" t="s">
        <v>38</v>
      </c>
      <c r="P77" s="117" t="s">
        <v>39</v>
      </c>
      <c r="Q77" s="117" t="s">
        <v>40</v>
      </c>
      <c r="R77" s="117" t="s">
        <v>41</v>
      </c>
      <c r="S77" s="74"/>
      <c r="T77" s="120"/>
      <c r="U77" s="74"/>
      <c r="V77" s="74"/>
      <c r="W77" s="74"/>
      <c r="X77" s="74"/>
      <c r="Y77" s="74"/>
      <c r="Z77" s="74"/>
      <c r="AA77" s="73"/>
      <c r="AB77" s="74"/>
      <c r="AC77" s="74"/>
      <c r="AD77" s="74"/>
      <c r="AE77" s="74"/>
      <c r="AF77" s="74"/>
      <c r="AG77" s="74"/>
      <c r="AH77" s="73"/>
      <c r="AI77" s="367"/>
      <c r="AJ77" s="362"/>
      <c r="AK77" s="362"/>
      <c r="AL77" s="362"/>
      <c r="AM77" s="362"/>
      <c r="AN77" s="362"/>
      <c r="AO77" s="362"/>
      <c r="AP77" s="362"/>
      <c r="AQ77" s="362"/>
      <c r="AR77" s="362"/>
      <c r="AS77" s="362"/>
      <c r="AT77" s="362"/>
      <c r="AU77" s="362"/>
      <c r="AV77" s="362"/>
      <c r="AW77" s="362"/>
      <c r="AX77" s="362"/>
      <c r="AY77" s="362"/>
      <c r="AZ77" s="193"/>
      <c r="BA77" s="203"/>
      <c r="BB77" s="203"/>
      <c r="BC77" s="203"/>
      <c r="BD77" s="203"/>
      <c r="BE77" s="203"/>
      <c r="BF77" s="203"/>
      <c r="BG77" s="203"/>
      <c r="BH77" s="203"/>
      <c r="BI77" s="203"/>
      <c r="BJ77" s="203"/>
      <c r="BK77" s="203"/>
      <c r="BL77" s="203"/>
      <c r="BM77" s="203"/>
      <c r="BN77" s="203"/>
      <c r="BO77" s="203"/>
      <c r="BP77" s="203"/>
      <c r="BQ77" s="203"/>
      <c r="BR77" s="211"/>
      <c r="BS77" s="211"/>
      <c r="BT77" s="211"/>
      <c r="BU77" s="211"/>
      <c r="BV77" s="211"/>
      <c r="BW77" s="203"/>
      <c r="BX77" s="264"/>
      <c r="BY77" s="211"/>
      <c r="BZ77" s="211"/>
      <c r="CA77" s="211"/>
      <c r="CB77" s="211"/>
      <c r="CC77" s="211"/>
      <c r="CD77" s="211"/>
      <c r="CE77" s="211"/>
      <c r="CF77" s="211"/>
      <c r="CG77" s="211"/>
      <c r="CH77" s="211"/>
      <c r="CI77" s="211"/>
      <c r="CJ77" s="62"/>
    </row>
    <row r="78" s="61" customFormat="1" ht="16" customHeight="1" spans="1:88">
      <c r="A78" s="269" t="s">
        <v>310</v>
      </c>
      <c r="B78" s="71">
        <f>O35+C24+C31</f>
        <v>0</v>
      </c>
      <c r="C78" s="71" t="e">
        <f>C77-B78</f>
        <v>#DIV/0!</v>
      </c>
      <c r="D78" s="74"/>
      <c r="E78" s="328" t="s">
        <v>469</v>
      </c>
      <c r="F78" s="236" t="e">
        <f>-C61</f>
        <v>#DIV/0!</v>
      </c>
      <c r="G78" s="73"/>
      <c r="H78" s="269" t="s">
        <v>521</v>
      </c>
      <c r="I78" s="77" t="e">
        <f>第2期!BN42</f>
        <v>#DIV/0!</v>
      </c>
      <c r="J78" s="77" t="e">
        <f>第2期!BO42</f>
        <v>#DIV/0!</v>
      </c>
      <c r="K78" s="77" t="e">
        <f>第2期!BP42</f>
        <v>#DIV/0!</v>
      </c>
      <c r="L78" s="77" t="e">
        <f>第2期!BQ42</f>
        <v>#DIV/0!</v>
      </c>
      <c r="M78" s="243" t="e">
        <f>SUM(I78:L78)</f>
        <v>#DIV/0!</v>
      </c>
      <c r="N78" s="117" t="s">
        <v>198</v>
      </c>
      <c r="O78" s="244" t="e">
        <f>V23-O68*(O73-IF($J6&gt;0,10,0))</f>
        <v>#DIV/0!</v>
      </c>
      <c r="P78" s="244" t="e">
        <f t="shared" ref="P78:R79" si="89">W23-P68*(P73-IF($J6&gt;0,10,0))</f>
        <v>#DIV/0!</v>
      </c>
      <c r="Q78" s="244" t="e">
        <f t="shared" si="89"/>
        <v>#DIV/0!</v>
      </c>
      <c r="R78" s="244" t="e">
        <f t="shared" si="89"/>
        <v>#DIV/0!</v>
      </c>
      <c r="S78" s="74"/>
      <c r="T78" s="120"/>
      <c r="U78" s="74"/>
      <c r="V78" s="74"/>
      <c r="W78" s="74"/>
      <c r="X78" s="74"/>
      <c r="Y78" s="74"/>
      <c r="Z78" s="74"/>
      <c r="AA78" s="73"/>
      <c r="AB78" s="74"/>
      <c r="AC78" s="74"/>
      <c r="AD78" s="74"/>
      <c r="AE78" s="74"/>
      <c r="AF78" s="74"/>
      <c r="AG78" s="74"/>
      <c r="AH78" s="73"/>
      <c r="AI78" s="367"/>
      <c r="AJ78" s="362"/>
      <c r="AK78" s="362"/>
      <c r="AL78" s="362"/>
      <c r="AM78" s="362"/>
      <c r="AN78" s="362"/>
      <c r="AO78" s="362"/>
      <c r="AP78" s="362"/>
      <c r="AQ78" s="362"/>
      <c r="AR78" s="362"/>
      <c r="AS78" s="362"/>
      <c r="AT78" s="362"/>
      <c r="AU78" s="362"/>
      <c r="AV78" s="362"/>
      <c r="AW78" s="362"/>
      <c r="AX78" s="362"/>
      <c r="AY78" s="362"/>
      <c r="AZ78" s="193"/>
      <c r="BA78" s="203"/>
      <c r="BB78" s="203"/>
      <c r="BC78" s="203"/>
      <c r="BD78" s="203"/>
      <c r="BE78" s="203"/>
      <c r="BF78" s="203"/>
      <c r="BG78" s="203"/>
      <c r="BH78" s="203"/>
      <c r="BI78" s="203"/>
      <c r="BJ78" s="203"/>
      <c r="BK78" s="203"/>
      <c r="BL78" s="203"/>
      <c r="BM78" s="203"/>
      <c r="BN78" s="203"/>
      <c r="BO78" s="203"/>
      <c r="BP78" s="203"/>
      <c r="BQ78" s="203"/>
      <c r="BR78" s="211"/>
      <c r="BS78" s="211"/>
      <c r="BT78" s="211"/>
      <c r="BU78" s="211"/>
      <c r="BV78" s="211"/>
      <c r="BW78" s="211"/>
      <c r="BX78" s="211"/>
      <c r="BY78" s="211"/>
      <c r="BZ78" s="211"/>
      <c r="CA78" s="211"/>
      <c r="CB78" s="211"/>
      <c r="CC78" s="211"/>
      <c r="CD78" s="211"/>
      <c r="CE78" s="211"/>
      <c r="CF78" s="211"/>
      <c r="CG78" s="211"/>
      <c r="CH78" s="211"/>
      <c r="CI78" s="211"/>
      <c r="CJ78" s="62"/>
    </row>
    <row r="79" s="61" customFormat="1" ht="16" customHeight="1" spans="1:88">
      <c r="A79" s="269" t="s">
        <v>446</v>
      </c>
      <c r="B79" s="77">
        <f>-C62</f>
        <v>0</v>
      </c>
      <c r="C79" s="77" t="e">
        <f>C78+B79</f>
        <v>#DIV/0!</v>
      </c>
      <c r="D79" s="74"/>
      <c r="E79" s="328" t="s">
        <v>470</v>
      </c>
      <c r="F79" s="236" t="e">
        <f>第2期!F79*(1+初始化表!B27/4)+F78</f>
        <v>#DIV/0!</v>
      </c>
      <c r="G79" s="73"/>
      <c r="H79" s="269" t="s">
        <v>522</v>
      </c>
      <c r="I79" s="77" t="e">
        <f>第2期!BN43</f>
        <v>#DIV/0!</v>
      </c>
      <c r="J79" s="77" t="e">
        <f>第2期!BO43</f>
        <v>#DIV/0!</v>
      </c>
      <c r="K79" s="77" t="e">
        <f>第2期!BP43</f>
        <v>#DIV/0!</v>
      </c>
      <c r="L79" s="77" t="e">
        <f>第2期!BQ43</f>
        <v>#DIV/0!</v>
      </c>
      <c r="M79" s="243" t="e">
        <f>SUM(I79:L79)</f>
        <v>#DIV/0!</v>
      </c>
      <c r="N79" s="117" t="s">
        <v>202</v>
      </c>
      <c r="O79" s="244" t="e">
        <f t="shared" ref="O79" si="90">V24-O69*(O74-IF($J7&gt;0,10,0))</f>
        <v>#DIV/0!</v>
      </c>
      <c r="P79" s="244" t="e">
        <f t="shared" si="89"/>
        <v>#DIV/0!</v>
      </c>
      <c r="Q79" s="244" t="e">
        <f t="shared" si="89"/>
        <v>#DIV/0!</v>
      </c>
      <c r="R79" s="244" t="e">
        <f t="shared" si="89"/>
        <v>#DIV/0!</v>
      </c>
      <c r="S79" s="74"/>
      <c r="T79" s="120"/>
      <c r="U79" s="74"/>
      <c r="V79" s="74"/>
      <c r="W79" s="74"/>
      <c r="X79" s="74"/>
      <c r="Y79" s="74"/>
      <c r="Z79" s="74"/>
      <c r="AA79" s="73"/>
      <c r="AB79" s="74"/>
      <c r="AC79" s="74"/>
      <c r="AD79" s="74"/>
      <c r="AE79" s="74"/>
      <c r="AF79" s="74"/>
      <c r="AG79" s="74"/>
      <c r="AH79" s="73"/>
      <c r="AI79" s="367"/>
      <c r="AJ79" s="362"/>
      <c r="AK79" s="362"/>
      <c r="AL79" s="362"/>
      <c r="AM79" s="362"/>
      <c r="AN79" s="362"/>
      <c r="AO79" s="362"/>
      <c r="AP79" s="362"/>
      <c r="AQ79" s="362"/>
      <c r="AR79" s="362"/>
      <c r="AS79" s="362"/>
      <c r="AT79" s="362"/>
      <c r="AU79" s="362"/>
      <c r="AV79" s="362"/>
      <c r="AW79" s="362"/>
      <c r="AX79" s="362"/>
      <c r="AY79" s="362"/>
      <c r="AZ79" s="193"/>
      <c r="BA79" s="203"/>
      <c r="BB79" s="203"/>
      <c r="BC79" s="203"/>
      <c r="BD79" s="203"/>
      <c r="BE79" s="203"/>
      <c r="BF79" s="203"/>
      <c r="BG79" s="203"/>
      <c r="BH79" s="203"/>
      <c r="BI79" s="203"/>
      <c r="BJ79" s="203"/>
      <c r="BK79" s="203"/>
      <c r="BL79" s="203"/>
      <c r="BM79" s="203"/>
      <c r="BN79" s="203"/>
      <c r="BO79" s="203"/>
      <c r="BP79" s="203"/>
      <c r="BQ79" s="203"/>
      <c r="BR79" s="211"/>
      <c r="BS79" s="211"/>
      <c r="BT79" s="211"/>
      <c r="BU79" s="211"/>
      <c r="BV79" s="211"/>
      <c r="BW79" s="211"/>
      <c r="BX79" s="211"/>
      <c r="BY79" s="211"/>
      <c r="BZ79" s="211"/>
      <c r="CA79" s="211"/>
      <c r="CB79" s="211"/>
      <c r="CC79" s="211"/>
      <c r="CD79" s="211"/>
      <c r="CE79" s="211"/>
      <c r="CF79" s="211"/>
      <c r="CG79" s="211"/>
      <c r="CH79" s="211"/>
      <c r="CI79" s="211"/>
      <c r="CJ79" s="62"/>
    </row>
    <row r="80" s="61" customFormat="1" ht="16" customHeight="1" spans="1:88">
      <c r="A80" s="269" t="s">
        <v>705</v>
      </c>
      <c r="B80" s="77" t="e">
        <f>C79</f>
        <v>#DIV/0!</v>
      </c>
      <c r="C80" s="77"/>
      <c r="D80" s="74"/>
      <c r="E80" s="328" t="s">
        <v>471</v>
      </c>
      <c r="F80" s="236" t="e">
        <f>IF(F77&lt;0,F77*初始化表!B26+第2期!F80,IF(F77*初始化表!B25&gt;-第2期!F80,0,第2期!F80+F77*初始化表!B25))</f>
        <v>#DIV/0!</v>
      </c>
      <c r="G80" s="73"/>
      <c r="H80" s="269" t="s">
        <v>523</v>
      </c>
      <c r="I80" s="77" t="e">
        <f>第2期!BN44</f>
        <v>#DIV/0!</v>
      </c>
      <c r="J80" s="77" t="e">
        <f>第2期!BO44</f>
        <v>#DIV/0!</v>
      </c>
      <c r="K80" s="77" t="e">
        <f>第2期!BP44</f>
        <v>#DIV/0!</v>
      </c>
      <c r="L80" s="77" t="e">
        <f>第2期!BQ44</f>
        <v>#DIV/0!</v>
      </c>
      <c r="M80" s="243" t="e">
        <f>SUM(I80:L80)</f>
        <v>#DIV/0!</v>
      </c>
      <c r="N80" s="117" t="s">
        <v>206</v>
      </c>
      <c r="O80" s="244" t="e">
        <f>V25-O70*(O75-IF($J8&gt;0,5,0))</f>
        <v>#DIV/0!</v>
      </c>
      <c r="P80" s="244" t="e">
        <f t="shared" ref="P80:R80" si="91">W25-P70*(P75-IF($J8&gt;0,5,0))</f>
        <v>#DIV/0!</v>
      </c>
      <c r="Q80" s="244" t="e">
        <f t="shared" si="91"/>
        <v>#DIV/0!</v>
      </c>
      <c r="R80" s="244" t="e">
        <f t="shared" si="91"/>
        <v>#DIV/0!</v>
      </c>
      <c r="S80" s="74"/>
      <c r="T80" s="120"/>
      <c r="U80" s="74"/>
      <c r="V80" s="74"/>
      <c r="W80" s="74"/>
      <c r="X80" s="74"/>
      <c r="Y80" s="74"/>
      <c r="Z80" s="74"/>
      <c r="AA80" s="73"/>
      <c r="AB80" s="74"/>
      <c r="AC80" s="74"/>
      <c r="AD80" s="74"/>
      <c r="AE80" s="74"/>
      <c r="AF80" s="74"/>
      <c r="AG80" s="74"/>
      <c r="AH80" s="73"/>
      <c r="AI80" s="367"/>
      <c r="AJ80" s="362"/>
      <c r="AK80" s="362"/>
      <c r="AL80" s="362"/>
      <c r="AM80" s="362"/>
      <c r="AN80" s="362"/>
      <c r="AO80" s="362"/>
      <c r="AP80" s="362"/>
      <c r="AQ80" s="362"/>
      <c r="AR80" s="362"/>
      <c r="AS80" s="362"/>
      <c r="AT80" s="362"/>
      <c r="AU80" s="362"/>
      <c r="AV80" s="362"/>
      <c r="AW80" s="362"/>
      <c r="AX80" s="362"/>
      <c r="AY80" s="362"/>
      <c r="AZ80" s="193"/>
      <c r="BA80" s="203"/>
      <c r="BB80" s="203"/>
      <c r="BC80" s="203"/>
      <c r="BD80" s="203"/>
      <c r="BE80" s="203"/>
      <c r="BF80" s="203"/>
      <c r="BG80" s="203"/>
      <c r="BH80" s="203"/>
      <c r="BI80" s="203"/>
      <c r="BJ80" s="203"/>
      <c r="BK80" s="203"/>
      <c r="BL80" s="203"/>
      <c r="BM80" s="203"/>
      <c r="BN80" s="203"/>
      <c r="BO80" s="203"/>
      <c r="BP80" s="203"/>
      <c r="BQ80" s="203"/>
      <c r="BR80" s="211"/>
      <c r="BS80" s="211"/>
      <c r="BT80" s="211"/>
      <c r="BU80" s="211"/>
      <c r="BV80" s="211"/>
      <c r="BW80" s="211"/>
      <c r="BX80" s="211"/>
      <c r="BY80" s="211"/>
      <c r="BZ80" s="211"/>
      <c r="CA80" s="211"/>
      <c r="CB80" s="211"/>
      <c r="CC80" s="211"/>
      <c r="CD80" s="211"/>
      <c r="CE80" s="211"/>
      <c r="CF80" s="211"/>
      <c r="CG80" s="211"/>
      <c r="CH80" s="211"/>
      <c r="CI80" s="211"/>
      <c r="CJ80" s="62"/>
    </row>
    <row r="81" s="61" customFormat="1" ht="16" customHeight="1" spans="1:88">
      <c r="A81" s="74"/>
      <c r="B81" s="74"/>
      <c r="C81" s="74"/>
      <c r="D81" s="74"/>
      <c r="E81" s="328" t="s">
        <v>264</v>
      </c>
      <c r="F81" s="236" t="e">
        <f>第2期!F81*(1+初始化表!B27/4)+E24</f>
        <v>#DIV/0!</v>
      </c>
      <c r="G81" s="73"/>
      <c r="H81" s="409" t="s">
        <v>524</v>
      </c>
      <c r="I81" s="335" t="e">
        <f>第2期!BN45</f>
        <v>#DIV/0!</v>
      </c>
      <c r="J81" s="335" t="e">
        <f>第2期!BO45</f>
        <v>#DIV/0!</v>
      </c>
      <c r="K81" s="335" t="e">
        <f>第2期!BP45</f>
        <v>#DIV/0!</v>
      </c>
      <c r="L81" s="335" t="e">
        <f>第2期!BQ45</f>
        <v>#DIV/0!</v>
      </c>
      <c r="M81" s="454" t="e">
        <f>SUM(I81:L81)</f>
        <v>#DIV/0!</v>
      </c>
      <c r="N81" s="117" t="s">
        <v>208</v>
      </c>
      <c r="O81" s="244" t="e">
        <f t="shared" ref="O81:R81" si="92">V26-O71*(O76-IF($J9&gt;0,5,0))</f>
        <v>#DIV/0!</v>
      </c>
      <c r="P81" s="244" t="e">
        <f t="shared" si="92"/>
        <v>#DIV/0!</v>
      </c>
      <c r="Q81" s="244" t="e">
        <f t="shared" si="92"/>
        <v>#DIV/0!</v>
      </c>
      <c r="R81" s="244" t="e">
        <f t="shared" si="92"/>
        <v>#DIV/0!</v>
      </c>
      <c r="S81" s="74"/>
      <c r="T81" s="120"/>
      <c r="U81" s="74"/>
      <c r="V81" s="74"/>
      <c r="W81" s="74"/>
      <c r="X81" s="74"/>
      <c r="Y81" s="74"/>
      <c r="Z81" s="74"/>
      <c r="AA81" s="73"/>
      <c r="AB81" s="74"/>
      <c r="AC81" s="74"/>
      <c r="AD81" s="74"/>
      <c r="AE81" s="74"/>
      <c r="AF81" s="74"/>
      <c r="AG81" s="74"/>
      <c r="AH81" s="73"/>
      <c r="AZ81" s="193"/>
      <c r="BA81" s="203"/>
      <c r="BB81" s="203"/>
      <c r="BC81" s="203"/>
      <c r="BD81" s="203"/>
      <c r="BE81" s="203"/>
      <c r="BF81" s="203"/>
      <c r="BG81" s="203"/>
      <c r="BH81" s="203"/>
      <c r="BI81" s="203"/>
      <c r="BJ81" s="203"/>
      <c r="BK81" s="203"/>
      <c r="BL81" s="203"/>
      <c r="BM81" s="203"/>
      <c r="BN81" s="203"/>
      <c r="BO81" s="203"/>
      <c r="BP81" s="203"/>
      <c r="BQ81" s="203"/>
      <c r="BR81" s="211"/>
      <c r="BS81" s="211"/>
      <c r="BT81" s="211"/>
      <c r="BU81" s="211"/>
      <c r="BV81" s="211"/>
      <c r="BW81" s="211"/>
      <c r="BX81" s="211"/>
      <c r="BY81" s="211"/>
      <c r="BZ81" s="211"/>
      <c r="CA81" s="211"/>
      <c r="CB81" s="211"/>
      <c r="CC81" s="211"/>
      <c r="CD81" s="211"/>
      <c r="CE81" s="211"/>
      <c r="CF81" s="211"/>
      <c r="CG81" s="211"/>
      <c r="CH81" s="211"/>
      <c r="CI81" s="211"/>
      <c r="CJ81" s="62"/>
    </row>
    <row r="82" s="61" customFormat="1" ht="16" customHeight="1" spans="1:88">
      <c r="A82" s="74"/>
      <c r="B82" s="74"/>
      <c r="C82" s="74"/>
      <c r="D82" s="74"/>
      <c r="E82" s="328" t="s">
        <v>268</v>
      </c>
      <c r="F82" s="236" t="e">
        <f>B80</f>
        <v>#DIV/0!</v>
      </c>
      <c r="G82" s="73"/>
      <c r="H82" s="376" t="s">
        <v>724</v>
      </c>
      <c r="I82" s="377"/>
      <c r="J82" s="377"/>
      <c r="K82" s="377"/>
      <c r="L82" s="377"/>
      <c r="M82" s="377"/>
      <c r="N82" s="377"/>
      <c r="O82" s="377"/>
      <c r="P82" s="377"/>
      <c r="Q82" s="377"/>
      <c r="R82" s="377"/>
      <c r="S82" s="74"/>
      <c r="T82" s="120"/>
      <c r="U82" s="74"/>
      <c r="V82" s="74"/>
      <c r="W82" s="74"/>
      <c r="X82" s="74"/>
      <c r="Y82" s="74"/>
      <c r="Z82" s="74"/>
      <c r="AA82" s="73"/>
      <c r="AB82" s="74"/>
      <c r="AC82" s="74"/>
      <c r="AD82" s="74"/>
      <c r="AE82" s="74"/>
      <c r="AF82" s="74"/>
      <c r="AG82" s="74"/>
      <c r="AH82" s="73"/>
      <c r="AI82" s="68" t="s">
        <v>488</v>
      </c>
      <c r="AJ82" s="69"/>
      <c r="AK82" s="69"/>
      <c r="AL82" s="69"/>
      <c r="AM82" s="69"/>
      <c r="AN82" s="69"/>
      <c r="AO82" s="69"/>
      <c r="AP82" s="69"/>
      <c r="AQ82" s="69"/>
      <c r="AR82" s="69"/>
      <c r="AS82" s="69"/>
      <c r="AT82" s="69"/>
      <c r="AU82" s="69"/>
      <c r="AV82" s="69"/>
      <c r="AZ82" s="193"/>
      <c r="BA82" s="203"/>
      <c r="BB82" s="203"/>
      <c r="BC82" s="203"/>
      <c r="BD82" s="203"/>
      <c r="BE82" s="203"/>
      <c r="BF82" s="203"/>
      <c r="BG82" s="203"/>
      <c r="BH82" s="203"/>
      <c r="BI82" s="203"/>
      <c r="BJ82" s="203"/>
      <c r="BK82" s="203"/>
      <c r="BL82" s="203"/>
      <c r="BM82" s="203"/>
      <c r="BN82" s="203"/>
      <c r="BO82" s="203"/>
      <c r="BP82" s="203"/>
      <c r="BQ82" s="203"/>
      <c r="BR82" s="211"/>
      <c r="BS82" s="211"/>
      <c r="BT82" s="211"/>
      <c r="BU82" s="211"/>
      <c r="BV82" s="211"/>
      <c r="BW82" s="211"/>
      <c r="BX82" s="211"/>
      <c r="BY82" s="211"/>
      <c r="BZ82" s="211"/>
      <c r="CA82" s="211"/>
      <c r="CB82" s="211"/>
      <c r="CC82" s="211"/>
      <c r="CD82" s="211"/>
      <c r="CE82" s="211"/>
      <c r="CF82" s="211"/>
      <c r="CG82" s="211"/>
      <c r="CH82" s="211"/>
      <c r="CI82" s="211"/>
      <c r="CJ82" s="62"/>
    </row>
    <row r="83" s="61" customFormat="1" ht="16" customHeight="1" spans="1:88">
      <c r="A83" s="74"/>
      <c r="B83" s="74"/>
      <c r="C83" s="74"/>
      <c r="D83" s="74"/>
      <c r="E83" s="328" t="s">
        <v>270</v>
      </c>
      <c r="F83" s="236" t="e">
        <f>IF(初始化表!B1=1,F77/(L17+K18),F77/L17)</f>
        <v>#DIV/0!</v>
      </c>
      <c r="G83" s="73"/>
      <c r="H83" s="377"/>
      <c r="I83" s="377"/>
      <c r="J83" s="377"/>
      <c r="K83" s="377"/>
      <c r="L83" s="377"/>
      <c r="M83" s="377"/>
      <c r="N83" s="377"/>
      <c r="O83" s="377"/>
      <c r="P83" s="377"/>
      <c r="Q83" s="377"/>
      <c r="R83" s="377"/>
      <c r="S83" s="74"/>
      <c r="T83" s="120"/>
      <c r="U83" s="74"/>
      <c r="V83" s="74"/>
      <c r="W83" s="74"/>
      <c r="X83" s="74"/>
      <c r="Y83" s="74"/>
      <c r="Z83" s="74"/>
      <c r="AA83" s="73"/>
      <c r="AB83" s="74"/>
      <c r="AC83" s="74"/>
      <c r="AD83" s="74"/>
      <c r="AE83" s="74"/>
      <c r="AF83" s="74"/>
      <c r="AG83" s="74"/>
      <c r="AH83" s="73"/>
      <c r="AI83" s="163" t="s">
        <v>37</v>
      </c>
      <c r="AJ83" s="69" t="s">
        <v>343</v>
      </c>
      <c r="AK83" s="69" t="s">
        <v>344</v>
      </c>
      <c r="AL83" s="69" t="s">
        <v>345</v>
      </c>
      <c r="AM83" s="69" t="s">
        <v>346</v>
      </c>
      <c r="AN83" s="69" t="s">
        <v>310</v>
      </c>
      <c r="AO83" s="69" t="s">
        <v>313</v>
      </c>
      <c r="AP83" s="69" t="s">
        <v>347</v>
      </c>
      <c r="AQ83" s="69" t="s">
        <v>264</v>
      </c>
      <c r="AR83" s="69" t="s">
        <v>268</v>
      </c>
      <c r="AS83" s="69" t="s">
        <v>270</v>
      </c>
      <c r="AT83" s="69" t="s">
        <v>272</v>
      </c>
      <c r="AU83" s="69" t="str">
        <f>IF(初始化表!$B1=1,"综合评分","")</f>
        <v/>
      </c>
      <c r="AV83" s="69" t="str">
        <f>IF(初始化表!$B1=1,"总评名次","")</f>
        <v/>
      </c>
      <c r="AZ83" s="193"/>
      <c r="BA83" s="203"/>
      <c r="BB83" s="203"/>
      <c r="BC83" s="203"/>
      <c r="BD83" s="203"/>
      <c r="BE83" s="203"/>
      <c r="BF83" s="203"/>
      <c r="BG83" s="203"/>
      <c r="BH83" s="203"/>
      <c r="BI83" s="203"/>
      <c r="BJ83" s="203"/>
      <c r="BK83" s="203"/>
      <c r="BL83" s="203"/>
      <c r="BM83" s="203"/>
      <c r="BN83" s="203"/>
      <c r="BO83" s="203"/>
      <c r="BP83" s="203"/>
      <c r="BQ83" s="203"/>
      <c r="BR83" s="211"/>
      <c r="BS83" s="211"/>
      <c r="BT83" s="211"/>
      <c r="BU83" s="211"/>
      <c r="BV83" s="211"/>
      <c r="BW83" s="211"/>
      <c r="BX83" s="211"/>
      <c r="BY83" s="211"/>
      <c r="BZ83" s="211"/>
      <c r="CA83" s="211"/>
      <c r="CB83" s="211"/>
      <c r="CC83" s="211"/>
      <c r="CD83" s="211"/>
      <c r="CE83" s="211"/>
      <c r="CF83" s="211"/>
      <c r="CG83" s="211"/>
      <c r="CH83" s="211"/>
      <c r="CI83" s="211"/>
      <c r="CJ83" s="62"/>
    </row>
    <row r="84" s="61" customFormat="1" ht="16" customHeight="1" spans="1:88">
      <c r="A84" s="74"/>
      <c r="B84" s="74"/>
      <c r="C84" s="74"/>
      <c r="D84" s="74"/>
      <c r="E84" s="328" t="s">
        <v>707</v>
      </c>
      <c r="F84" s="239" t="e">
        <f>F77/(F82+F75+C37)</f>
        <v>#DIV/0!</v>
      </c>
      <c r="G84" s="73"/>
      <c r="H84" s="269" t="s">
        <v>548</v>
      </c>
      <c r="I84" s="269" t="s">
        <v>513</v>
      </c>
      <c r="J84" s="269" t="s">
        <v>514</v>
      </c>
      <c r="K84" s="269" t="s">
        <v>515</v>
      </c>
      <c r="L84" s="269" t="s">
        <v>516</v>
      </c>
      <c r="M84" s="269" t="s">
        <v>549</v>
      </c>
      <c r="N84" s="269" t="s">
        <v>561</v>
      </c>
      <c r="O84" s="269" t="s">
        <v>513</v>
      </c>
      <c r="P84" s="269" t="s">
        <v>514</v>
      </c>
      <c r="Q84" s="269" t="s">
        <v>515</v>
      </c>
      <c r="R84" s="269" t="s">
        <v>516</v>
      </c>
      <c r="S84" s="74"/>
      <c r="T84" s="120"/>
      <c r="U84" s="74"/>
      <c r="V84" s="74"/>
      <c r="W84" s="74"/>
      <c r="X84" s="74"/>
      <c r="Y84" s="74"/>
      <c r="Z84" s="74"/>
      <c r="AA84" s="73"/>
      <c r="AB84" s="74"/>
      <c r="AC84" s="74"/>
      <c r="AD84" s="74"/>
      <c r="AE84" s="74"/>
      <c r="AF84" s="74"/>
      <c r="AG84" s="74"/>
      <c r="AH84" s="73"/>
      <c r="AI84" s="367"/>
      <c r="AJ84" s="360"/>
      <c r="AK84" s="360"/>
      <c r="AL84" s="360"/>
      <c r="AM84" s="360"/>
      <c r="AN84" s="360"/>
      <c r="AO84" s="360"/>
      <c r="AP84" s="360"/>
      <c r="AQ84" s="360"/>
      <c r="AR84" s="360"/>
      <c r="AS84" s="360"/>
      <c r="AT84" s="360"/>
      <c r="AU84" s="261"/>
      <c r="AV84" s="261"/>
      <c r="AZ84" s="193"/>
      <c r="BA84" s="203"/>
      <c r="BB84" s="203"/>
      <c r="BC84" s="203"/>
      <c r="BD84" s="203"/>
      <c r="BE84" s="203"/>
      <c r="BF84" s="203"/>
      <c r="BG84" s="203"/>
      <c r="BH84" s="203"/>
      <c r="BI84" s="203"/>
      <c r="BJ84" s="203"/>
      <c r="BK84" s="203"/>
      <c r="BL84" s="203"/>
      <c r="BM84" s="203"/>
      <c r="BN84" s="203"/>
      <c r="BO84" s="203"/>
      <c r="BP84" s="203"/>
      <c r="BQ84" s="203"/>
      <c r="BR84" s="211"/>
      <c r="BS84" s="211"/>
      <c r="BT84" s="211"/>
      <c r="BU84" s="211"/>
      <c r="BV84" s="211"/>
      <c r="BW84" s="211"/>
      <c r="BX84" s="211"/>
      <c r="BY84" s="211"/>
      <c r="BZ84" s="211"/>
      <c r="CA84" s="211"/>
      <c r="CB84" s="211"/>
      <c r="CC84" s="211"/>
      <c r="CD84" s="211"/>
      <c r="CE84" s="211"/>
      <c r="CF84" s="211"/>
      <c r="CG84" s="211"/>
      <c r="CH84" s="211"/>
      <c r="CI84" s="211"/>
      <c r="CJ84" s="62"/>
    </row>
    <row r="85" s="61" customFormat="1" ht="16" customHeight="1" spans="1:88">
      <c r="A85" s="74"/>
      <c r="B85" s="74"/>
      <c r="C85" s="74"/>
      <c r="D85" s="74"/>
      <c r="E85" s="74"/>
      <c r="F85" s="74"/>
      <c r="G85" s="73"/>
      <c r="H85" s="269" t="s">
        <v>521</v>
      </c>
      <c r="I85" s="115">
        <f>V17</f>
        <v>0</v>
      </c>
      <c r="J85" s="115">
        <f t="shared" ref="J85:L88" si="93">W17</f>
        <v>0</v>
      </c>
      <c r="K85" s="115">
        <f t="shared" si="93"/>
        <v>0</v>
      </c>
      <c r="L85" s="115">
        <f t="shared" si="93"/>
        <v>0</v>
      </c>
      <c r="M85" s="115">
        <f>SUM(I85:L85)</f>
        <v>0</v>
      </c>
      <c r="N85" s="269" t="s">
        <v>521</v>
      </c>
      <c r="O85" s="115" t="e">
        <f>V23</f>
        <v>#DIV/0!</v>
      </c>
      <c r="P85" s="115" t="e">
        <f t="shared" ref="P85:R88" si="94">W23</f>
        <v>#DIV/0!</v>
      </c>
      <c r="Q85" s="115" t="e">
        <f t="shared" si="94"/>
        <v>#DIV/0!</v>
      </c>
      <c r="R85" s="115" t="e">
        <f t="shared" si="94"/>
        <v>#DIV/0!</v>
      </c>
      <c r="S85" s="74"/>
      <c r="T85" s="120"/>
      <c r="U85" s="74"/>
      <c r="V85" s="74"/>
      <c r="W85" s="74"/>
      <c r="X85" s="74"/>
      <c r="Y85" s="74"/>
      <c r="Z85" s="74"/>
      <c r="AA85" s="73"/>
      <c r="AB85" s="74"/>
      <c r="AC85" s="74"/>
      <c r="AD85" s="74"/>
      <c r="AE85" s="74"/>
      <c r="AF85" s="74"/>
      <c r="AG85" s="74"/>
      <c r="AH85" s="73"/>
      <c r="AI85" s="367"/>
      <c r="AJ85" s="360"/>
      <c r="AK85" s="360"/>
      <c r="AL85" s="360"/>
      <c r="AM85" s="360"/>
      <c r="AN85" s="360"/>
      <c r="AO85" s="360"/>
      <c r="AP85" s="360"/>
      <c r="AQ85" s="360"/>
      <c r="AR85" s="360"/>
      <c r="AS85" s="360"/>
      <c r="AT85" s="360"/>
      <c r="AU85" s="261"/>
      <c r="AV85" s="261"/>
      <c r="AZ85" s="193"/>
      <c r="BA85" s="203"/>
      <c r="BB85" s="203"/>
      <c r="BC85" s="203"/>
      <c r="BD85" s="203"/>
      <c r="BE85" s="203"/>
      <c r="BF85" s="203"/>
      <c r="BG85" s="203"/>
      <c r="BH85" s="203"/>
      <c r="BI85" s="203"/>
      <c r="BJ85" s="203"/>
      <c r="BK85" s="203"/>
      <c r="BL85" s="203"/>
      <c r="BM85" s="203"/>
      <c r="BN85" s="203"/>
      <c r="BO85" s="203"/>
      <c r="BP85" s="203"/>
      <c r="BQ85" s="203"/>
      <c r="BR85" s="211"/>
      <c r="BS85" s="211"/>
      <c r="BT85" s="211"/>
      <c r="BU85" s="211"/>
      <c r="BV85" s="211"/>
      <c r="BW85" s="211"/>
      <c r="BX85" s="211"/>
      <c r="BY85" s="211"/>
      <c r="BZ85" s="211"/>
      <c r="CA85" s="211"/>
      <c r="CB85" s="211"/>
      <c r="CC85" s="211"/>
      <c r="CD85" s="211"/>
      <c r="CE85" s="211"/>
      <c r="CF85" s="211"/>
      <c r="CG85" s="211"/>
      <c r="CH85" s="211"/>
      <c r="CI85" s="211"/>
      <c r="CJ85" s="62"/>
    </row>
    <row r="86" s="61" customFormat="1" ht="16" customHeight="1" spans="1:88">
      <c r="A86" s="74"/>
      <c r="B86" s="74"/>
      <c r="C86" s="74"/>
      <c r="D86" s="74"/>
      <c r="E86" s="74"/>
      <c r="F86" s="74"/>
      <c r="G86" s="73"/>
      <c r="H86" s="269" t="s">
        <v>522</v>
      </c>
      <c r="I86" s="115">
        <f t="shared" ref="I86:I88" si="95">V18</f>
        <v>0</v>
      </c>
      <c r="J86" s="115">
        <f t="shared" si="93"/>
        <v>0</v>
      </c>
      <c r="K86" s="115">
        <f t="shared" si="93"/>
        <v>0</v>
      </c>
      <c r="L86" s="115">
        <f t="shared" si="93"/>
        <v>0</v>
      </c>
      <c r="M86" s="115">
        <f t="shared" ref="M86:M88" si="96">SUM(I86:L86)</f>
        <v>0</v>
      </c>
      <c r="N86" s="269" t="s">
        <v>522</v>
      </c>
      <c r="O86" s="115" t="e">
        <f t="shared" ref="O86:O88" si="97">V24</f>
        <v>#DIV/0!</v>
      </c>
      <c r="P86" s="115" t="e">
        <f t="shared" si="94"/>
        <v>#DIV/0!</v>
      </c>
      <c r="Q86" s="115" t="e">
        <f t="shared" si="94"/>
        <v>#DIV/0!</v>
      </c>
      <c r="R86" s="115" t="e">
        <f t="shared" si="94"/>
        <v>#DIV/0!</v>
      </c>
      <c r="S86" s="74"/>
      <c r="T86" s="120"/>
      <c r="U86" s="74"/>
      <c r="V86" s="74"/>
      <c r="W86" s="74"/>
      <c r="X86" s="74"/>
      <c r="Y86" s="74"/>
      <c r="Z86" s="74"/>
      <c r="AA86" s="73"/>
      <c r="AB86" s="74"/>
      <c r="AC86" s="74"/>
      <c r="AD86" s="74"/>
      <c r="AE86" s="74"/>
      <c r="AF86" s="74"/>
      <c r="AG86" s="74"/>
      <c r="AH86" s="73"/>
      <c r="AI86" s="367"/>
      <c r="AJ86" s="360"/>
      <c r="AK86" s="360"/>
      <c r="AL86" s="360"/>
      <c r="AM86" s="360"/>
      <c r="AN86" s="360"/>
      <c r="AO86" s="360"/>
      <c r="AP86" s="360"/>
      <c r="AQ86" s="360"/>
      <c r="AR86" s="360"/>
      <c r="AS86" s="360"/>
      <c r="AT86" s="360"/>
      <c r="AU86" s="261"/>
      <c r="AV86" s="261"/>
      <c r="AZ86" s="193"/>
      <c r="BA86" s="203"/>
      <c r="BB86" s="203"/>
      <c r="BC86" s="203"/>
      <c r="BD86" s="203"/>
      <c r="BE86" s="203"/>
      <c r="BF86" s="203"/>
      <c r="BG86" s="203"/>
      <c r="BH86" s="203"/>
      <c r="BI86" s="203"/>
      <c r="BJ86" s="203"/>
      <c r="BK86" s="203"/>
      <c r="BL86" s="203"/>
      <c r="BM86" s="203"/>
      <c r="BN86" s="203"/>
      <c r="BO86" s="203"/>
      <c r="BP86" s="203"/>
      <c r="BQ86" s="203"/>
      <c r="BR86" s="211"/>
      <c r="BS86" s="211"/>
      <c r="BT86" s="211"/>
      <c r="BU86" s="211"/>
      <c r="BV86" s="211"/>
      <c r="BW86" s="211"/>
      <c r="BX86" s="211"/>
      <c r="BY86" s="211"/>
      <c r="BZ86" s="211"/>
      <c r="CA86" s="211"/>
      <c r="CB86" s="211"/>
      <c r="CC86" s="211"/>
      <c r="CD86" s="211"/>
      <c r="CE86" s="211"/>
      <c r="CF86" s="211"/>
      <c r="CG86" s="211"/>
      <c r="CH86" s="211"/>
      <c r="CI86" s="211"/>
      <c r="CJ86" s="62"/>
    </row>
    <row r="87" s="61" customFormat="1" ht="16" customHeight="1" spans="1:88">
      <c r="A87" s="74"/>
      <c r="B87" s="74"/>
      <c r="C87" s="74"/>
      <c r="D87" s="74"/>
      <c r="E87" s="74"/>
      <c r="F87" s="74"/>
      <c r="G87" s="73"/>
      <c r="H87" s="269" t="s">
        <v>523</v>
      </c>
      <c r="I87" s="115">
        <f t="shared" si="95"/>
        <v>0</v>
      </c>
      <c r="J87" s="115">
        <f t="shared" si="93"/>
        <v>0</v>
      </c>
      <c r="K87" s="115">
        <f t="shared" si="93"/>
        <v>0</v>
      </c>
      <c r="L87" s="115">
        <f t="shared" si="93"/>
        <v>0</v>
      </c>
      <c r="M87" s="115">
        <f t="shared" si="96"/>
        <v>0</v>
      </c>
      <c r="N87" s="269" t="s">
        <v>523</v>
      </c>
      <c r="O87" s="115" t="e">
        <f t="shared" si="97"/>
        <v>#DIV/0!</v>
      </c>
      <c r="P87" s="115" t="e">
        <f t="shared" si="94"/>
        <v>#DIV/0!</v>
      </c>
      <c r="Q87" s="115" t="e">
        <f t="shared" si="94"/>
        <v>#DIV/0!</v>
      </c>
      <c r="R87" s="115" t="e">
        <f t="shared" si="94"/>
        <v>#DIV/0!</v>
      </c>
      <c r="S87" s="74"/>
      <c r="T87" s="120"/>
      <c r="U87" s="74"/>
      <c r="V87" s="74"/>
      <c r="W87" s="74"/>
      <c r="X87" s="74"/>
      <c r="Y87" s="74"/>
      <c r="Z87" s="74"/>
      <c r="AA87" s="73"/>
      <c r="AB87" s="74"/>
      <c r="AC87" s="74"/>
      <c r="AD87" s="74"/>
      <c r="AE87" s="74"/>
      <c r="AF87" s="74"/>
      <c r="AG87" s="74"/>
      <c r="AH87" s="73"/>
      <c r="AI87" s="367"/>
      <c r="AJ87" s="360"/>
      <c r="AK87" s="360"/>
      <c r="AL87" s="360"/>
      <c r="AM87" s="360"/>
      <c r="AN87" s="360"/>
      <c r="AO87" s="360"/>
      <c r="AP87" s="360"/>
      <c r="AQ87" s="360"/>
      <c r="AR87" s="360"/>
      <c r="AS87" s="360"/>
      <c r="AT87" s="360"/>
      <c r="AU87" s="261"/>
      <c r="AV87" s="261"/>
      <c r="AZ87" s="193"/>
      <c r="BA87" s="203"/>
      <c r="BB87" s="203"/>
      <c r="BC87" s="203"/>
      <c r="BD87" s="203"/>
      <c r="BE87" s="203"/>
      <c r="BF87" s="203"/>
      <c r="BG87" s="203"/>
      <c r="BH87" s="203"/>
      <c r="BI87" s="203"/>
      <c r="BJ87" s="203"/>
      <c r="BK87" s="203"/>
      <c r="BL87" s="203"/>
      <c r="BM87" s="203"/>
      <c r="BN87" s="203"/>
      <c r="BO87" s="203"/>
      <c r="BP87" s="203"/>
      <c r="BQ87" s="203"/>
      <c r="BR87" s="211"/>
      <c r="BS87" s="211"/>
      <c r="BT87" s="211"/>
      <c r="BU87" s="211"/>
      <c r="BV87" s="211"/>
      <c r="BW87" s="211"/>
      <c r="BX87" s="211"/>
      <c r="BY87" s="211"/>
      <c r="BZ87" s="211"/>
      <c r="CA87" s="211"/>
      <c r="CB87" s="211"/>
      <c r="CC87" s="211"/>
      <c r="CD87" s="211"/>
      <c r="CE87" s="211"/>
      <c r="CF87" s="211"/>
      <c r="CG87" s="211"/>
      <c r="CH87" s="211"/>
      <c r="CI87" s="211"/>
      <c r="CJ87" s="62"/>
    </row>
    <row r="88" s="61" customFormat="1" ht="16" customHeight="1" spans="1:88">
      <c r="A88" s="74"/>
      <c r="B88" s="74"/>
      <c r="C88" s="74"/>
      <c r="D88" s="74"/>
      <c r="E88" s="74"/>
      <c r="F88" s="74"/>
      <c r="G88" s="73"/>
      <c r="H88" s="269" t="s">
        <v>524</v>
      </c>
      <c r="I88" s="115">
        <f t="shared" si="95"/>
        <v>0</v>
      </c>
      <c r="J88" s="115">
        <f t="shared" si="93"/>
        <v>0</v>
      </c>
      <c r="K88" s="115">
        <f t="shared" si="93"/>
        <v>0</v>
      </c>
      <c r="L88" s="115">
        <f t="shared" si="93"/>
        <v>0</v>
      </c>
      <c r="M88" s="115">
        <f t="shared" si="96"/>
        <v>0</v>
      </c>
      <c r="N88" s="269" t="s">
        <v>524</v>
      </c>
      <c r="O88" s="115" t="e">
        <f t="shared" si="97"/>
        <v>#DIV/0!</v>
      </c>
      <c r="P88" s="115" t="e">
        <f t="shared" si="94"/>
        <v>#DIV/0!</v>
      </c>
      <c r="Q88" s="115" t="e">
        <f t="shared" si="94"/>
        <v>#DIV/0!</v>
      </c>
      <c r="R88" s="115" t="e">
        <f t="shared" si="94"/>
        <v>#DIV/0!</v>
      </c>
      <c r="S88" s="74"/>
      <c r="T88" s="120"/>
      <c r="U88" s="74"/>
      <c r="V88" s="74"/>
      <c r="W88" s="74"/>
      <c r="X88" s="74"/>
      <c r="Y88" s="74"/>
      <c r="Z88" s="74"/>
      <c r="AA88" s="73"/>
      <c r="AB88" s="74"/>
      <c r="AC88" s="74"/>
      <c r="AD88" s="74"/>
      <c r="AE88" s="74"/>
      <c r="AF88" s="74"/>
      <c r="AG88" s="74"/>
      <c r="AH88" s="73"/>
      <c r="AI88" s="367"/>
      <c r="AJ88" s="360"/>
      <c r="AK88" s="360"/>
      <c r="AL88" s="360"/>
      <c r="AM88" s="360"/>
      <c r="AN88" s="360"/>
      <c r="AO88" s="360"/>
      <c r="AP88" s="360"/>
      <c r="AQ88" s="360"/>
      <c r="AR88" s="360"/>
      <c r="AS88" s="360"/>
      <c r="AT88" s="360"/>
      <c r="AU88" s="261"/>
      <c r="AV88" s="261"/>
      <c r="AZ88" s="193"/>
      <c r="BA88" s="203"/>
      <c r="BB88" s="203"/>
      <c r="BC88" s="203"/>
      <c r="BD88" s="203"/>
      <c r="BE88" s="203"/>
      <c r="BF88" s="203"/>
      <c r="BG88" s="203"/>
      <c r="BH88" s="203"/>
      <c r="BI88" s="203"/>
      <c r="BJ88" s="203"/>
      <c r="BK88" s="203"/>
      <c r="BL88" s="203"/>
      <c r="BM88" s="203"/>
      <c r="BN88" s="203"/>
      <c r="BO88" s="203"/>
      <c r="BP88" s="203"/>
      <c r="BQ88" s="203"/>
      <c r="BR88" s="211"/>
      <c r="BS88" s="211"/>
      <c r="BT88" s="211"/>
      <c r="BU88" s="211"/>
      <c r="BV88" s="211"/>
      <c r="BW88" s="211"/>
      <c r="BX88" s="211"/>
      <c r="BY88" s="211"/>
      <c r="BZ88" s="211"/>
      <c r="CA88" s="211"/>
      <c r="CB88" s="211"/>
      <c r="CC88" s="211"/>
      <c r="CD88" s="211"/>
      <c r="CE88" s="211"/>
      <c r="CF88" s="211"/>
      <c r="CG88" s="211"/>
      <c r="CH88" s="211"/>
      <c r="CI88" s="211"/>
      <c r="CJ88" s="62"/>
    </row>
    <row r="89" s="61" customFormat="1" ht="16" customHeight="1" spans="1:88">
      <c r="A89" s="74"/>
      <c r="B89" s="74"/>
      <c r="C89" s="74"/>
      <c r="D89" s="74"/>
      <c r="E89" s="74"/>
      <c r="F89" s="74"/>
      <c r="G89" s="73"/>
      <c r="H89" s="74"/>
      <c r="I89" s="74"/>
      <c r="J89" s="74"/>
      <c r="K89" s="74"/>
      <c r="L89" s="74"/>
      <c r="M89" s="85"/>
      <c r="N89" s="74"/>
      <c r="O89" s="74"/>
      <c r="P89" s="74"/>
      <c r="Q89" s="74"/>
      <c r="R89" s="74"/>
      <c r="S89" s="74"/>
      <c r="T89" s="120"/>
      <c r="U89" s="74"/>
      <c r="V89" s="74"/>
      <c r="W89" s="74"/>
      <c r="X89" s="74"/>
      <c r="Y89" s="74"/>
      <c r="Z89" s="74"/>
      <c r="AA89" s="73"/>
      <c r="AB89" s="74"/>
      <c r="AC89" s="74"/>
      <c r="AD89" s="74"/>
      <c r="AE89" s="74"/>
      <c r="AF89" s="74"/>
      <c r="AG89" s="74"/>
      <c r="AH89" s="73"/>
      <c r="AI89" s="367"/>
      <c r="AJ89" s="360"/>
      <c r="AK89" s="360"/>
      <c r="AL89" s="360"/>
      <c r="AM89" s="360"/>
      <c r="AN89" s="360"/>
      <c r="AO89" s="360"/>
      <c r="AP89" s="360"/>
      <c r="AQ89" s="360"/>
      <c r="AR89" s="360"/>
      <c r="AS89" s="360"/>
      <c r="AT89" s="360"/>
      <c r="AU89" s="261"/>
      <c r="AV89" s="261"/>
      <c r="AZ89" s="193"/>
      <c r="BA89" s="203"/>
      <c r="BB89" s="203"/>
      <c r="BC89" s="203"/>
      <c r="BD89" s="203"/>
      <c r="BE89" s="203"/>
      <c r="BF89" s="203"/>
      <c r="BG89" s="203"/>
      <c r="BH89" s="203"/>
      <c r="BI89" s="203"/>
      <c r="BJ89" s="203"/>
      <c r="BK89" s="203"/>
      <c r="BL89" s="203"/>
      <c r="BM89" s="203"/>
      <c r="BN89" s="203"/>
      <c r="BO89" s="203"/>
      <c r="BP89" s="203"/>
      <c r="BQ89" s="203"/>
      <c r="BR89" s="211"/>
      <c r="BS89" s="211"/>
      <c r="BT89" s="211"/>
      <c r="BU89" s="211"/>
      <c r="BV89" s="211"/>
      <c r="BW89" s="211"/>
      <c r="BX89" s="211"/>
      <c r="BY89" s="211"/>
      <c r="BZ89" s="211"/>
      <c r="CA89" s="211"/>
      <c r="CB89" s="211"/>
      <c r="CC89" s="211"/>
      <c r="CD89" s="211"/>
      <c r="CE89" s="211"/>
      <c r="CF89" s="211"/>
      <c r="CG89" s="211"/>
      <c r="CH89" s="211"/>
      <c r="CI89" s="211"/>
      <c r="CJ89" s="62"/>
    </row>
    <row r="90" s="61" customFormat="1" ht="16" customHeight="1" spans="1:88">
      <c r="A90" s="74"/>
      <c r="B90" s="74"/>
      <c r="C90" s="74"/>
      <c r="D90" s="74"/>
      <c r="E90" s="74"/>
      <c r="F90" s="74"/>
      <c r="G90" s="73"/>
      <c r="H90" s="269" t="s">
        <v>731</v>
      </c>
      <c r="I90" s="339" t="s">
        <v>513</v>
      </c>
      <c r="J90" s="339" t="s">
        <v>514</v>
      </c>
      <c r="K90" s="339" t="s">
        <v>515</v>
      </c>
      <c r="L90" s="339" t="s">
        <v>516</v>
      </c>
      <c r="M90" s="85"/>
      <c r="N90" s="151" t="s">
        <v>562</v>
      </c>
      <c r="O90" s="151" t="s">
        <v>459</v>
      </c>
      <c r="P90" s="151" t="s">
        <v>460</v>
      </c>
      <c r="Q90" s="151" t="s">
        <v>461</v>
      </c>
      <c r="R90" s="151" t="s">
        <v>462</v>
      </c>
      <c r="S90" s="74"/>
      <c r="T90" s="120"/>
      <c r="U90" s="74"/>
      <c r="V90" s="74"/>
      <c r="W90" s="74"/>
      <c r="X90" s="74"/>
      <c r="Y90" s="74"/>
      <c r="Z90" s="74"/>
      <c r="AA90" s="73"/>
      <c r="AB90" s="74"/>
      <c r="AC90" s="74"/>
      <c r="AD90" s="74"/>
      <c r="AE90" s="74"/>
      <c r="AF90" s="74"/>
      <c r="AG90" s="74"/>
      <c r="AH90" s="73"/>
      <c r="AI90" s="367"/>
      <c r="AJ90" s="360"/>
      <c r="AK90" s="360"/>
      <c r="AL90" s="360"/>
      <c r="AM90" s="360"/>
      <c r="AN90" s="360"/>
      <c r="AO90" s="360"/>
      <c r="AP90" s="360"/>
      <c r="AQ90" s="360"/>
      <c r="AR90" s="360"/>
      <c r="AS90" s="360"/>
      <c r="AT90" s="360"/>
      <c r="AU90" s="261"/>
      <c r="AV90" s="261"/>
      <c r="AZ90" s="193"/>
      <c r="BA90" s="203"/>
      <c r="BB90" s="203"/>
      <c r="BC90" s="203"/>
      <c r="BD90" s="203"/>
      <c r="BE90" s="203"/>
      <c r="BF90" s="203"/>
      <c r="BG90" s="203"/>
      <c r="BH90" s="203"/>
      <c r="BI90" s="203"/>
      <c r="BJ90" s="203"/>
      <c r="BK90" s="203"/>
      <c r="BL90" s="203"/>
      <c r="BM90" s="203"/>
      <c r="BN90" s="203"/>
      <c r="BO90" s="203"/>
      <c r="BP90" s="203"/>
      <c r="BQ90" s="203"/>
      <c r="BR90" s="211"/>
      <c r="BS90" s="211"/>
      <c r="BT90" s="211"/>
      <c r="BU90" s="211"/>
      <c r="BV90" s="211"/>
      <c r="BW90" s="211"/>
      <c r="BX90" s="211"/>
      <c r="BY90" s="211"/>
      <c r="BZ90" s="211"/>
      <c r="CA90" s="211"/>
      <c r="CB90" s="211"/>
      <c r="CC90" s="211"/>
      <c r="CD90" s="211"/>
      <c r="CE90" s="211"/>
      <c r="CF90" s="211"/>
      <c r="CG90" s="211"/>
      <c r="CH90" s="211"/>
      <c r="CI90" s="211"/>
      <c r="CJ90" s="62"/>
    </row>
    <row r="91" s="61" customFormat="1" ht="16" customHeight="1" spans="1:88">
      <c r="A91" s="74"/>
      <c r="B91" s="74"/>
      <c r="C91" s="74"/>
      <c r="D91" s="74"/>
      <c r="E91" s="74"/>
      <c r="F91" s="74"/>
      <c r="G91" s="73"/>
      <c r="H91" s="269" t="s">
        <v>521</v>
      </c>
      <c r="I91" s="146">
        <f>IF(第1期!BB28=0,0,第2期!BB28/第1期!BB28)</f>
        <v>0</v>
      </c>
      <c r="J91" s="146">
        <f>IF(第1期!BC28=0,0,第2期!BC28/第1期!BC28)</f>
        <v>0</v>
      </c>
      <c r="K91" s="146">
        <f>IF(第1期!BD28=0,0,第2期!BD28/第1期!BD28)</f>
        <v>0</v>
      </c>
      <c r="L91" s="146">
        <f>IF(第1期!BE28=0,0,第2期!BE28/第1期!BE28)</f>
        <v>0</v>
      </c>
      <c r="M91" s="85"/>
      <c r="N91" s="151" t="s">
        <v>464</v>
      </c>
      <c r="O91" s="157" t="e">
        <f>IF(O20="","",AC23)</f>
        <v>#DIV/0!</v>
      </c>
      <c r="P91" s="157" t="e">
        <f t="shared" ref="P91:R94" si="98">IF(P20="","",AD23)</f>
        <v>#DIV/0!</v>
      </c>
      <c r="Q91" s="157" t="e">
        <f t="shared" si="98"/>
        <v>#DIV/0!</v>
      </c>
      <c r="R91" s="157" t="e">
        <f t="shared" si="98"/>
        <v>#DIV/0!</v>
      </c>
      <c r="S91" s="74"/>
      <c r="T91" s="120"/>
      <c r="U91" s="74"/>
      <c r="V91" s="74"/>
      <c r="W91" s="74"/>
      <c r="X91" s="74"/>
      <c r="Y91" s="74"/>
      <c r="Z91" s="74"/>
      <c r="AA91" s="73"/>
      <c r="AB91" s="74"/>
      <c r="AC91" s="74"/>
      <c r="AD91" s="74"/>
      <c r="AE91" s="74"/>
      <c r="AF91" s="74"/>
      <c r="AG91" s="74"/>
      <c r="AH91" s="73"/>
      <c r="AI91" s="367"/>
      <c r="AJ91" s="360"/>
      <c r="AK91" s="360"/>
      <c r="AL91" s="360"/>
      <c r="AM91" s="360"/>
      <c r="AN91" s="360"/>
      <c r="AO91" s="360"/>
      <c r="AP91" s="360"/>
      <c r="AQ91" s="360"/>
      <c r="AR91" s="360"/>
      <c r="AS91" s="360"/>
      <c r="AT91" s="360"/>
      <c r="AU91" s="261"/>
      <c r="AV91" s="261"/>
      <c r="AZ91" s="193"/>
      <c r="BA91" s="203"/>
      <c r="BB91" s="203"/>
      <c r="BC91" s="203"/>
      <c r="BD91" s="203"/>
      <c r="BE91" s="203"/>
      <c r="BF91" s="203"/>
      <c r="BG91" s="203"/>
      <c r="BH91" s="203"/>
      <c r="BI91" s="203"/>
      <c r="BJ91" s="203"/>
      <c r="BK91" s="203"/>
      <c r="BL91" s="203"/>
      <c r="BM91" s="203"/>
      <c r="BN91" s="203"/>
      <c r="BO91" s="203"/>
      <c r="BP91" s="203"/>
      <c r="BQ91" s="203"/>
      <c r="BR91" s="211"/>
      <c r="BS91" s="211"/>
      <c r="BT91" s="211"/>
      <c r="BU91" s="211"/>
      <c r="BV91" s="211"/>
      <c r="BW91" s="211"/>
      <c r="BX91" s="211"/>
      <c r="BY91" s="211"/>
      <c r="BZ91" s="211"/>
      <c r="CA91" s="211"/>
      <c r="CB91" s="211"/>
      <c r="CC91" s="211"/>
      <c r="CD91" s="211"/>
      <c r="CE91" s="211"/>
      <c r="CF91" s="211"/>
      <c r="CG91" s="211"/>
      <c r="CH91" s="211"/>
      <c r="CI91" s="211"/>
      <c r="CJ91" s="62"/>
    </row>
    <row r="92" s="61" customFormat="1" ht="16" customHeight="1" spans="1:88">
      <c r="A92" s="74"/>
      <c r="B92" s="74"/>
      <c r="C92" s="74"/>
      <c r="D92" s="74"/>
      <c r="E92" s="74"/>
      <c r="F92" s="74"/>
      <c r="G92" s="73"/>
      <c r="H92" s="269" t="s">
        <v>522</v>
      </c>
      <c r="I92" s="146">
        <f>IF(第1期!BF28=0,0,第2期!BF28/第1期!BF28)</f>
        <v>0</v>
      </c>
      <c r="J92" s="146">
        <f>IF(第1期!BG28=0,0,第2期!BG28/第1期!BG28)</f>
        <v>0</v>
      </c>
      <c r="K92" s="146">
        <f>IF(第1期!BH28=0,0,第2期!BH28/第1期!BH28)</f>
        <v>0</v>
      </c>
      <c r="L92" s="146">
        <f>IF(第1期!BI28=0,0,第2期!BI28/第1期!BI28)</f>
        <v>0</v>
      </c>
      <c r="M92" s="85"/>
      <c r="N92" s="151" t="s">
        <v>465</v>
      </c>
      <c r="O92" s="157" t="e">
        <f t="shared" ref="O92:O94" si="99">IF(O21="","",AC24)</f>
        <v>#DIV/0!</v>
      </c>
      <c r="P92" s="157" t="e">
        <f t="shared" si="98"/>
        <v>#DIV/0!</v>
      </c>
      <c r="Q92" s="157" t="e">
        <f t="shared" si="98"/>
        <v>#DIV/0!</v>
      </c>
      <c r="R92" s="157" t="e">
        <f t="shared" si="98"/>
        <v>#DIV/0!</v>
      </c>
      <c r="S92" s="74"/>
      <c r="T92" s="120"/>
      <c r="U92" s="74"/>
      <c r="V92" s="74"/>
      <c r="W92" s="74"/>
      <c r="X92" s="74"/>
      <c r="Y92" s="74"/>
      <c r="Z92" s="74"/>
      <c r="AA92" s="73"/>
      <c r="AB92" s="74"/>
      <c r="AC92" s="74"/>
      <c r="AD92" s="74"/>
      <c r="AE92" s="74"/>
      <c r="AF92" s="74"/>
      <c r="AG92" s="74"/>
      <c r="AH92" s="73"/>
      <c r="AI92" s="367"/>
      <c r="AJ92" s="360"/>
      <c r="AK92" s="360"/>
      <c r="AL92" s="360"/>
      <c r="AM92" s="360"/>
      <c r="AN92" s="360"/>
      <c r="AO92" s="360"/>
      <c r="AP92" s="360"/>
      <c r="AQ92" s="360"/>
      <c r="AR92" s="360"/>
      <c r="AS92" s="360"/>
      <c r="AT92" s="360"/>
      <c r="AU92" s="261"/>
      <c r="AV92" s="261"/>
      <c r="AZ92" s="193"/>
      <c r="BA92" s="203"/>
      <c r="BB92" s="203"/>
      <c r="BC92" s="203"/>
      <c r="BD92" s="203"/>
      <c r="BE92" s="203"/>
      <c r="BF92" s="203"/>
      <c r="BG92" s="203"/>
      <c r="BH92" s="203"/>
      <c r="BI92" s="203"/>
      <c r="BJ92" s="203"/>
      <c r="BK92" s="203"/>
      <c r="BL92" s="203"/>
      <c r="BM92" s="203"/>
      <c r="BN92" s="203"/>
      <c r="BO92" s="203"/>
      <c r="BP92" s="203"/>
      <c r="BQ92" s="203"/>
      <c r="BR92" s="211"/>
      <c r="BS92" s="211"/>
      <c r="BT92" s="211"/>
      <c r="BU92" s="211"/>
      <c r="BV92" s="211"/>
      <c r="BW92" s="211"/>
      <c r="BX92" s="211"/>
      <c r="BY92" s="211"/>
      <c r="BZ92" s="211"/>
      <c r="CA92" s="211"/>
      <c r="CB92" s="211"/>
      <c r="CC92" s="211"/>
      <c r="CD92" s="211"/>
      <c r="CE92" s="211"/>
      <c r="CF92" s="211"/>
      <c r="CG92" s="211"/>
      <c r="CH92" s="211"/>
      <c r="CI92" s="211"/>
      <c r="CJ92" s="62"/>
    </row>
    <row r="93" s="61" customFormat="1" ht="16" customHeight="1" spans="1:88">
      <c r="A93" s="74"/>
      <c r="B93" s="74"/>
      <c r="C93" s="74"/>
      <c r="D93" s="74"/>
      <c r="E93" s="74"/>
      <c r="F93" s="74"/>
      <c r="G93" s="73"/>
      <c r="H93" s="269" t="s">
        <v>523</v>
      </c>
      <c r="I93" s="146">
        <f>IF(第1期!BJ28=0,0,第2期!BJ28/第1期!BJ28)</f>
        <v>0</v>
      </c>
      <c r="J93" s="146">
        <f>IF(第1期!BK28=0,0,第2期!BK28/第1期!BK28)</f>
        <v>0</v>
      </c>
      <c r="K93" s="146">
        <f>IF(第1期!BL28=0,0,第2期!BL28/第1期!BL28)</f>
        <v>0</v>
      </c>
      <c r="L93" s="146">
        <f>IF(第1期!BM28=0,0,第2期!BM28/第1期!BM28)</f>
        <v>0</v>
      </c>
      <c r="M93" s="85"/>
      <c r="N93" s="151" t="s">
        <v>466</v>
      </c>
      <c r="O93" s="157" t="e">
        <f t="shared" si="99"/>
        <v>#DIV/0!</v>
      </c>
      <c r="P93" s="157" t="e">
        <f t="shared" si="98"/>
        <v>#DIV/0!</v>
      </c>
      <c r="Q93" s="157" t="e">
        <f t="shared" si="98"/>
        <v>#DIV/0!</v>
      </c>
      <c r="R93" s="157" t="e">
        <f t="shared" si="98"/>
        <v>#DIV/0!</v>
      </c>
      <c r="S93" s="74"/>
      <c r="T93" s="120"/>
      <c r="U93" s="74"/>
      <c r="V93" s="74"/>
      <c r="W93" s="74"/>
      <c r="X93" s="74"/>
      <c r="Y93" s="74"/>
      <c r="Z93" s="74"/>
      <c r="AA93" s="73"/>
      <c r="AB93" s="74"/>
      <c r="AC93" s="74"/>
      <c r="AD93" s="74"/>
      <c r="AE93" s="74"/>
      <c r="AF93" s="74"/>
      <c r="AG93" s="74"/>
      <c r="AH93" s="73"/>
      <c r="AI93" s="367"/>
      <c r="AJ93" s="360"/>
      <c r="AK93" s="360"/>
      <c r="AL93" s="360"/>
      <c r="AM93" s="360"/>
      <c r="AN93" s="360"/>
      <c r="AO93" s="360"/>
      <c r="AP93" s="360"/>
      <c r="AQ93" s="360"/>
      <c r="AR93" s="360"/>
      <c r="AS93" s="360"/>
      <c r="AT93" s="360"/>
      <c r="AU93" s="261"/>
      <c r="AV93" s="261"/>
      <c r="AZ93" s="193"/>
      <c r="BA93" s="203"/>
      <c r="BB93" s="203"/>
      <c r="BC93" s="203"/>
      <c r="BD93" s="203"/>
      <c r="BE93" s="203"/>
      <c r="BF93" s="203"/>
      <c r="BG93" s="203"/>
      <c r="BH93" s="203"/>
      <c r="BI93" s="203"/>
      <c r="BJ93" s="203"/>
      <c r="BK93" s="203"/>
      <c r="BL93" s="203"/>
      <c r="BM93" s="203"/>
      <c r="BN93" s="203"/>
      <c r="BO93" s="203"/>
      <c r="BP93" s="203"/>
      <c r="BQ93" s="203"/>
      <c r="BR93" s="211"/>
      <c r="BS93" s="211"/>
      <c r="BT93" s="211"/>
      <c r="BU93" s="211"/>
      <c r="BV93" s="211"/>
      <c r="BW93" s="211"/>
      <c r="BX93" s="211"/>
      <c r="BY93" s="211"/>
      <c r="BZ93" s="211"/>
      <c r="CA93" s="211"/>
      <c r="CB93" s="211"/>
      <c r="CC93" s="211"/>
      <c r="CD93" s="211"/>
      <c r="CE93" s="211"/>
      <c r="CF93" s="211"/>
      <c r="CG93" s="211"/>
      <c r="CH93" s="211"/>
      <c r="CI93" s="211"/>
      <c r="CJ93" s="62"/>
    </row>
    <row r="94" s="61" customFormat="1" ht="16" customHeight="1" spans="1:88">
      <c r="A94" s="74"/>
      <c r="B94" s="74"/>
      <c r="C94" s="74"/>
      <c r="D94" s="74"/>
      <c r="E94" s="74"/>
      <c r="F94" s="74"/>
      <c r="G94" s="73"/>
      <c r="H94" s="269" t="s">
        <v>524</v>
      </c>
      <c r="I94" s="146">
        <f>IF(第1期!BN28=0,0,第2期!BN28/第1期!BN28)</f>
        <v>0</v>
      </c>
      <c r="J94" s="146">
        <f>IF(第1期!BO28=0,0,第2期!BO28/第1期!BO28)</f>
        <v>0</v>
      </c>
      <c r="K94" s="146">
        <f>IF(第1期!BP28=0,0,第2期!BP28/第1期!BP28)</f>
        <v>0</v>
      </c>
      <c r="L94" s="146">
        <f>IF(第1期!BQ28=0,0,第2期!BQ28/第1期!BQ28)</f>
        <v>0</v>
      </c>
      <c r="M94" s="85"/>
      <c r="N94" s="151" t="s">
        <v>468</v>
      </c>
      <c r="O94" s="157" t="e">
        <f t="shared" si="99"/>
        <v>#DIV/0!</v>
      </c>
      <c r="P94" s="157" t="e">
        <f t="shared" si="98"/>
        <v>#DIV/0!</v>
      </c>
      <c r="Q94" s="157" t="e">
        <f t="shared" si="98"/>
        <v>#DIV/0!</v>
      </c>
      <c r="R94" s="157" t="e">
        <f t="shared" si="98"/>
        <v>#DIV/0!</v>
      </c>
      <c r="S94" s="74"/>
      <c r="T94" s="120"/>
      <c r="U94" s="74"/>
      <c r="V94" s="74"/>
      <c r="W94" s="74"/>
      <c r="X94" s="74"/>
      <c r="Y94" s="74"/>
      <c r="Z94" s="74"/>
      <c r="AA94" s="73"/>
      <c r="AB94" s="74"/>
      <c r="AC94" s="74"/>
      <c r="AD94" s="74"/>
      <c r="AE94" s="74"/>
      <c r="AF94" s="74"/>
      <c r="AG94" s="74"/>
      <c r="AH94" s="73"/>
      <c r="AI94" s="367"/>
      <c r="AJ94" s="360"/>
      <c r="AK94" s="360"/>
      <c r="AL94" s="360"/>
      <c r="AM94" s="360"/>
      <c r="AN94" s="360"/>
      <c r="AO94" s="360"/>
      <c r="AP94" s="360"/>
      <c r="AQ94" s="360"/>
      <c r="AR94" s="360"/>
      <c r="AS94" s="360"/>
      <c r="AT94" s="360"/>
      <c r="AU94" s="261"/>
      <c r="AV94" s="261"/>
      <c r="AZ94" s="193"/>
      <c r="BA94" s="203"/>
      <c r="BB94" s="203"/>
      <c r="BC94" s="203"/>
      <c r="BD94" s="203"/>
      <c r="BE94" s="203"/>
      <c r="BF94" s="203"/>
      <c r="BG94" s="203"/>
      <c r="BH94" s="203"/>
      <c r="BI94" s="203"/>
      <c r="BJ94" s="203"/>
      <c r="BK94" s="203"/>
      <c r="BL94" s="203"/>
      <c r="BM94" s="203"/>
      <c r="BN94" s="203"/>
      <c r="BO94" s="203"/>
      <c r="BP94" s="203"/>
      <c r="BQ94" s="203"/>
      <c r="BR94" s="211"/>
      <c r="BS94" s="211"/>
      <c r="BT94" s="211"/>
      <c r="BU94" s="211"/>
      <c r="BV94" s="211"/>
      <c r="BW94" s="211"/>
      <c r="BX94" s="211"/>
      <c r="BY94" s="211"/>
      <c r="BZ94" s="211"/>
      <c r="CA94" s="211"/>
      <c r="CB94" s="211"/>
      <c r="CC94" s="211"/>
      <c r="CD94" s="211"/>
      <c r="CE94" s="211"/>
      <c r="CF94" s="211"/>
      <c r="CG94" s="211"/>
      <c r="CH94" s="211"/>
      <c r="CI94" s="211"/>
      <c r="CJ94" s="62"/>
    </row>
    <row r="95" s="61" customFormat="1" ht="16" customHeight="1" spans="1:88">
      <c r="A95" s="74"/>
      <c r="B95" s="74"/>
      <c r="C95" s="74"/>
      <c r="D95" s="74"/>
      <c r="E95" s="74"/>
      <c r="F95" s="74"/>
      <c r="G95" s="331"/>
      <c r="H95" s="90"/>
      <c r="I95" s="90"/>
      <c r="J95" s="90"/>
      <c r="K95" s="90"/>
      <c r="L95" s="90"/>
      <c r="M95" s="85"/>
      <c r="N95" s="74"/>
      <c r="O95" s="74"/>
      <c r="P95" s="74"/>
      <c r="Q95" s="74"/>
      <c r="R95" s="74"/>
      <c r="S95" s="74"/>
      <c r="T95" s="120"/>
      <c r="U95" s="74"/>
      <c r="V95" s="74"/>
      <c r="W95" s="74"/>
      <c r="X95" s="74"/>
      <c r="Y95" s="74"/>
      <c r="Z95" s="74"/>
      <c r="AA95" s="73"/>
      <c r="AB95" s="74"/>
      <c r="AC95" s="74"/>
      <c r="AD95" s="74"/>
      <c r="AE95" s="74"/>
      <c r="AF95" s="74"/>
      <c r="AG95" s="74"/>
      <c r="AH95" s="73"/>
      <c r="AI95" s="367"/>
      <c r="AJ95" s="360"/>
      <c r="AK95" s="360"/>
      <c r="AL95" s="360"/>
      <c r="AM95" s="360"/>
      <c r="AN95" s="360"/>
      <c r="AO95" s="360"/>
      <c r="AP95" s="360"/>
      <c r="AQ95" s="360"/>
      <c r="AR95" s="360"/>
      <c r="AS95" s="360"/>
      <c r="AT95" s="360"/>
      <c r="AU95" s="261"/>
      <c r="AV95" s="261"/>
      <c r="AZ95" s="193"/>
      <c r="BA95" s="203"/>
      <c r="BB95" s="203"/>
      <c r="BC95" s="203"/>
      <c r="BD95" s="203"/>
      <c r="BE95" s="203"/>
      <c r="BF95" s="203"/>
      <c r="BG95" s="203"/>
      <c r="BH95" s="203"/>
      <c r="BI95" s="203"/>
      <c r="BJ95" s="203"/>
      <c r="BK95" s="203"/>
      <c r="BL95" s="203"/>
      <c r="BM95" s="203"/>
      <c r="BN95" s="203"/>
      <c r="BO95" s="203"/>
      <c r="BP95" s="203"/>
      <c r="BQ95" s="203"/>
      <c r="BR95" s="211"/>
      <c r="BS95" s="211"/>
      <c r="BT95" s="211"/>
      <c r="BU95" s="211"/>
      <c r="BV95" s="211"/>
      <c r="BW95" s="211"/>
      <c r="BX95" s="211"/>
      <c r="BY95" s="211"/>
      <c r="BZ95" s="211"/>
      <c r="CA95" s="211"/>
      <c r="CB95" s="211"/>
      <c r="CC95" s="211"/>
      <c r="CD95" s="211"/>
      <c r="CE95" s="211"/>
      <c r="CF95" s="211"/>
      <c r="CG95" s="211"/>
      <c r="CH95" s="211"/>
      <c r="CI95" s="211"/>
      <c r="CJ95" s="62"/>
    </row>
    <row r="96" s="61" customFormat="1" ht="15.75" customHeight="1" spans="1:88">
      <c r="A96" s="74"/>
      <c r="B96" s="74"/>
      <c r="C96" s="74"/>
      <c r="D96" s="74"/>
      <c r="E96" s="74"/>
      <c r="F96" s="74"/>
      <c r="G96" s="73"/>
      <c r="H96" s="269" t="s">
        <v>732</v>
      </c>
      <c r="I96" s="269" t="s">
        <v>513</v>
      </c>
      <c r="J96" s="269" t="s">
        <v>514</v>
      </c>
      <c r="K96" s="269" t="s">
        <v>515</v>
      </c>
      <c r="L96" s="269" t="s">
        <v>516</v>
      </c>
      <c r="M96" s="85"/>
      <c r="N96" s="269" t="s">
        <v>733</v>
      </c>
      <c r="O96" s="269" t="s">
        <v>513</v>
      </c>
      <c r="P96" s="269" t="s">
        <v>514</v>
      </c>
      <c r="Q96" s="269" t="s">
        <v>515</v>
      </c>
      <c r="R96" s="269" t="s">
        <v>516</v>
      </c>
      <c r="S96" s="252" t="s">
        <v>734</v>
      </c>
      <c r="T96" s="74"/>
      <c r="U96" s="74"/>
      <c r="V96" s="74"/>
      <c r="W96" s="74"/>
      <c r="X96" s="74"/>
      <c r="Y96" s="74"/>
      <c r="Z96" s="74"/>
      <c r="AA96" s="73"/>
      <c r="AB96" s="74"/>
      <c r="AC96" s="74"/>
      <c r="AD96" s="74"/>
      <c r="AE96" s="74"/>
      <c r="AF96" s="74"/>
      <c r="AG96" s="74"/>
      <c r="AH96" s="73"/>
      <c r="AI96" s="367"/>
      <c r="AJ96" s="360"/>
      <c r="AK96" s="360"/>
      <c r="AL96" s="360"/>
      <c r="AM96" s="360"/>
      <c r="AN96" s="360"/>
      <c r="AO96" s="360"/>
      <c r="AP96" s="360"/>
      <c r="AQ96" s="360"/>
      <c r="AR96" s="360"/>
      <c r="AS96" s="360"/>
      <c r="AT96" s="360"/>
      <c r="AU96" s="261"/>
      <c r="AV96" s="261"/>
      <c r="AZ96" s="193"/>
      <c r="BA96" s="203"/>
      <c r="BB96" s="203"/>
      <c r="BC96" s="203"/>
      <c r="BD96" s="203"/>
      <c r="BE96" s="203"/>
      <c r="BF96" s="203"/>
      <c r="BG96" s="203"/>
      <c r="BH96" s="203"/>
      <c r="BI96" s="203"/>
      <c r="BJ96" s="203"/>
      <c r="BK96" s="203"/>
      <c r="BL96" s="203"/>
      <c r="BM96" s="203"/>
      <c r="BN96" s="203"/>
      <c r="BO96" s="203"/>
      <c r="BP96" s="203"/>
      <c r="BQ96" s="203"/>
      <c r="BR96" s="211"/>
      <c r="BS96" s="211"/>
      <c r="BT96" s="211"/>
      <c r="BU96" s="211"/>
      <c r="BV96" s="211"/>
      <c r="BW96" s="211"/>
      <c r="BX96" s="211"/>
      <c r="BY96" s="211"/>
      <c r="BZ96" s="211"/>
      <c r="CA96" s="211"/>
      <c r="CB96" s="211"/>
      <c r="CC96" s="211"/>
      <c r="CD96" s="211"/>
      <c r="CE96" s="211"/>
      <c r="CF96" s="211"/>
      <c r="CG96" s="211"/>
      <c r="CH96" s="211"/>
      <c r="CI96" s="211"/>
      <c r="CJ96" s="62"/>
    </row>
    <row r="97" s="61" customFormat="1" ht="16" customHeight="1" spans="1:88">
      <c r="A97" s="74"/>
      <c r="B97" s="74"/>
      <c r="C97" s="74"/>
      <c r="D97" s="74"/>
      <c r="E97" s="74"/>
      <c r="F97" s="74"/>
      <c r="G97" s="73"/>
      <c r="H97" s="269" t="s">
        <v>521</v>
      </c>
      <c r="I97" s="115" t="e">
        <f>第2期!O20-第1期!O20</f>
        <v>#DIV/0!</v>
      </c>
      <c r="J97" s="115" t="e">
        <f>第2期!P20-第1期!P20</f>
        <v>#DIV/0!</v>
      </c>
      <c r="K97" s="115" t="e">
        <f>第2期!Q20-第1期!Q20</f>
        <v>#DIV/0!</v>
      </c>
      <c r="L97" s="115" t="e">
        <f>第2期!R20-第1期!R20</f>
        <v>#DIV/0!</v>
      </c>
      <c r="M97" s="85"/>
      <c r="N97" s="269" t="s">
        <v>521</v>
      </c>
      <c r="O97" s="115">
        <f>V17-第2期!V17</f>
        <v>0</v>
      </c>
      <c r="P97" s="115">
        <f>W17-第2期!W17</f>
        <v>0</v>
      </c>
      <c r="Q97" s="115">
        <f>X17-第2期!X17</f>
        <v>0</v>
      </c>
      <c r="R97" s="115">
        <f>Y17-第2期!Y17</f>
        <v>0</v>
      </c>
      <c r="S97" s="253" t="e">
        <f>(I97+J97)/2+(O97+P97)/2*S73</f>
        <v>#DIV/0!</v>
      </c>
      <c r="T97" s="74"/>
      <c r="U97" s="74"/>
      <c r="V97" s="74"/>
      <c r="W97" s="74"/>
      <c r="X97" s="74"/>
      <c r="Y97" s="74"/>
      <c r="Z97" s="74"/>
      <c r="AA97" s="73"/>
      <c r="AB97" s="74"/>
      <c r="AC97" s="74"/>
      <c r="AD97" s="74"/>
      <c r="AE97" s="74"/>
      <c r="AF97" s="74"/>
      <c r="AG97" s="74"/>
      <c r="AH97" s="73"/>
      <c r="AI97" s="367"/>
      <c r="AJ97" s="360"/>
      <c r="AK97" s="360"/>
      <c r="AL97" s="360"/>
      <c r="AM97" s="360"/>
      <c r="AN97" s="360"/>
      <c r="AO97" s="360"/>
      <c r="AP97" s="360"/>
      <c r="AQ97" s="360"/>
      <c r="AR97" s="360"/>
      <c r="AS97" s="360"/>
      <c r="AT97" s="360"/>
      <c r="AU97" s="261"/>
      <c r="AV97" s="261"/>
      <c r="AZ97" s="193"/>
      <c r="BA97" s="203"/>
      <c r="BB97" s="203"/>
      <c r="BC97" s="203"/>
      <c r="BD97" s="203"/>
      <c r="BE97" s="203"/>
      <c r="BF97" s="203"/>
      <c r="BG97" s="203"/>
      <c r="BH97" s="203"/>
      <c r="BI97" s="203"/>
      <c r="BJ97" s="203"/>
      <c r="BK97" s="203"/>
      <c r="BL97" s="203"/>
      <c r="BM97" s="203"/>
      <c r="BN97" s="203"/>
      <c r="BO97" s="203"/>
      <c r="BP97" s="203"/>
      <c r="BQ97" s="203"/>
      <c r="BR97" s="211"/>
      <c r="BS97" s="211"/>
      <c r="BT97" s="211"/>
      <c r="BU97" s="211"/>
      <c r="BV97" s="211"/>
      <c r="BW97" s="211"/>
      <c r="BX97" s="211"/>
      <c r="BY97" s="211"/>
      <c r="BZ97" s="211"/>
      <c r="CA97" s="211"/>
      <c r="CB97" s="211"/>
      <c r="CC97" s="211"/>
      <c r="CD97" s="211"/>
      <c r="CE97" s="211"/>
      <c r="CF97" s="211"/>
      <c r="CG97" s="211"/>
      <c r="CH97" s="211"/>
      <c r="CI97" s="211"/>
      <c r="CJ97" s="62"/>
    </row>
    <row r="98" s="61" customFormat="1" ht="16" customHeight="1" spans="1:88">
      <c r="A98" s="74"/>
      <c r="B98" s="74"/>
      <c r="C98" s="74"/>
      <c r="D98" s="74"/>
      <c r="E98" s="74"/>
      <c r="F98" s="74"/>
      <c r="G98" s="73"/>
      <c r="H98" s="269" t="s">
        <v>522</v>
      </c>
      <c r="I98" s="115" t="e">
        <f>第2期!O21-第1期!O21</f>
        <v>#DIV/0!</v>
      </c>
      <c r="J98" s="115" t="e">
        <f>第2期!P21-第1期!P21</f>
        <v>#DIV/0!</v>
      </c>
      <c r="K98" s="115" t="e">
        <f>第2期!Q21-第1期!Q21</f>
        <v>#DIV/0!</v>
      </c>
      <c r="L98" s="115" t="e">
        <f>第2期!R21-第1期!R21</f>
        <v>#DIV/0!</v>
      </c>
      <c r="M98" s="85"/>
      <c r="N98" s="269" t="s">
        <v>522</v>
      </c>
      <c r="O98" s="115">
        <f>V18-第2期!V18</f>
        <v>0</v>
      </c>
      <c r="P98" s="115">
        <f>W18-第2期!W18</f>
        <v>0</v>
      </c>
      <c r="Q98" s="115">
        <f>X18-第2期!X18</f>
        <v>0</v>
      </c>
      <c r="R98" s="115">
        <f>Y18-第2期!Y18</f>
        <v>0</v>
      </c>
      <c r="S98" s="253" t="e">
        <f t="shared" ref="S98:S100" si="100">(I98+J98)/2+(O98+P98)/2*S74</f>
        <v>#DIV/0!</v>
      </c>
      <c r="T98" s="74"/>
      <c r="U98" s="74"/>
      <c r="V98" s="74"/>
      <c r="W98" s="74"/>
      <c r="X98" s="74"/>
      <c r="Y98" s="74"/>
      <c r="Z98" s="74"/>
      <c r="AA98" s="73"/>
      <c r="AB98" s="74"/>
      <c r="AC98" s="74"/>
      <c r="AD98" s="74"/>
      <c r="AE98" s="74"/>
      <c r="AF98" s="74"/>
      <c r="AG98" s="74"/>
      <c r="AH98" s="73"/>
      <c r="AI98" s="367"/>
      <c r="AJ98" s="360"/>
      <c r="AK98" s="360"/>
      <c r="AL98" s="360"/>
      <c r="AM98" s="360"/>
      <c r="AN98" s="360"/>
      <c r="AO98" s="360"/>
      <c r="AP98" s="360"/>
      <c r="AQ98" s="360"/>
      <c r="AR98" s="360"/>
      <c r="AS98" s="360"/>
      <c r="AT98" s="360"/>
      <c r="AU98" s="261"/>
      <c r="AV98" s="261"/>
      <c r="AZ98" s="193"/>
      <c r="BA98" s="203"/>
      <c r="BB98" s="203"/>
      <c r="BC98" s="203"/>
      <c r="BD98" s="203"/>
      <c r="BE98" s="203"/>
      <c r="BF98" s="203"/>
      <c r="BG98" s="203"/>
      <c r="BH98" s="203"/>
      <c r="BI98" s="203"/>
      <c r="BJ98" s="203"/>
      <c r="BK98" s="203"/>
      <c r="BL98" s="203"/>
      <c r="BM98" s="203"/>
      <c r="BN98" s="203"/>
      <c r="BO98" s="203"/>
      <c r="BP98" s="203"/>
      <c r="BQ98" s="203"/>
      <c r="BR98" s="211"/>
      <c r="BS98" s="211"/>
      <c r="BT98" s="211"/>
      <c r="BU98" s="211"/>
      <c r="BV98" s="211"/>
      <c r="BW98" s="211"/>
      <c r="BX98" s="211"/>
      <c r="BY98" s="211"/>
      <c r="BZ98" s="211"/>
      <c r="CA98" s="211"/>
      <c r="CB98" s="211"/>
      <c r="CC98" s="211"/>
      <c r="CD98" s="211"/>
      <c r="CE98" s="211"/>
      <c r="CF98" s="211"/>
      <c r="CG98" s="211"/>
      <c r="CH98" s="211"/>
      <c r="CI98" s="211"/>
      <c r="CJ98" s="62"/>
    </row>
    <row r="99" s="61" customFormat="1" ht="16" customHeight="1" spans="1:88">
      <c r="A99" s="74"/>
      <c r="B99" s="74"/>
      <c r="C99" s="74"/>
      <c r="D99" s="74"/>
      <c r="E99" s="74"/>
      <c r="F99" s="74"/>
      <c r="G99" s="73"/>
      <c r="H99" s="269" t="s">
        <v>523</v>
      </c>
      <c r="I99" s="115" t="e">
        <f>第2期!O22-第1期!O22</f>
        <v>#DIV/0!</v>
      </c>
      <c r="J99" s="115" t="e">
        <f>第2期!P22-第1期!P22</f>
        <v>#DIV/0!</v>
      </c>
      <c r="K99" s="115" t="e">
        <f>第2期!Q22-第1期!Q22</f>
        <v>#DIV/0!</v>
      </c>
      <c r="L99" s="115" t="e">
        <f>第2期!R22-第1期!R22</f>
        <v>#DIV/0!</v>
      </c>
      <c r="M99" s="85"/>
      <c r="N99" s="269" t="s">
        <v>523</v>
      </c>
      <c r="O99" s="115">
        <f>V19-第2期!V19</f>
        <v>0</v>
      </c>
      <c r="P99" s="115">
        <f>W19-第2期!W19</f>
        <v>0</v>
      </c>
      <c r="Q99" s="115">
        <f>X19-第2期!X19</f>
        <v>0</v>
      </c>
      <c r="R99" s="115">
        <f>Y19-第2期!Y19</f>
        <v>0</v>
      </c>
      <c r="S99" s="253" t="e">
        <f t="shared" si="100"/>
        <v>#DIV/0!</v>
      </c>
      <c r="T99" s="74"/>
      <c r="U99" s="74"/>
      <c r="V99" s="74"/>
      <c r="W99" s="74"/>
      <c r="X99" s="74"/>
      <c r="Y99" s="74"/>
      <c r="Z99" s="74"/>
      <c r="AA99" s="73"/>
      <c r="AB99" s="74"/>
      <c r="AC99" s="74"/>
      <c r="AD99" s="74"/>
      <c r="AE99" s="74"/>
      <c r="AF99" s="74"/>
      <c r="AG99" s="74"/>
      <c r="AH99" s="73"/>
      <c r="AI99" s="367"/>
      <c r="AJ99" s="360"/>
      <c r="AK99" s="360"/>
      <c r="AL99" s="360"/>
      <c r="AM99" s="360"/>
      <c r="AN99" s="360"/>
      <c r="AO99" s="360"/>
      <c r="AP99" s="360"/>
      <c r="AQ99" s="360"/>
      <c r="AR99" s="360"/>
      <c r="AS99" s="360"/>
      <c r="AT99" s="360"/>
      <c r="AU99" s="261"/>
      <c r="AV99" s="261"/>
      <c r="AZ99" s="193"/>
      <c r="BA99" s="203"/>
      <c r="BB99" s="203"/>
      <c r="BC99" s="203"/>
      <c r="BD99" s="203"/>
      <c r="BE99" s="203"/>
      <c r="BF99" s="203"/>
      <c r="BG99" s="203"/>
      <c r="BH99" s="203"/>
      <c r="BI99" s="203"/>
      <c r="BJ99" s="203"/>
      <c r="BK99" s="203"/>
      <c r="BL99" s="203"/>
      <c r="BM99" s="203"/>
      <c r="BN99" s="203"/>
      <c r="BO99" s="203"/>
      <c r="BP99" s="203"/>
      <c r="BQ99" s="203"/>
      <c r="BR99" s="211"/>
      <c r="BS99" s="211"/>
      <c r="BT99" s="211"/>
      <c r="BU99" s="211"/>
      <c r="BV99" s="211"/>
      <c r="BW99" s="211"/>
      <c r="BX99" s="211"/>
      <c r="BY99" s="211"/>
      <c r="BZ99" s="211"/>
      <c r="CA99" s="211"/>
      <c r="CB99" s="211"/>
      <c r="CC99" s="211"/>
      <c r="CD99" s="211"/>
      <c r="CE99" s="211"/>
      <c r="CF99" s="211"/>
      <c r="CG99" s="211"/>
      <c r="CH99" s="211"/>
      <c r="CI99" s="211"/>
      <c r="CJ99" s="62"/>
    </row>
    <row r="100" s="61" customFormat="1" ht="16" customHeight="1" spans="1:88">
      <c r="A100" s="74"/>
      <c r="B100" s="74"/>
      <c r="C100" s="74"/>
      <c r="D100" s="74"/>
      <c r="E100" s="74"/>
      <c r="F100" s="74"/>
      <c r="G100" s="73"/>
      <c r="H100" s="269" t="s">
        <v>524</v>
      </c>
      <c r="I100" s="115" t="e">
        <f>第2期!O23-第1期!O23</f>
        <v>#DIV/0!</v>
      </c>
      <c r="J100" s="115" t="e">
        <f>第2期!P23-第1期!P23</f>
        <v>#DIV/0!</v>
      </c>
      <c r="K100" s="115" t="e">
        <f>第2期!Q23-第1期!Q23</f>
        <v>#DIV/0!</v>
      </c>
      <c r="L100" s="115" t="e">
        <f>第2期!R23-第1期!R23</f>
        <v>#DIV/0!</v>
      </c>
      <c r="M100" s="85"/>
      <c r="N100" s="269" t="s">
        <v>524</v>
      </c>
      <c r="O100" s="115">
        <f>V20-第2期!V20</f>
        <v>0</v>
      </c>
      <c r="P100" s="115">
        <f>W20-第2期!W20</f>
        <v>0</v>
      </c>
      <c r="Q100" s="115">
        <f>X20-第2期!X20</f>
        <v>0</v>
      </c>
      <c r="R100" s="115">
        <f>Y20-第2期!Y20</f>
        <v>0</v>
      </c>
      <c r="S100" s="253" t="e">
        <f t="shared" si="100"/>
        <v>#DIV/0!</v>
      </c>
      <c r="T100" s="74"/>
      <c r="U100" s="74"/>
      <c r="V100" s="74"/>
      <c r="W100" s="74"/>
      <c r="X100" s="74"/>
      <c r="Y100" s="74"/>
      <c r="Z100" s="74"/>
      <c r="AA100" s="73"/>
      <c r="AB100" s="74"/>
      <c r="AC100" s="74"/>
      <c r="AD100" s="74"/>
      <c r="AE100" s="74"/>
      <c r="AF100" s="74"/>
      <c r="AG100" s="74"/>
      <c r="AH100" s="73"/>
      <c r="AI100" s="367"/>
      <c r="AJ100" s="360"/>
      <c r="AK100" s="360"/>
      <c r="AL100" s="360"/>
      <c r="AM100" s="360"/>
      <c r="AN100" s="360"/>
      <c r="AO100" s="360"/>
      <c r="AP100" s="360"/>
      <c r="AQ100" s="360"/>
      <c r="AR100" s="360"/>
      <c r="AS100" s="360"/>
      <c r="AT100" s="360"/>
      <c r="AU100" s="261"/>
      <c r="AV100" s="261"/>
      <c r="AZ100" s="193"/>
      <c r="BA100" s="203"/>
      <c r="BB100" s="203"/>
      <c r="BC100" s="203"/>
      <c r="BD100" s="203"/>
      <c r="BE100" s="203"/>
      <c r="BF100" s="203"/>
      <c r="BG100" s="203"/>
      <c r="BH100" s="203"/>
      <c r="BI100" s="203"/>
      <c r="BJ100" s="203"/>
      <c r="BK100" s="203"/>
      <c r="BL100" s="203"/>
      <c r="BM100" s="203"/>
      <c r="BN100" s="203"/>
      <c r="BO100" s="203"/>
      <c r="BP100" s="203"/>
      <c r="BQ100" s="203"/>
      <c r="BR100" s="211"/>
      <c r="BS100" s="211"/>
      <c r="BT100" s="211"/>
      <c r="BU100" s="211"/>
      <c r="BV100" s="211"/>
      <c r="BW100" s="211"/>
      <c r="BX100" s="211"/>
      <c r="BY100" s="211"/>
      <c r="BZ100" s="211"/>
      <c r="CA100" s="211"/>
      <c r="CB100" s="211"/>
      <c r="CC100" s="211"/>
      <c r="CD100" s="211"/>
      <c r="CE100" s="211"/>
      <c r="CF100" s="211"/>
      <c r="CG100" s="211"/>
      <c r="CH100" s="211"/>
      <c r="CI100" s="211"/>
      <c r="CJ100" s="62"/>
    </row>
    <row r="101" s="61" customFormat="1" ht="16" customHeight="1" spans="7:88">
      <c r="G101" s="63"/>
      <c r="M101" s="247"/>
      <c r="T101" s="64"/>
      <c r="AA101" s="63"/>
      <c r="AH101" s="63"/>
      <c r="AI101" s="367"/>
      <c r="AJ101" s="360"/>
      <c r="AK101" s="360"/>
      <c r="AL101" s="360"/>
      <c r="AM101" s="360"/>
      <c r="AN101" s="360"/>
      <c r="AO101" s="360"/>
      <c r="AP101" s="360"/>
      <c r="AQ101" s="360"/>
      <c r="AR101" s="360"/>
      <c r="AS101" s="360"/>
      <c r="AT101" s="360"/>
      <c r="AU101" s="261"/>
      <c r="AV101" s="261"/>
      <c r="AZ101" s="193"/>
      <c r="BA101" s="203"/>
      <c r="BB101" s="203"/>
      <c r="BC101" s="203"/>
      <c r="BD101" s="203"/>
      <c r="BE101" s="203"/>
      <c r="BF101" s="203"/>
      <c r="BG101" s="203"/>
      <c r="BH101" s="203"/>
      <c r="BI101" s="203"/>
      <c r="BJ101" s="203"/>
      <c r="BK101" s="203"/>
      <c r="BL101" s="203"/>
      <c r="BM101" s="203"/>
      <c r="BN101" s="203"/>
      <c r="BO101" s="203"/>
      <c r="BP101" s="203"/>
      <c r="BQ101" s="203"/>
      <c r="BR101" s="211"/>
      <c r="BS101" s="211"/>
      <c r="BT101" s="211"/>
      <c r="BU101" s="211"/>
      <c r="BV101" s="211"/>
      <c r="BW101" s="211"/>
      <c r="BX101" s="211"/>
      <c r="BY101" s="211"/>
      <c r="BZ101" s="211"/>
      <c r="CA101" s="211"/>
      <c r="CB101" s="211"/>
      <c r="CC101" s="211"/>
      <c r="CD101" s="211"/>
      <c r="CE101" s="211"/>
      <c r="CF101" s="211"/>
      <c r="CG101" s="211"/>
      <c r="CH101" s="211"/>
      <c r="CI101" s="211"/>
      <c r="CJ101" s="62"/>
    </row>
    <row r="102" s="61" customFormat="1" ht="16" customHeight="1" spans="7:88">
      <c r="G102" s="63"/>
      <c r="M102" s="247"/>
      <c r="T102" s="64"/>
      <c r="AA102" s="63"/>
      <c r="AH102" s="63"/>
      <c r="AI102" s="367"/>
      <c r="AJ102" s="360"/>
      <c r="AK102" s="360"/>
      <c r="AL102" s="360"/>
      <c r="AM102" s="360"/>
      <c r="AN102" s="360"/>
      <c r="AO102" s="360"/>
      <c r="AP102" s="360"/>
      <c r="AQ102" s="360"/>
      <c r="AR102" s="360"/>
      <c r="AS102" s="360"/>
      <c r="AT102" s="360"/>
      <c r="AU102" s="261"/>
      <c r="AV102" s="261"/>
      <c r="AZ102" s="193"/>
      <c r="BA102" s="203"/>
      <c r="BB102" s="203"/>
      <c r="BC102" s="203"/>
      <c r="BD102" s="203"/>
      <c r="BE102" s="203"/>
      <c r="BF102" s="203"/>
      <c r="BG102" s="203"/>
      <c r="BH102" s="203"/>
      <c r="BI102" s="203"/>
      <c r="BJ102" s="203"/>
      <c r="BK102" s="203"/>
      <c r="BL102" s="203"/>
      <c r="BM102" s="203"/>
      <c r="BN102" s="203"/>
      <c r="BO102" s="203"/>
      <c r="BP102" s="203"/>
      <c r="BQ102" s="203"/>
      <c r="BR102" s="211"/>
      <c r="BS102" s="211"/>
      <c r="BT102" s="211"/>
      <c r="BU102" s="211"/>
      <c r="BV102" s="211"/>
      <c r="BW102" s="211"/>
      <c r="BX102" s="211"/>
      <c r="BY102" s="211"/>
      <c r="BZ102" s="211"/>
      <c r="CA102" s="211"/>
      <c r="CB102" s="211"/>
      <c r="CC102" s="211"/>
      <c r="CD102" s="211"/>
      <c r="CE102" s="211"/>
      <c r="CF102" s="211"/>
      <c r="CG102" s="211"/>
      <c r="CH102" s="211"/>
      <c r="CI102" s="211"/>
      <c r="CJ102" s="62"/>
    </row>
    <row r="103" s="61" customFormat="1" ht="16" customHeight="1" spans="7:88">
      <c r="G103" s="63"/>
      <c r="M103" s="247"/>
      <c r="T103" s="64"/>
      <c r="AA103" s="63"/>
      <c r="AH103" s="63"/>
      <c r="AI103" s="367"/>
      <c r="AJ103" s="360"/>
      <c r="AK103" s="360"/>
      <c r="AL103" s="360"/>
      <c r="AM103" s="360"/>
      <c r="AN103" s="360"/>
      <c r="AO103" s="360"/>
      <c r="AP103" s="360"/>
      <c r="AQ103" s="360"/>
      <c r="AR103" s="360"/>
      <c r="AS103" s="360"/>
      <c r="AT103" s="360"/>
      <c r="AU103" s="261"/>
      <c r="AV103" s="261"/>
      <c r="AZ103" s="193"/>
      <c r="BA103" s="203"/>
      <c r="BB103" s="203"/>
      <c r="BC103" s="203"/>
      <c r="BD103" s="203"/>
      <c r="BE103" s="203"/>
      <c r="BF103" s="203"/>
      <c r="BG103" s="203"/>
      <c r="BH103" s="203"/>
      <c r="BI103" s="203"/>
      <c r="BJ103" s="203"/>
      <c r="BK103" s="203"/>
      <c r="BL103" s="203"/>
      <c r="BM103" s="203"/>
      <c r="BN103" s="203"/>
      <c r="BO103" s="203"/>
      <c r="BP103" s="203"/>
      <c r="BQ103" s="203"/>
      <c r="BR103" s="211"/>
      <c r="BS103" s="211"/>
      <c r="BT103" s="211"/>
      <c r="BU103" s="211"/>
      <c r="BV103" s="211"/>
      <c r="BW103" s="211"/>
      <c r="BX103" s="211"/>
      <c r="BY103" s="211"/>
      <c r="BZ103" s="211"/>
      <c r="CA103" s="211"/>
      <c r="CB103" s="211"/>
      <c r="CC103" s="211"/>
      <c r="CD103" s="211"/>
      <c r="CE103" s="211"/>
      <c r="CF103" s="211"/>
      <c r="CG103" s="211"/>
      <c r="CH103" s="211"/>
      <c r="CI103" s="211"/>
      <c r="CJ103" s="62"/>
    </row>
    <row r="104" s="61" customFormat="1" ht="16" customHeight="1" spans="7:88">
      <c r="G104" s="63"/>
      <c r="M104" s="247"/>
      <c r="T104" s="64"/>
      <c r="AA104" s="63"/>
      <c r="AH104" s="63"/>
      <c r="AZ104" s="193"/>
      <c r="BA104" s="203"/>
      <c r="BB104" s="203"/>
      <c r="BC104" s="203"/>
      <c r="BD104" s="203"/>
      <c r="BE104" s="203"/>
      <c r="BF104" s="203"/>
      <c r="BG104" s="203"/>
      <c r="BH104" s="203"/>
      <c r="BI104" s="203"/>
      <c r="BJ104" s="203"/>
      <c r="BK104" s="203"/>
      <c r="BL104" s="203"/>
      <c r="BM104" s="203"/>
      <c r="BN104" s="203"/>
      <c r="BO104" s="203"/>
      <c r="BP104" s="203"/>
      <c r="BQ104" s="203"/>
      <c r="BR104" s="211"/>
      <c r="BS104" s="211"/>
      <c r="BT104" s="211"/>
      <c r="BU104" s="211"/>
      <c r="BV104" s="211"/>
      <c r="BW104" s="211"/>
      <c r="BX104" s="211"/>
      <c r="BY104" s="211"/>
      <c r="BZ104" s="211"/>
      <c r="CA104" s="211"/>
      <c r="CB104" s="211"/>
      <c r="CC104" s="211"/>
      <c r="CD104" s="211"/>
      <c r="CE104" s="211"/>
      <c r="CF104" s="211"/>
      <c r="CG104" s="211"/>
      <c r="CH104" s="211"/>
      <c r="CI104" s="211"/>
      <c r="CJ104" s="62"/>
    </row>
    <row r="105" s="61" customFormat="1" ht="16" customHeight="1" spans="7:88">
      <c r="G105" s="63"/>
      <c r="M105" s="247"/>
      <c r="T105" s="64"/>
      <c r="AA105" s="63"/>
      <c r="AH105" s="63"/>
      <c r="AZ105" s="193"/>
      <c r="BA105" s="203"/>
      <c r="BB105" s="203"/>
      <c r="BC105" s="203"/>
      <c r="BD105" s="203"/>
      <c r="BE105" s="203"/>
      <c r="BF105" s="203"/>
      <c r="BG105" s="203"/>
      <c r="BH105" s="203"/>
      <c r="BI105" s="203"/>
      <c r="BJ105" s="203"/>
      <c r="BK105" s="203"/>
      <c r="BL105" s="203"/>
      <c r="BM105" s="203"/>
      <c r="BN105" s="203"/>
      <c r="BO105" s="203"/>
      <c r="BP105" s="203"/>
      <c r="BQ105" s="203"/>
      <c r="BR105" s="211"/>
      <c r="BS105" s="211"/>
      <c r="BT105" s="211"/>
      <c r="BU105" s="211"/>
      <c r="BV105" s="211"/>
      <c r="BW105" s="211"/>
      <c r="BX105" s="211"/>
      <c r="BY105" s="211"/>
      <c r="BZ105" s="211"/>
      <c r="CA105" s="211"/>
      <c r="CB105" s="211"/>
      <c r="CC105" s="211"/>
      <c r="CD105" s="211"/>
      <c r="CE105" s="211"/>
      <c r="CF105" s="211"/>
      <c r="CG105" s="211"/>
      <c r="CH105" s="211"/>
      <c r="CI105" s="211"/>
      <c r="CJ105" s="62"/>
    </row>
    <row r="106" s="61" customFormat="1" ht="16" customHeight="1" spans="7:88">
      <c r="G106" s="63"/>
      <c r="M106" s="247"/>
      <c r="T106" s="64"/>
      <c r="AA106" s="63"/>
      <c r="AH106" s="63"/>
      <c r="AI106" s="68" t="s">
        <v>37</v>
      </c>
      <c r="AJ106" s="68" t="s">
        <v>348</v>
      </c>
      <c r="AK106" s="68" t="s">
        <v>349</v>
      </c>
      <c r="AL106" s="68" t="s">
        <v>350</v>
      </c>
      <c r="AM106" s="68" t="s">
        <v>351</v>
      </c>
      <c r="AN106" s="68" t="s">
        <v>352</v>
      </c>
      <c r="AO106" s="68" t="s">
        <v>353</v>
      </c>
      <c r="AP106" s="68" t="s">
        <v>354</v>
      </c>
      <c r="AQ106" s="68" t="s">
        <v>355</v>
      </c>
      <c r="AR106" s="241" t="s">
        <v>708</v>
      </c>
      <c r="AS106" s="68" t="s">
        <v>709</v>
      </c>
      <c r="AT106" s="68" t="s">
        <v>710</v>
      </c>
      <c r="AU106" s="241" t="s">
        <v>711</v>
      </c>
      <c r="AV106" s="68" t="s">
        <v>712</v>
      </c>
      <c r="AW106" s="384" t="s">
        <v>713</v>
      </c>
      <c r="AX106" s="68" t="s">
        <v>714</v>
      </c>
      <c r="AY106" s="68" t="s">
        <v>735</v>
      </c>
      <c r="AZ106" s="193"/>
      <c r="BA106" s="203"/>
      <c r="BB106" s="203"/>
      <c r="BC106" s="203"/>
      <c r="BD106" s="203"/>
      <c r="BE106" s="203"/>
      <c r="BF106" s="203"/>
      <c r="BG106" s="203"/>
      <c r="BH106" s="203"/>
      <c r="BI106" s="203"/>
      <c r="BJ106" s="203"/>
      <c r="BK106" s="203"/>
      <c r="BL106" s="203"/>
      <c r="BM106" s="203"/>
      <c r="BN106" s="203"/>
      <c r="BO106" s="203"/>
      <c r="BP106" s="203"/>
      <c r="BQ106" s="203"/>
      <c r="BR106" s="211"/>
      <c r="BS106" s="211"/>
      <c r="BT106" s="211"/>
      <c r="BU106" s="211"/>
      <c r="BV106" s="211"/>
      <c r="BW106" s="211"/>
      <c r="BX106" s="211"/>
      <c r="BY106" s="211"/>
      <c r="BZ106" s="211"/>
      <c r="CA106" s="211"/>
      <c r="CB106" s="211"/>
      <c r="CC106" s="211"/>
      <c r="CD106" s="211"/>
      <c r="CE106" s="211"/>
      <c r="CF106" s="211"/>
      <c r="CG106" s="211"/>
      <c r="CH106" s="211"/>
      <c r="CI106" s="211"/>
      <c r="CJ106" s="62"/>
    </row>
    <row r="107" s="61" customFormat="1" ht="16" customHeight="1" spans="7:88">
      <c r="G107" s="63"/>
      <c r="M107" s="247"/>
      <c r="T107" s="64"/>
      <c r="AA107" s="63"/>
      <c r="AH107" s="63"/>
      <c r="AI107" s="367"/>
      <c r="AJ107" s="364"/>
      <c r="AK107" s="364"/>
      <c r="AL107" s="364"/>
      <c r="AM107" s="364"/>
      <c r="AN107" s="364"/>
      <c r="AO107" s="364"/>
      <c r="AP107" s="364"/>
      <c r="AQ107" s="360"/>
      <c r="AR107" s="262">
        <f>-AT107*5%</f>
        <v>0</v>
      </c>
      <c r="AS107" s="262">
        <f>第2期!AS107+第2期!AR107+第2期!AU107</f>
        <v>0</v>
      </c>
      <c r="AT107" s="411">
        <f>第2期!AU107+第2期!AT107</f>
        <v>0</v>
      </c>
      <c r="AU107" s="262">
        <f>0.5*第2期!AP107-AS107</f>
        <v>0</v>
      </c>
      <c r="AV107" s="262">
        <f>AU107+AS107+AR107</f>
        <v>0</v>
      </c>
      <c r="AW107" s="412" t="e">
        <f>AL107/(AP107+AV107)</f>
        <v>#DIV/0!</v>
      </c>
      <c r="AX107" s="456">
        <f>MAX(AK107,第2期!AO107)</f>
        <v>0</v>
      </c>
      <c r="AY107" s="261">
        <f>IF(AI107="",0,IF(AL107&lt;MAX(AL107:AL126)/3,1,0))</f>
        <v>0</v>
      </c>
      <c r="AZ107" s="193"/>
      <c r="BA107" s="203"/>
      <c r="BB107" s="203"/>
      <c r="BC107" s="203"/>
      <c r="BD107" s="203"/>
      <c r="BE107" s="203"/>
      <c r="BF107" s="203"/>
      <c r="BG107" s="203"/>
      <c r="BH107" s="203"/>
      <c r="BI107" s="203"/>
      <c r="BJ107" s="203"/>
      <c r="BK107" s="203"/>
      <c r="BL107" s="203"/>
      <c r="BM107" s="203"/>
      <c r="BN107" s="203"/>
      <c r="BO107" s="203"/>
      <c r="BP107" s="203"/>
      <c r="BQ107" s="203"/>
      <c r="BR107" s="211"/>
      <c r="BS107" s="211"/>
      <c r="BT107" s="211"/>
      <c r="BU107" s="211"/>
      <c r="BV107" s="211"/>
      <c r="BW107" s="211"/>
      <c r="BX107" s="211"/>
      <c r="BY107" s="211"/>
      <c r="BZ107" s="211"/>
      <c r="CA107" s="211"/>
      <c r="CB107" s="211"/>
      <c r="CC107" s="211"/>
      <c r="CD107" s="211"/>
      <c r="CE107" s="211"/>
      <c r="CF107" s="211"/>
      <c r="CG107" s="211"/>
      <c r="CH107" s="211"/>
      <c r="CI107" s="211"/>
      <c r="CJ107" s="62"/>
    </row>
    <row r="108" s="61" customFormat="1" ht="16" customHeight="1" spans="7:88">
      <c r="G108" s="63"/>
      <c r="M108" s="247"/>
      <c r="T108" s="64"/>
      <c r="AA108" s="63"/>
      <c r="AH108" s="63"/>
      <c r="AI108" s="367"/>
      <c r="AJ108" s="364"/>
      <c r="AK108" s="364"/>
      <c r="AL108" s="364"/>
      <c r="AM108" s="364"/>
      <c r="AN108" s="364"/>
      <c r="AO108" s="364"/>
      <c r="AP108" s="364"/>
      <c r="AQ108" s="360"/>
      <c r="AR108" s="262">
        <f t="shared" ref="AR108:AR126" si="101">-AT108*5%</f>
        <v>0</v>
      </c>
      <c r="AS108" s="262">
        <f>第2期!AS108+第2期!AR108+第2期!AU108</f>
        <v>0</v>
      </c>
      <c r="AT108" s="411">
        <f>第2期!AU108+第2期!AT108</f>
        <v>0</v>
      </c>
      <c r="AU108" s="262">
        <f>0.5*第2期!AP108-AS108</f>
        <v>0</v>
      </c>
      <c r="AV108" s="262">
        <f t="shared" ref="AV108:AV126" si="102">AU108+AS108+AR108</f>
        <v>0</v>
      </c>
      <c r="AW108" s="412" t="e">
        <f t="shared" ref="AW108:AW126" si="103">AL108/(AP108+AV108)</f>
        <v>#DIV/0!</v>
      </c>
      <c r="AX108" s="456">
        <f>MAX(AK108,第2期!AO108)</f>
        <v>0</v>
      </c>
      <c r="AY108" s="261">
        <f t="shared" ref="AY108:AY126" si="104">IF(AI108="",0,IF(AL108&lt;MAX(AL108:AL127)/3,1,0))</f>
        <v>0</v>
      </c>
      <c r="AZ108" s="193"/>
      <c r="BA108" s="203"/>
      <c r="BB108" s="203"/>
      <c r="BC108" s="203"/>
      <c r="BD108" s="203"/>
      <c r="BE108" s="203"/>
      <c r="BF108" s="203"/>
      <c r="BG108" s="203"/>
      <c r="BH108" s="203"/>
      <c r="BI108" s="203"/>
      <c r="BJ108" s="203"/>
      <c r="BK108" s="203"/>
      <c r="BL108" s="203"/>
      <c r="BM108" s="203"/>
      <c r="BN108" s="203"/>
      <c r="BO108" s="203"/>
      <c r="BP108" s="203"/>
      <c r="BQ108" s="203"/>
      <c r="BR108" s="211"/>
      <c r="BS108" s="211"/>
      <c r="BT108" s="211"/>
      <c r="BU108" s="211"/>
      <c r="BV108" s="211"/>
      <c r="BW108" s="211"/>
      <c r="BX108" s="211"/>
      <c r="BY108" s="211"/>
      <c r="BZ108" s="211"/>
      <c r="CA108" s="211"/>
      <c r="CB108" s="211"/>
      <c r="CC108" s="211"/>
      <c r="CD108" s="211"/>
      <c r="CE108" s="211"/>
      <c r="CF108" s="211"/>
      <c r="CG108" s="211"/>
      <c r="CH108" s="211"/>
      <c r="CI108" s="211"/>
      <c r="CJ108" s="62"/>
    </row>
    <row r="109" s="61" customFormat="1" ht="16" customHeight="1" spans="7:88">
      <c r="G109" s="63"/>
      <c r="M109" s="247"/>
      <c r="T109" s="64"/>
      <c r="AA109" s="63"/>
      <c r="AH109" s="63"/>
      <c r="AI109" s="367"/>
      <c r="AJ109" s="364"/>
      <c r="AK109" s="364"/>
      <c r="AL109" s="364"/>
      <c r="AM109" s="364"/>
      <c r="AN109" s="364"/>
      <c r="AO109" s="364"/>
      <c r="AP109" s="364"/>
      <c r="AQ109" s="360"/>
      <c r="AR109" s="262">
        <f t="shared" si="101"/>
        <v>0</v>
      </c>
      <c r="AS109" s="262">
        <f>第2期!AS109+第2期!AR109+第2期!AU109</f>
        <v>0</v>
      </c>
      <c r="AT109" s="411">
        <f>第2期!AU109+第2期!AT109</f>
        <v>0</v>
      </c>
      <c r="AU109" s="262">
        <f>0.5*第2期!AP109-AS109</f>
        <v>0</v>
      </c>
      <c r="AV109" s="262">
        <f t="shared" si="102"/>
        <v>0</v>
      </c>
      <c r="AW109" s="412" t="e">
        <f t="shared" si="103"/>
        <v>#DIV/0!</v>
      </c>
      <c r="AX109" s="456">
        <f>MAX(AK109,第2期!AO109)</f>
        <v>0</v>
      </c>
      <c r="AY109" s="261">
        <f t="shared" si="104"/>
        <v>0</v>
      </c>
      <c r="AZ109" s="193"/>
      <c r="BA109" s="203"/>
      <c r="BB109" s="203"/>
      <c r="BC109" s="203"/>
      <c r="BD109" s="203"/>
      <c r="BE109" s="203"/>
      <c r="BF109" s="203"/>
      <c r="BG109" s="203"/>
      <c r="BH109" s="203"/>
      <c r="BI109" s="203"/>
      <c r="BJ109" s="203"/>
      <c r="BK109" s="203"/>
      <c r="BL109" s="203"/>
      <c r="BM109" s="203"/>
      <c r="BN109" s="203"/>
      <c r="BO109" s="203"/>
      <c r="BP109" s="203"/>
      <c r="BQ109" s="203"/>
      <c r="BR109" s="211"/>
      <c r="BS109" s="211"/>
      <c r="BT109" s="211"/>
      <c r="BU109" s="211"/>
      <c r="BV109" s="211"/>
      <c r="BW109" s="211"/>
      <c r="BX109" s="211"/>
      <c r="BY109" s="211"/>
      <c r="BZ109" s="211"/>
      <c r="CA109" s="211"/>
      <c r="CB109" s="211"/>
      <c r="CC109" s="211"/>
      <c r="CD109" s="211"/>
      <c r="CE109" s="211"/>
      <c r="CF109" s="211"/>
      <c r="CG109" s="211"/>
      <c r="CH109" s="211"/>
      <c r="CI109" s="211"/>
      <c r="CJ109" s="62"/>
    </row>
    <row r="110" s="61" customFormat="1" ht="16" customHeight="1" spans="7:88">
      <c r="G110" s="63"/>
      <c r="M110" s="247"/>
      <c r="T110" s="64"/>
      <c r="AA110" s="63"/>
      <c r="AH110" s="63"/>
      <c r="AI110" s="367"/>
      <c r="AJ110" s="364"/>
      <c r="AK110" s="364"/>
      <c r="AL110" s="364"/>
      <c r="AM110" s="364"/>
      <c r="AN110" s="364"/>
      <c r="AO110" s="364"/>
      <c r="AP110" s="364"/>
      <c r="AQ110" s="360"/>
      <c r="AR110" s="262">
        <f t="shared" si="101"/>
        <v>0</v>
      </c>
      <c r="AS110" s="262">
        <f>第2期!AS110+第2期!AR110+第2期!AU110</f>
        <v>0</v>
      </c>
      <c r="AT110" s="411">
        <f>第2期!AU110+第2期!AT110</f>
        <v>0</v>
      </c>
      <c r="AU110" s="262">
        <f>0.5*第2期!AP110-AS110</f>
        <v>0</v>
      </c>
      <c r="AV110" s="262">
        <f t="shared" si="102"/>
        <v>0</v>
      </c>
      <c r="AW110" s="412" t="e">
        <f t="shared" si="103"/>
        <v>#DIV/0!</v>
      </c>
      <c r="AX110" s="456">
        <f>MAX(AK110,第2期!AO110)</f>
        <v>0</v>
      </c>
      <c r="AY110" s="261">
        <f t="shared" si="104"/>
        <v>0</v>
      </c>
      <c r="AZ110" s="193"/>
      <c r="BA110" s="203"/>
      <c r="BB110" s="203"/>
      <c r="BC110" s="203"/>
      <c r="BD110" s="203"/>
      <c r="BE110" s="203"/>
      <c r="BF110" s="203"/>
      <c r="BG110" s="203"/>
      <c r="BH110" s="203"/>
      <c r="BI110" s="203"/>
      <c r="BJ110" s="203"/>
      <c r="BK110" s="203"/>
      <c r="BL110" s="203"/>
      <c r="BM110" s="203"/>
      <c r="BN110" s="203"/>
      <c r="BO110" s="203"/>
      <c r="BP110" s="203"/>
      <c r="BQ110" s="203"/>
      <c r="BR110" s="211"/>
      <c r="BS110" s="211"/>
      <c r="BT110" s="211"/>
      <c r="BU110" s="211"/>
      <c r="BV110" s="211"/>
      <c r="BW110" s="211"/>
      <c r="BX110" s="211"/>
      <c r="BY110" s="211"/>
      <c r="BZ110" s="211"/>
      <c r="CA110" s="211"/>
      <c r="CB110" s="211"/>
      <c r="CC110" s="211"/>
      <c r="CD110" s="211"/>
      <c r="CE110" s="211"/>
      <c r="CF110" s="211"/>
      <c r="CG110" s="211"/>
      <c r="CH110" s="211"/>
      <c r="CI110" s="211"/>
      <c r="CJ110" s="62"/>
    </row>
    <row r="111" s="61" customFormat="1" ht="16" customHeight="1" spans="7:88">
      <c r="G111" s="63"/>
      <c r="M111" s="247"/>
      <c r="T111" s="64"/>
      <c r="AA111" s="63"/>
      <c r="AH111" s="63"/>
      <c r="AI111" s="367"/>
      <c r="AJ111" s="364"/>
      <c r="AK111" s="364"/>
      <c r="AL111" s="364"/>
      <c r="AM111" s="364"/>
      <c r="AN111" s="364"/>
      <c r="AO111" s="364"/>
      <c r="AP111" s="364"/>
      <c r="AQ111" s="360"/>
      <c r="AR111" s="262">
        <f t="shared" si="101"/>
        <v>0</v>
      </c>
      <c r="AS111" s="262">
        <f>第2期!AS111+第2期!AR111+第2期!AU111</f>
        <v>0</v>
      </c>
      <c r="AT111" s="411">
        <f>第2期!AU111+第2期!AT111</f>
        <v>0</v>
      </c>
      <c r="AU111" s="262">
        <f>0.5*第2期!AP111-AS111</f>
        <v>0</v>
      </c>
      <c r="AV111" s="262">
        <f t="shared" si="102"/>
        <v>0</v>
      </c>
      <c r="AW111" s="412" t="e">
        <f t="shared" si="103"/>
        <v>#DIV/0!</v>
      </c>
      <c r="AX111" s="456">
        <f>MAX(AK111,第2期!AO111)</f>
        <v>0</v>
      </c>
      <c r="AY111" s="261">
        <f t="shared" si="104"/>
        <v>0</v>
      </c>
      <c r="AZ111" s="63"/>
      <c r="BR111" s="62"/>
      <c r="BS111" s="62"/>
      <c r="BT111" s="62"/>
      <c r="BU111" s="62"/>
      <c r="BV111" s="62"/>
      <c r="BW111" s="62"/>
      <c r="BX111" s="62"/>
      <c r="BY111" s="62"/>
      <c r="BZ111" s="62"/>
      <c r="CA111" s="62"/>
      <c r="CB111" s="62"/>
      <c r="CC111" s="62"/>
      <c r="CD111" s="62"/>
      <c r="CE111" s="62"/>
      <c r="CF111" s="62"/>
      <c r="CG111" s="62"/>
      <c r="CH111" s="62"/>
      <c r="CI111" s="62"/>
      <c r="CJ111" s="62"/>
    </row>
    <row r="112" s="61" customFormat="1" ht="16" customHeight="1" spans="7:88">
      <c r="G112" s="63"/>
      <c r="M112" s="247"/>
      <c r="T112" s="64"/>
      <c r="AA112" s="63"/>
      <c r="AH112" s="63"/>
      <c r="AI112" s="367"/>
      <c r="AJ112" s="364"/>
      <c r="AK112" s="364"/>
      <c r="AL112" s="364"/>
      <c r="AM112" s="364"/>
      <c r="AN112" s="364"/>
      <c r="AO112" s="364"/>
      <c r="AP112" s="364"/>
      <c r="AQ112" s="360"/>
      <c r="AR112" s="262">
        <f t="shared" si="101"/>
        <v>0</v>
      </c>
      <c r="AS112" s="262">
        <f>第2期!AS112+第2期!AR112+第2期!AU112</f>
        <v>0</v>
      </c>
      <c r="AT112" s="411">
        <f>第2期!AU112+第2期!AT112</f>
        <v>0</v>
      </c>
      <c r="AU112" s="262">
        <f>0.5*第2期!AP112-AS112</f>
        <v>0</v>
      </c>
      <c r="AV112" s="262">
        <f t="shared" si="102"/>
        <v>0</v>
      </c>
      <c r="AW112" s="412" t="e">
        <f t="shared" si="103"/>
        <v>#DIV/0!</v>
      </c>
      <c r="AX112" s="456">
        <f>MAX(AK112,第2期!AO112)</f>
        <v>0</v>
      </c>
      <c r="AY112" s="261">
        <f t="shared" si="104"/>
        <v>0</v>
      </c>
      <c r="AZ112" s="63"/>
      <c r="BR112" s="62"/>
      <c r="BS112" s="62"/>
      <c r="BT112" s="62"/>
      <c r="BU112" s="62"/>
      <c r="BV112" s="62"/>
      <c r="BW112" s="62"/>
      <c r="BX112" s="62"/>
      <c r="BY112" s="62"/>
      <c r="BZ112" s="62"/>
      <c r="CA112" s="62"/>
      <c r="CB112" s="62"/>
      <c r="CC112" s="62"/>
      <c r="CD112" s="62"/>
      <c r="CE112" s="62"/>
      <c r="CF112" s="62"/>
      <c r="CG112" s="62"/>
      <c r="CH112" s="62"/>
      <c r="CI112" s="62"/>
      <c r="CJ112" s="62"/>
    </row>
    <row r="113" s="61" customFormat="1" ht="16" customHeight="1" spans="7:88">
      <c r="G113" s="63"/>
      <c r="M113" s="247"/>
      <c r="T113" s="64"/>
      <c r="AA113" s="63"/>
      <c r="AH113" s="63"/>
      <c r="AI113" s="367"/>
      <c r="AJ113" s="364"/>
      <c r="AK113" s="364"/>
      <c r="AL113" s="364"/>
      <c r="AM113" s="364"/>
      <c r="AN113" s="364"/>
      <c r="AO113" s="364"/>
      <c r="AP113" s="364"/>
      <c r="AQ113" s="360"/>
      <c r="AR113" s="262">
        <f t="shared" si="101"/>
        <v>0</v>
      </c>
      <c r="AS113" s="262">
        <f>第2期!AS113+第2期!AR113+第2期!AU113</f>
        <v>0</v>
      </c>
      <c r="AT113" s="411">
        <f>第2期!AU113+第2期!AT113</f>
        <v>0</v>
      </c>
      <c r="AU113" s="262">
        <f>0.5*第2期!AP113-AS113</f>
        <v>0</v>
      </c>
      <c r="AV113" s="262">
        <f t="shared" si="102"/>
        <v>0</v>
      </c>
      <c r="AW113" s="412" t="e">
        <f t="shared" si="103"/>
        <v>#DIV/0!</v>
      </c>
      <c r="AX113" s="456">
        <f>MAX(AK113,第2期!AO113)</f>
        <v>0</v>
      </c>
      <c r="AY113" s="261">
        <f t="shared" si="104"/>
        <v>0</v>
      </c>
      <c r="AZ113" s="63"/>
      <c r="BR113" s="62"/>
      <c r="BS113" s="62"/>
      <c r="BT113" s="62"/>
      <c r="BU113" s="62"/>
      <c r="BV113" s="62"/>
      <c r="BW113" s="62"/>
      <c r="BX113" s="62"/>
      <c r="BY113" s="62"/>
      <c r="BZ113" s="62"/>
      <c r="CA113" s="62"/>
      <c r="CB113" s="62"/>
      <c r="CC113" s="62"/>
      <c r="CD113" s="62"/>
      <c r="CE113" s="62"/>
      <c r="CF113" s="62"/>
      <c r="CG113" s="62"/>
      <c r="CH113" s="62"/>
      <c r="CI113" s="62"/>
      <c r="CJ113" s="62"/>
    </row>
    <row r="114" s="61" customFormat="1" ht="16" customHeight="1" spans="7:88">
      <c r="G114" s="63"/>
      <c r="M114" s="247"/>
      <c r="T114" s="64"/>
      <c r="AA114" s="63"/>
      <c r="AH114" s="63"/>
      <c r="AI114" s="367"/>
      <c r="AJ114" s="364"/>
      <c r="AK114" s="364"/>
      <c r="AL114" s="364"/>
      <c r="AM114" s="364"/>
      <c r="AN114" s="364"/>
      <c r="AO114" s="364"/>
      <c r="AP114" s="364"/>
      <c r="AQ114" s="360"/>
      <c r="AR114" s="262">
        <f t="shared" si="101"/>
        <v>0</v>
      </c>
      <c r="AS114" s="262">
        <f>第2期!AS114+第2期!AR114+第2期!AU114</f>
        <v>0</v>
      </c>
      <c r="AT114" s="411">
        <f>第2期!AU114+第2期!AT114</f>
        <v>0</v>
      </c>
      <c r="AU114" s="262">
        <f>0.5*第2期!AP114-AS114</f>
        <v>0</v>
      </c>
      <c r="AV114" s="262">
        <f t="shared" si="102"/>
        <v>0</v>
      </c>
      <c r="AW114" s="412" t="e">
        <f t="shared" si="103"/>
        <v>#DIV/0!</v>
      </c>
      <c r="AX114" s="456">
        <f>MAX(AK114,第2期!AO114)</f>
        <v>0</v>
      </c>
      <c r="AY114" s="261">
        <f t="shared" si="104"/>
        <v>0</v>
      </c>
      <c r="AZ114" s="63"/>
      <c r="BR114" s="62"/>
      <c r="BS114" s="62"/>
      <c r="BT114" s="62"/>
      <c r="BU114" s="62"/>
      <c r="BV114" s="62"/>
      <c r="BW114" s="62"/>
      <c r="BX114" s="62"/>
      <c r="BY114" s="62"/>
      <c r="BZ114" s="62"/>
      <c r="CA114" s="62"/>
      <c r="CB114" s="62"/>
      <c r="CC114" s="62"/>
      <c r="CD114" s="62"/>
      <c r="CE114" s="62"/>
      <c r="CF114" s="62"/>
      <c r="CG114" s="62"/>
      <c r="CH114" s="62"/>
      <c r="CI114" s="62"/>
      <c r="CJ114" s="62"/>
    </row>
    <row r="115" s="61" customFormat="1" ht="16" customHeight="1" spans="7:88">
      <c r="G115" s="63"/>
      <c r="M115" s="247"/>
      <c r="T115" s="64"/>
      <c r="AA115" s="63"/>
      <c r="AH115" s="63"/>
      <c r="AI115" s="367"/>
      <c r="AJ115" s="364"/>
      <c r="AK115" s="364"/>
      <c r="AL115" s="364"/>
      <c r="AM115" s="364"/>
      <c r="AN115" s="364"/>
      <c r="AO115" s="364"/>
      <c r="AP115" s="364"/>
      <c r="AQ115" s="360"/>
      <c r="AR115" s="262">
        <f t="shared" si="101"/>
        <v>0</v>
      </c>
      <c r="AS115" s="262">
        <f>第2期!AS115+第2期!AR115+第2期!AU115</f>
        <v>0</v>
      </c>
      <c r="AT115" s="411">
        <f>第2期!AU115+第2期!AT115</f>
        <v>0</v>
      </c>
      <c r="AU115" s="262">
        <f>0.5*第2期!AP115-AS115</f>
        <v>0</v>
      </c>
      <c r="AV115" s="262">
        <f t="shared" si="102"/>
        <v>0</v>
      </c>
      <c r="AW115" s="412" t="e">
        <f t="shared" si="103"/>
        <v>#DIV/0!</v>
      </c>
      <c r="AX115" s="456">
        <f>MAX(AK115,第2期!AO115)</f>
        <v>0</v>
      </c>
      <c r="AY115" s="261">
        <f t="shared" si="104"/>
        <v>0</v>
      </c>
      <c r="AZ115" s="63"/>
      <c r="BR115" s="62"/>
      <c r="BS115" s="62"/>
      <c r="BT115" s="62"/>
      <c r="BU115" s="62"/>
      <c r="BV115" s="62"/>
      <c r="BW115" s="62"/>
      <c r="BX115" s="62"/>
      <c r="BY115" s="62"/>
      <c r="BZ115" s="62"/>
      <c r="CA115" s="62"/>
      <c r="CB115" s="62"/>
      <c r="CC115" s="62"/>
      <c r="CD115" s="62"/>
      <c r="CE115" s="62"/>
      <c r="CF115" s="62"/>
      <c r="CG115" s="62"/>
      <c r="CH115" s="62"/>
      <c r="CI115" s="62"/>
      <c r="CJ115" s="62"/>
    </row>
    <row r="116" s="61" customFormat="1" ht="16" customHeight="1" spans="7:88">
      <c r="G116" s="63"/>
      <c r="M116" s="247"/>
      <c r="T116" s="64"/>
      <c r="AA116" s="63"/>
      <c r="AH116" s="63"/>
      <c r="AI116" s="367"/>
      <c r="AJ116" s="364"/>
      <c r="AK116" s="364"/>
      <c r="AL116" s="364"/>
      <c r="AM116" s="364"/>
      <c r="AN116" s="364"/>
      <c r="AO116" s="364"/>
      <c r="AP116" s="364"/>
      <c r="AQ116" s="360"/>
      <c r="AR116" s="262">
        <f t="shared" si="101"/>
        <v>0</v>
      </c>
      <c r="AS116" s="262">
        <f>第2期!AS116+第2期!AR116+第2期!AU116</f>
        <v>0</v>
      </c>
      <c r="AT116" s="411">
        <f>第2期!AU116+第2期!AT116</f>
        <v>0</v>
      </c>
      <c r="AU116" s="262">
        <f>0.5*第2期!AP116-AS116</f>
        <v>0</v>
      </c>
      <c r="AV116" s="262">
        <f t="shared" si="102"/>
        <v>0</v>
      </c>
      <c r="AW116" s="412" t="e">
        <f t="shared" si="103"/>
        <v>#DIV/0!</v>
      </c>
      <c r="AX116" s="456">
        <f>MAX(AK116,第2期!AO116)</f>
        <v>0</v>
      </c>
      <c r="AY116" s="261">
        <f t="shared" si="104"/>
        <v>0</v>
      </c>
      <c r="AZ116" s="63"/>
      <c r="BR116" s="62"/>
      <c r="BS116" s="62"/>
      <c r="BT116" s="62"/>
      <c r="BU116" s="62"/>
      <c r="BV116" s="62"/>
      <c r="BW116" s="62"/>
      <c r="BX116" s="62"/>
      <c r="BY116" s="62"/>
      <c r="BZ116" s="62"/>
      <c r="CA116" s="62"/>
      <c r="CB116" s="62"/>
      <c r="CC116" s="62"/>
      <c r="CD116" s="62"/>
      <c r="CE116" s="62"/>
      <c r="CF116" s="62"/>
      <c r="CG116" s="62"/>
      <c r="CH116" s="62"/>
      <c r="CI116" s="62"/>
      <c r="CJ116" s="62"/>
    </row>
    <row r="117" s="61" customFormat="1" ht="16" customHeight="1" spans="7:88">
      <c r="G117" s="63"/>
      <c r="M117" s="247"/>
      <c r="T117" s="64"/>
      <c r="AA117" s="63"/>
      <c r="AH117" s="63"/>
      <c r="AI117" s="367"/>
      <c r="AJ117" s="364"/>
      <c r="AK117" s="364"/>
      <c r="AL117" s="364"/>
      <c r="AM117" s="364"/>
      <c r="AN117" s="364"/>
      <c r="AO117" s="364"/>
      <c r="AP117" s="364"/>
      <c r="AQ117" s="360"/>
      <c r="AR117" s="262">
        <f t="shared" si="101"/>
        <v>0</v>
      </c>
      <c r="AS117" s="262">
        <f>第2期!AS117+第2期!AR117+第2期!AU117</f>
        <v>0</v>
      </c>
      <c r="AT117" s="411">
        <f>第2期!AU117+第2期!AT117</f>
        <v>0</v>
      </c>
      <c r="AU117" s="262">
        <f>0.5*第2期!AP117-AS117</f>
        <v>0</v>
      </c>
      <c r="AV117" s="262">
        <f t="shared" si="102"/>
        <v>0</v>
      </c>
      <c r="AW117" s="412" t="e">
        <f t="shared" si="103"/>
        <v>#DIV/0!</v>
      </c>
      <c r="AX117" s="456">
        <f>MAX(AK117,第2期!AO117)</f>
        <v>0</v>
      </c>
      <c r="AY117" s="261">
        <f t="shared" si="104"/>
        <v>0</v>
      </c>
      <c r="AZ117" s="63"/>
      <c r="BR117" s="62"/>
      <c r="BS117" s="62"/>
      <c r="BT117" s="62"/>
      <c r="BU117" s="62"/>
      <c r="BV117" s="62"/>
      <c r="BW117" s="62"/>
      <c r="BX117" s="62"/>
      <c r="BY117" s="62"/>
      <c r="BZ117" s="62"/>
      <c r="CA117" s="62"/>
      <c r="CB117" s="62"/>
      <c r="CC117" s="62"/>
      <c r="CD117" s="62"/>
      <c r="CE117" s="62"/>
      <c r="CF117" s="62"/>
      <c r="CG117" s="62"/>
      <c r="CH117" s="62"/>
      <c r="CI117" s="62"/>
      <c r="CJ117" s="62"/>
    </row>
    <row r="118" s="61" customFormat="1" ht="16" customHeight="1" spans="7:88">
      <c r="G118" s="63"/>
      <c r="M118" s="247"/>
      <c r="T118" s="64"/>
      <c r="AA118" s="63"/>
      <c r="AH118" s="63"/>
      <c r="AI118" s="367"/>
      <c r="AJ118" s="364"/>
      <c r="AK118" s="364"/>
      <c r="AL118" s="364"/>
      <c r="AM118" s="364"/>
      <c r="AN118" s="364"/>
      <c r="AO118" s="364"/>
      <c r="AP118" s="364"/>
      <c r="AQ118" s="360"/>
      <c r="AR118" s="262">
        <f t="shared" si="101"/>
        <v>0</v>
      </c>
      <c r="AS118" s="262">
        <f>第2期!AS118+第2期!AR118+第2期!AU118</f>
        <v>0</v>
      </c>
      <c r="AT118" s="411">
        <f>第2期!AU118+第2期!AT118</f>
        <v>0</v>
      </c>
      <c r="AU118" s="262">
        <f>0.5*第2期!AP118-AS118</f>
        <v>0</v>
      </c>
      <c r="AV118" s="262">
        <f t="shared" si="102"/>
        <v>0</v>
      </c>
      <c r="AW118" s="412" t="e">
        <f t="shared" si="103"/>
        <v>#DIV/0!</v>
      </c>
      <c r="AX118" s="456">
        <f>MAX(AK118,第2期!AO118)</f>
        <v>0</v>
      </c>
      <c r="AY118" s="261">
        <f t="shared" si="104"/>
        <v>0</v>
      </c>
      <c r="AZ118" s="63"/>
      <c r="BR118" s="62"/>
      <c r="BS118" s="62"/>
      <c r="BT118" s="62"/>
      <c r="BU118" s="62"/>
      <c r="BV118" s="62"/>
      <c r="BW118" s="62"/>
      <c r="BX118" s="62"/>
      <c r="BY118" s="62"/>
      <c r="BZ118" s="62"/>
      <c r="CA118" s="62"/>
      <c r="CB118" s="62"/>
      <c r="CC118" s="62"/>
      <c r="CD118" s="62"/>
      <c r="CE118" s="62"/>
      <c r="CF118" s="62"/>
      <c r="CG118" s="62"/>
      <c r="CH118" s="62"/>
      <c r="CI118" s="62"/>
      <c r="CJ118" s="62"/>
    </row>
    <row r="119" s="61" customFormat="1" ht="16" customHeight="1" spans="7:88">
      <c r="G119" s="63"/>
      <c r="M119" s="247"/>
      <c r="T119" s="64"/>
      <c r="AA119" s="63"/>
      <c r="AH119" s="63"/>
      <c r="AI119" s="367"/>
      <c r="AJ119" s="364"/>
      <c r="AK119" s="364"/>
      <c r="AL119" s="364"/>
      <c r="AM119" s="364"/>
      <c r="AN119" s="364"/>
      <c r="AO119" s="364"/>
      <c r="AP119" s="364"/>
      <c r="AQ119" s="360"/>
      <c r="AR119" s="262">
        <f t="shared" si="101"/>
        <v>0</v>
      </c>
      <c r="AS119" s="262">
        <f>第2期!AS119+第2期!AR119+第2期!AU119</f>
        <v>0</v>
      </c>
      <c r="AT119" s="411">
        <f>第2期!AU119+第2期!AT119</f>
        <v>0</v>
      </c>
      <c r="AU119" s="262">
        <f>0.5*第2期!AP119-AS119</f>
        <v>0</v>
      </c>
      <c r="AV119" s="262">
        <f t="shared" si="102"/>
        <v>0</v>
      </c>
      <c r="AW119" s="412" t="e">
        <f t="shared" si="103"/>
        <v>#DIV/0!</v>
      </c>
      <c r="AX119" s="456">
        <f>MAX(AK119,第2期!AO119)</f>
        <v>0</v>
      </c>
      <c r="AY119" s="261">
        <f t="shared" si="104"/>
        <v>0</v>
      </c>
      <c r="AZ119" s="63"/>
      <c r="BR119" s="62"/>
      <c r="BS119" s="62"/>
      <c r="BT119" s="62"/>
      <c r="BU119" s="62"/>
      <c r="BV119" s="62"/>
      <c r="BW119" s="62"/>
      <c r="BX119" s="62"/>
      <c r="BY119" s="62"/>
      <c r="BZ119" s="62"/>
      <c r="CA119" s="62"/>
      <c r="CB119" s="62"/>
      <c r="CC119" s="62"/>
      <c r="CD119" s="62"/>
      <c r="CE119" s="62"/>
      <c r="CF119" s="62"/>
      <c r="CG119" s="62"/>
      <c r="CH119" s="62"/>
      <c r="CI119" s="62"/>
      <c r="CJ119" s="62"/>
    </row>
    <row r="120" s="61" customFormat="1" ht="16" customHeight="1" spans="7:88">
      <c r="G120" s="63"/>
      <c r="M120" s="247"/>
      <c r="T120" s="64"/>
      <c r="AA120" s="63"/>
      <c r="AH120" s="63"/>
      <c r="AI120" s="367"/>
      <c r="AJ120" s="364"/>
      <c r="AK120" s="364"/>
      <c r="AL120" s="364"/>
      <c r="AM120" s="364"/>
      <c r="AN120" s="364"/>
      <c r="AO120" s="364"/>
      <c r="AP120" s="364"/>
      <c r="AQ120" s="360"/>
      <c r="AR120" s="262">
        <f t="shared" si="101"/>
        <v>0</v>
      </c>
      <c r="AS120" s="262">
        <f>第2期!AS120+第2期!AR120+第2期!AU120</f>
        <v>0</v>
      </c>
      <c r="AT120" s="411">
        <f>第2期!AU120+第2期!AT120</f>
        <v>0</v>
      </c>
      <c r="AU120" s="262">
        <f>0.5*第2期!AP120-AS120</f>
        <v>0</v>
      </c>
      <c r="AV120" s="262">
        <f t="shared" si="102"/>
        <v>0</v>
      </c>
      <c r="AW120" s="412" t="e">
        <f t="shared" si="103"/>
        <v>#DIV/0!</v>
      </c>
      <c r="AX120" s="456">
        <f>MAX(AK120,第2期!AO120)</f>
        <v>0</v>
      </c>
      <c r="AY120" s="261">
        <f t="shared" si="104"/>
        <v>0</v>
      </c>
      <c r="AZ120" s="63"/>
      <c r="BR120" s="62"/>
      <c r="BS120" s="62"/>
      <c r="BT120" s="62"/>
      <c r="BU120" s="62"/>
      <c r="BV120" s="62"/>
      <c r="BW120" s="62"/>
      <c r="BX120" s="62"/>
      <c r="BY120" s="62"/>
      <c r="BZ120" s="62"/>
      <c r="CA120" s="62"/>
      <c r="CB120" s="62"/>
      <c r="CC120" s="62"/>
      <c r="CD120" s="62"/>
      <c r="CE120" s="62"/>
      <c r="CF120" s="62"/>
      <c r="CG120" s="62"/>
      <c r="CH120" s="62"/>
      <c r="CI120" s="62"/>
      <c r="CJ120" s="62"/>
    </row>
    <row r="121" s="61" customFormat="1" ht="16" customHeight="1" spans="7:88">
      <c r="G121" s="63"/>
      <c r="M121" s="247"/>
      <c r="T121" s="64"/>
      <c r="AA121" s="63"/>
      <c r="AH121" s="63"/>
      <c r="AI121" s="367"/>
      <c r="AJ121" s="364"/>
      <c r="AK121" s="364"/>
      <c r="AL121" s="364"/>
      <c r="AM121" s="364"/>
      <c r="AN121" s="364"/>
      <c r="AO121" s="364"/>
      <c r="AP121" s="364"/>
      <c r="AQ121" s="360"/>
      <c r="AR121" s="262">
        <f t="shared" si="101"/>
        <v>0</v>
      </c>
      <c r="AS121" s="262">
        <f>第2期!AS121+第2期!AR121+第2期!AU121</f>
        <v>0</v>
      </c>
      <c r="AT121" s="411">
        <f>第2期!AU121+第2期!AT121</f>
        <v>0</v>
      </c>
      <c r="AU121" s="262">
        <f>0.5*第2期!AP121-AS121</f>
        <v>0</v>
      </c>
      <c r="AV121" s="262">
        <f t="shared" si="102"/>
        <v>0</v>
      </c>
      <c r="AW121" s="412" t="e">
        <f t="shared" si="103"/>
        <v>#DIV/0!</v>
      </c>
      <c r="AX121" s="456">
        <f>MAX(AK121,第2期!AO121)</f>
        <v>0</v>
      </c>
      <c r="AY121" s="261">
        <f t="shared" si="104"/>
        <v>0</v>
      </c>
      <c r="AZ121" s="63"/>
      <c r="BR121" s="62"/>
      <c r="BS121" s="62"/>
      <c r="BT121" s="62"/>
      <c r="BU121" s="62"/>
      <c r="BV121" s="62"/>
      <c r="BW121" s="62"/>
      <c r="BX121" s="62"/>
      <c r="BY121" s="62"/>
      <c r="BZ121" s="62"/>
      <c r="CA121" s="62"/>
      <c r="CB121" s="62"/>
      <c r="CC121" s="62"/>
      <c r="CD121" s="62"/>
      <c r="CE121" s="62"/>
      <c r="CF121" s="62"/>
      <c r="CG121" s="62"/>
      <c r="CH121" s="62"/>
      <c r="CI121" s="62"/>
      <c r="CJ121" s="62"/>
    </row>
    <row r="122" s="61" customFormat="1" ht="16" customHeight="1" spans="7:88">
      <c r="G122" s="63"/>
      <c r="M122" s="247"/>
      <c r="T122" s="64"/>
      <c r="AA122" s="63"/>
      <c r="AH122" s="63"/>
      <c r="AI122" s="367"/>
      <c r="AJ122" s="364"/>
      <c r="AK122" s="364"/>
      <c r="AL122" s="364"/>
      <c r="AM122" s="364"/>
      <c r="AN122" s="364"/>
      <c r="AO122" s="364"/>
      <c r="AP122" s="364"/>
      <c r="AQ122" s="360"/>
      <c r="AR122" s="262">
        <f t="shared" si="101"/>
        <v>0</v>
      </c>
      <c r="AS122" s="262">
        <f>第2期!AS122+第2期!AR122+第2期!AU122</f>
        <v>0</v>
      </c>
      <c r="AT122" s="411">
        <f>第2期!AU122+第2期!AT122</f>
        <v>0</v>
      </c>
      <c r="AU122" s="262">
        <f>0.5*第2期!AP122-AS122</f>
        <v>0</v>
      </c>
      <c r="AV122" s="262">
        <f t="shared" si="102"/>
        <v>0</v>
      </c>
      <c r="AW122" s="412" t="e">
        <f t="shared" si="103"/>
        <v>#DIV/0!</v>
      </c>
      <c r="AX122" s="456">
        <f>MAX(AK122,第2期!AO122)</f>
        <v>0</v>
      </c>
      <c r="AY122" s="261">
        <f t="shared" si="104"/>
        <v>0</v>
      </c>
      <c r="AZ122" s="63"/>
      <c r="BR122" s="62"/>
      <c r="BS122" s="62"/>
      <c r="BT122" s="62"/>
      <c r="BU122" s="62"/>
      <c r="BV122" s="62"/>
      <c r="BW122" s="62"/>
      <c r="BX122" s="62"/>
      <c r="BY122" s="62"/>
      <c r="BZ122" s="62"/>
      <c r="CA122" s="62"/>
      <c r="CB122" s="62"/>
      <c r="CC122" s="62"/>
      <c r="CD122" s="62"/>
      <c r="CE122" s="62"/>
      <c r="CF122" s="62"/>
      <c r="CG122" s="62"/>
      <c r="CH122" s="62"/>
      <c r="CI122" s="62"/>
      <c r="CJ122" s="62"/>
    </row>
    <row r="123" s="61" customFormat="1" ht="16" customHeight="1" spans="7:88">
      <c r="G123" s="63"/>
      <c r="M123" s="247"/>
      <c r="T123" s="64"/>
      <c r="AA123" s="63"/>
      <c r="AH123" s="63"/>
      <c r="AI123" s="367"/>
      <c r="AJ123" s="364"/>
      <c r="AK123" s="364"/>
      <c r="AL123" s="364"/>
      <c r="AM123" s="364"/>
      <c r="AN123" s="364"/>
      <c r="AO123" s="364"/>
      <c r="AP123" s="364"/>
      <c r="AQ123" s="360"/>
      <c r="AR123" s="262">
        <f t="shared" si="101"/>
        <v>0</v>
      </c>
      <c r="AS123" s="262">
        <f>第2期!AS123+第2期!AR123+第2期!AU123</f>
        <v>0</v>
      </c>
      <c r="AT123" s="411">
        <f>第2期!AU123+第2期!AT123</f>
        <v>0</v>
      </c>
      <c r="AU123" s="262">
        <f>0.5*第2期!AP123-AS123</f>
        <v>0</v>
      </c>
      <c r="AV123" s="262">
        <f t="shared" si="102"/>
        <v>0</v>
      </c>
      <c r="AW123" s="412" t="e">
        <f t="shared" si="103"/>
        <v>#DIV/0!</v>
      </c>
      <c r="AX123" s="456">
        <f>MAX(AK123,第2期!AO123)</f>
        <v>0</v>
      </c>
      <c r="AY123" s="261">
        <f t="shared" si="104"/>
        <v>0</v>
      </c>
      <c r="AZ123" s="63"/>
      <c r="BR123" s="62"/>
      <c r="BS123" s="62"/>
      <c r="BT123" s="62"/>
      <c r="BU123" s="62"/>
      <c r="BV123" s="62"/>
      <c r="BW123" s="62"/>
      <c r="BX123" s="62"/>
      <c r="BY123" s="62"/>
      <c r="BZ123" s="62"/>
      <c r="CA123" s="62"/>
      <c r="CB123" s="62"/>
      <c r="CC123" s="62"/>
      <c r="CD123" s="62"/>
      <c r="CE123" s="62"/>
      <c r="CF123" s="62"/>
      <c r="CG123" s="62"/>
      <c r="CH123" s="62"/>
      <c r="CI123" s="62"/>
      <c r="CJ123" s="62"/>
    </row>
    <row r="124" s="61" customFormat="1" ht="16" customHeight="1" spans="7:88">
      <c r="G124" s="63"/>
      <c r="M124" s="247"/>
      <c r="T124" s="64"/>
      <c r="AA124" s="63"/>
      <c r="AH124" s="63"/>
      <c r="AI124" s="367"/>
      <c r="AJ124" s="364"/>
      <c r="AK124" s="364"/>
      <c r="AL124" s="364"/>
      <c r="AM124" s="364"/>
      <c r="AN124" s="364"/>
      <c r="AO124" s="364"/>
      <c r="AP124" s="364"/>
      <c r="AQ124" s="360"/>
      <c r="AR124" s="262">
        <f t="shared" si="101"/>
        <v>0</v>
      </c>
      <c r="AS124" s="262">
        <f>第2期!AS124+第2期!AR124+第2期!AU124</f>
        <v>0</v>
      </c>
      <c r="AT124" s="411">
        <f>第2期!AU124+第2期!AT124</f>
        <v>0</v>
      </c>
      <c r="AU124" s="262">
        <f>0.5*第2期!AP124-AS124</f>
        <v>0</v>
      </c>
      <c r="AV124" s="262">
        <f t="shared" si="102"/>
        <v>0</v>
      </c>
      <c r="AW124" s="412" t="e">
        <f t="shared" si="103"/>
        <v>#DIV/0!</v>
      </c>
      <c r="AX124" s="456">
        <f>MAX(AK124,第2期!AO124)</f>
        <v>0</v>
      </c>
      <c r="AY124" s="261">
        <f t="shared" si="104"/>
        <v>0</v>
      </c>
      <c r="AZ124" s="63"/>
      <c r="BR124" s="62"/>
      <c r="BS124" s="62"/>
      <c r="BT124" s="62"/>
      <c r="BU124" s="62"/>
      <c r="BV124" s="62"/>
      <c r="BW124" s="62"/>
      <c r="BX124" s="62"/>
      <c r="BY124" s="62"/>
      <c r="BZ124" s="62"/>
      <c r="CA124" s="62"/>
      <c r="CB124" s="62"/>
      <c r="CC124" s="62"/>
      <c r="CD124" s="62"/>
      <c r="CE124" s="62"/>
      <c r="CF124" s="62"/>
      <c r="CG124" s="62"/>
      <c r="CH124" s="62"/>
      <c r="CI124" s="62"/>
      <c r="CJ124" s="62"/>
    </row>
    <row r="125" s="61" customFormat="1" ht="16" customHeight="1" spans="7:88">
      <c r="G125" s="63"/>
      <c r="M125" s="247"/>
      <c r="T125" s="64"/>
      <c r="AA125" s="63"/>
      <c r="AH125" s="63"/>
      <c r="AI125" s="367"/>
      <c r="AJ125" s="364"/>
      <c r="AK125" s="364"/>
      <c r="AL125" s="364"/>
      <c r="AM125" s="364"/>
      <c r="AN125" s="364"/>
      <c r="AO125" s="364"/>
      <c r="AP125" s="364"/>
      <c r="AQ125" s="360"/>
      <c r="AR125" s="262">
        <f t="shared" si="101"/>
        <v>0</v>
      </c>
      <c r="AS125" s="262">
        <f>第2期!AS125+第2期!AR125+第2期!AU125</f>
        <v>0</v>
      </c>
      <c r="AT125" s="411">
        <f>第2期!AU125+第2期!AT125</f>
        <v>0</v>
      </c>
      <c r="AU125" s="262">
        <f>0.5*第2期!AP125-AS125</f>
        <v>0</v>
      </c>
      <c r="AV125" s="262">
        <f t="shared" si="102"/>
        <v>0</v>
      </c>
      <c r="AW125" s="412" t="e">
        <f t="shared" si="103"/>
        <v>#DIV/0!</v>
      </c>
      <c r="AX125" s="456">
        <f>MAX(AK125,第2期!AO125)</f>
        <v>0</v>
      </c>
      <c r="AY125" s="261">
        <f t="shared" si="104"/>
        <v>0</v>
      </c>
      <c r="AZ125" s="63"/>
      <c r="BR125" s="62"/>
      <c r="BS125" s="62"/>
      <c r="BT125" s="62"/>
      <c r="BU125" s="62"/>
      <c r="BV125" s="62"/>
      <c r="BW125" s="62"/>
      <c r="BX125" s="62"/>
      <c r="BY125" s="62"/>
      <c r="BZ125" s="62"/>
      <c r="CA125" s="62"/>
      <c r="CB125" s="62"/>
      <c r="CC125" s="62"/>
      <c r="CD125" s="62"/>
      <c r="CE125" s="62"/>
      <c r="CF125" s="62"/>
      <c r="CG125" s="62"/>
      <c r="CH125" s="62"/>
      <c r="CI125" s="62"/>
      <c r="CJ125" s="62"/>
    </row>
    <row r="126" s="61" customFormat="1" ht="16" customHeight="1" spans="7:88">
      <c r="G126" s="63"/>
      <c r="M126" s="247"/>
      <c r="T126" s="64"/>
      <c r="AA126" s="63"/>
      <c r="AH126" s="63"/>
      <c r="AI126" s="367"/>
      <c r="AJ126" s="364"/>
      <c r="AK126" s="364"/>
      <c r="AL126" s="364"/>
      <c r="AM126" s="364"/>
      <c r="AN126" s="364"/>
      <c r="AO126" s="364"/>
      <c r="AP126" s="364"/>
      <c r="AQ126" s="360"/>
      <c r="AR126" s="262">
        <f t="shared" si="101"/>
        <v>0</v>
      </c>
      <c r="AS126" s="262">
        <f>第2期!AS126+第2期!AR126+第2期!AU126</f>
        <v>0</v>
      </c>
      <c r="AT126" s="411">
        <f>第2期!AU126+第2期!AT126</f>
        <v>0</v>
      </c>
      <c r="AU126" s="262">
        <f>0.5*第2期!AP126-AS126</f>
        <v>0</v>
      </c>
      <c r="AV126" s="262">
        <f t="shared" si="102"/>
        <v>0</v>
      </c>
      <c r="AW126" s="412" t="e">
        <f t="shared" si="103"/>
        <v>#DIV/0!</v>
      </c>
      <c r="AX126" s="456">
        <f>MAX(AK126,第2期!AO126)</f>
        <v>0</v>
      </c>
      <c r="AY126" s="261">
        <f t="shared" si="104"/>
        <v>0</v>
      </c>
      <c r="AZ126" s="63"/>
      <c r="BR126" s="62"/>
      <c r="BS126" s="62"/>
      <c r="BT126" s="62"/>
      <c r="BU126" s="62"/>
      <c r="BV126" s="62"/>
      <c r="BW126" s="62"/>
      <c r="BX126" s="62"/>
      <c r="BY126" s="62"/>
      <c r="BZ126" s="62"/>
      <c r="CA126" s="62"/>
      <c r="CB126" s="62"/>
      <c r="CC126" s="62"/>
      <c r="CD126" s="62"/>
      <c r="CE126" s="62"/>
      <c r="CF126" s="62"/>
      <c r="CG126" s="62"/>
      <c r="CH126" s="62"/>
      <c r="CI126" s="62"/>
      <c r="CJ126" s="62"/>
    </row>
    <row r="127" s="61" customFormat="1" ht="16" customHeight="1" spans="7:88">
      <c r="G127" s="63"/>
      <c r="M127" s="247"/>
      <c r="T127" s="64"/>
      <c r="AA127" s="63"/>
      <c r="AH127" s="63"/>
      <c r="AZ127" s="63"/>
      <c r="BR127" s="62"/>
      <c r="BS127" s="62"/>
      <c r="BT127" s="62"/>
      <c r="BU127" s="62"/>
      <c r="BV127" s="62"/>
      <c r="BW127" s="62"/>
      <c r="BX127" s="62"/>
      <c r="BY127" s="62"/>
      <c r="BZ127" s="62"/>
      <c r="CA127" s="62"/>
      <c r="CB127" s="62"/>
      <c r="CC127" s="62"/>
      <c r="CD127" s="62"/>
      <c r="CE127" s="62"/>
      <c r="CF127" s="62"/>
      <c r="CG127" s="62"/>
      <c r="CH127" s="62"/>
      <c r="CI127" s="62"/>
      <c r="CJ127" s="62"/>
    </row>
    <row r="128" s="61" customFormat="1" ht="16" customHeight="1" spans="7:88">
      <c r="G128" s="63"/>
      <c r="M128" s="247"/>
      <c r="T128" s="64"/>
      <c r="AA128" s="63"/>
      <c r="AH128" s="63"/>
      <c r="AZ128" s="63"/>
      <c r="BR128" s="62"/>
      <c r="BS128" s="62"/>
      <c r="BT128" s="62"/>
      <c r="BU128" s="62"/>
      <c r="BV128" s="62"/>
      <c r="BW128" s="62"/>
      <c r="BX128" s="62"/>
      <c r="BY128" s="62"/>
      <c r="BZ128" s="62"/>
      <c r="CA128" s="62"/>
      <c r="CB128" s="62"/>
      <c r="CC128" s="62"/>
      <c r="CD128" s="62"/>
      <c r="CE128" s="62"/>
      <c r="CF128" s="62"/>
      <c r="CG128" s="62"/>
      <c r="CH128" s="62"/>
      <c r="CI128" s="62"/>
      <c r="CJ128" s="62"/>
    </row>
    <row r="129" s="61" customFormat="1" ht="16" customHeight="1" spans="7:88">
      <c r="G129" s="63"/>
      <c r="M129" s="247"/>
      <c r="T129" s="64"/>
      <c r="AA129" s="63"/>
      <c r="AH129" s="63"/>
      <c r="AZ129" s="63"/>
      <c r="BR129" s="62"/>
      <c r="BS129" s="62"/>
      <c r="BT129" s="62"/>
      <c r="BU129" s="62"/>
      <c r="BV129" s="62"/>
      <c r="BW129" s="62"/>
      <c r="BX129" s="62"/>
      <c r="BY129" s="62"/>
      <c r="BZ129" s="62"/>
      <c r="CA129" s="62"/>
      <c r="CB129" s="62"/>
      <c r="CC129" s="62"/>
      <c r="CD129" s="62"/>
      <c r="CE129" s="62"/>
      <c r="CF129" s="62"/>
      <c r="CG129" s="62"/>
      <c r="CH129" s="62"/>
      <c r="CI129" s="62"/>
      <c r="CJ129" s="62"/>
    </row>
    <row r="130" s="61" customFormat="1" ht="16" customHeight="1" spans="7:88">
      <c r="G130" s="63"/>
      <c r="M130" s="247"/>
      <c r="T130" s="64"/>
      <c r="AA130" s="63"/>
      <c r="AH130" s="63"/>
      <c r="AZ130" s="63"/>
      <c r="BR130" s="62"/>
      <c r="BS130" s="62"/>
      <c r="BT130" s="62"/>
      <c r="BU130" s="62"/>
      <c r="BV130" s="62"/>
      <c r="BW130" s="62"/>
      <c r="BX130" s="62"/>
      <c r="BY130" s="62"/>
      <c r="BZ130" s="62"/>
      <c r="CA130" s="62"/>
      <c r="CB130" s="62"/>
      <c r="CC130" s="62"/>
      <c r="CD130" s="62"/>
      <c r="CE130" s="62"/>
      <c r="CF130" s="62"/>
      <c r="CG130" s="62"/>
      <c r="CH130" s="62"/>
      <c r="CI130" s="62"/>
      <c r="CJ130" s="62"/>
    </row>
    <row r="131" s="61" customFormat="1" ht="16" customHeight="1" spans="7:88">
      <c r="G131" s="63"/>
      <c r="M131" s="247"/>
      <c r="T131" s="64"/>
      <c r="AA131" s="63"/>
      <c r="AH131" s="63"/>
      <c r="AZ131" s="63"/>
      <c r="BR131" s="62"/>
      <c r="BS131" s="62"/>
      <c r="BT131" s="62"/>
      <c r="BU131" s="62"/>
      <c r="BV131" s="62"/>
      <c r="BW131" s="62"/>
      <c r="BX131" s="62"/>
      <c r="BY131" s="62"/>
      <c r="BZ131" s="62"/>
      <c r="CA131" s="62"/>
      <c r="CB131" s="62"/>
      <c r="CC131" s="62"/>
      <c r="CD131" s="62"/>
      <c r="CE131" s="62"/>
      <c r="CF131" s="62"/>
      <c r="CG131" s="62"/>
      <c r="CH131" s="62"/>
      <c r="CI131" s="62"/>
      <c r="CJ131" s="62"/>
    </row>
    <row r="132" s="61" customFormat="1" ht="16" customHeight="1" spans="7:88">
      <c r="G132" s="63"/>
      <c r="M132" s="247"/>
      <c r="T132" s="64"/>
      <c r="AA132" s="63"/>
      <c r="AH132" s="63"/>
      <c r="AZ132" s="63"/>
      <c r="BR132" s="62"/>
      <c r="BS132" s="62"/>
      <c r="BT132" s="62"/>
      <c r="BU132" s="62"/>
      <c r="BV132" s="62"/>
      <c r="BW132" s="62"/>
      <c r="BX132" s="62"/>
      <c r="BY132" s="62"/>
      <c r="BZ132" s="62"/>
      <c r="CA132" s="62"/>
      <c r="CB132" s="62"/>
      <c r="CC132" s="62"/>
      <c r="CD132" s="62"/>
      <c r="CE132" s="62"/>
      <c r="CF132" s="62"/>
      <c r="CG132" s="62"/>
      <c r="CH132" s="62"/>
      <c r="CI132" s="62"/>
      <c r="CJ132" s="62"/>
    </row>
    <row r="133" s="61" customFormat="1" ht="16" customHeight="1" spans="7:88">
      <c r="G133" s="63"/>
      <c r="M133" s="247"/>
      <c r="T133" s="64"/>
      <c r="AA133" s="63"/>
      <c r="AH133" s="63"/>
      <c r="AZ133" s="63"/>
      <c r="BR133" s="62"/>
      <c r="BS133" s="62"/>
      <c r="BT133" s="62"/>
      <c r="BU133" s="62"/>
      <c r="BV133" s="62"/>
      <c r="BW133" s="62"/>
      <c r="BX133" s="62"/>
      <c r="BY133" s="62"/>
      <c r="BZ133" s="62"/>
      <c r="CA133" s="62"/>
      <c r="CB133" s="62"/>
      <c r="CC133" s="62"/>
      <c r="CD133" s="62"/>
      <c r="CE133" s="62"/>
      <c r="CF133" s="62"/>
      <c r="CG133" s="62"/>
      <c r="CH133" s="62"/>
      <c r="CI133" s="62"/>
      <c r="CJ133" s="62"/>
    </row>
    <row r="134" s="61" customFormat="1" ht="16" customHeight="1" spans="7:88">
      <c r="G134" s="63"/>
      <c r="M134" s="247"/>
      <c r="T134" s="64"/>
      <c r="AA134" s="63"/>
      <c r="AH134" s="63"/>
      <c r="AZ134" s="63"/>
      <c r="BR134" s="62"/>
      <c r="BS134" s="62"/>
      <c r="BT134" s="62"/>
      <c r="BU134" s="62"/>
      <c r="BV134" s="62"/>
      <c r="BW134" s="62"/>
      <c r="BX134" s="62"/>
      <c r="BY134" s="62"/>
      <c r="BZ134" s="62"/>
      <c r="CA134" s="62"/>
      <c r="CB134" s="62"/>
      <c r="CC134" s="62"/>
      <c r="CD134" s="62"/>
      <c r="CE134" s="62"/>
      <c r="CF134" s="62"/>
      <c r="CG134" s="62"/>
      <c r="CH134" s="62"/>
      <c r="CI134" s="62"/>
      <c r="CJ134" s="62"/>
    </row>
    <row r="135" s="61" customFormat="1" ht="16" customHeight="1" spans="7:88">
      <c r="G135" s="63"/>
      <c r="M135" s="247"/>
      <c r="T135" s="64"/>
      <c r="AA135" s="63"/>
      <c r="AH135" s="63"/>
      <c r="AZ135" s="63"/>
      <c r="BR135" s="62"/>
      <c r="BS135" s="62"/>
      <c r="BT135" s="62"/>
      <c r="BU135" s="62"/>
      <c r="BV135" s="62"/>
      <c r="BW135" s="62"/>
      <c r="BX135" s="62"/>
      <c r="BY135" s="62"/>
      <c r="BZ135" s="62"/>
      <c r="CA135" s="62"/>
      <c r="CB135" s="62"/>
      <c r="CC135" s="62"/>
      <c r="CD135" s="62"/>
      <c r="CE135" s="62"/>
      <c r="CF135" s="62"/>
      <c r="CG135" s="62"/>
      <c r="CH135" s="62"/>
      <c r="CI135" s="62"/>
      <c r="CJ135" s="62"/>
    </row>
    <row r="136" s="61" customFormat="1" ht="16" customHeight="1" spans="7:88">
      <c r="G136" s="63"/>
      <c r="M136" s="247"/>
      <c r="T136" s="64"/>
      <c r="AA136" s="63"/>
      <c r="AH136" s="63"/>
      <c r="AZ136" s="63"/>
      <c r="BR136" s="62"/>
      <c r="BS136" s="62"/>
      <c r="BT136" s="62"/>
      <c r="BU136" s="62"/>
      <c r="BV136" s="62"/>
      <c r="BW136" s="62"/>
      <c r="BX136" s="62"/>
      <c r="BY136" s="62"/>
      <c r="BZ136" s="62"/>
      <c r="CA136" s="62"/>
      <c r="CB136" s="62"/>
      <c r="CC136" s="62"/>
      <c r="CD136" s="62"/>
      <c r="CE136" s="62"/>
      <c r="CF136" s="62"/>
      <c r="CG136" s="62"/>
      <c r="CH136" s="62"/>
      <c r="CI136" s="62"/>
      <c r="CJ136" s="62"/>
    </row>
    <row r="137" s="61" customFormat="1" ht="16" customHeight="1" spans="7:88">
      <c r="G137" s="63"/>
      <c r="M137" s="247"/>
      <c r="T137" s="64"/>
      <c r="AA137" s="63"/>
      <c r="AH137" s="63"/>
      <c r="AZ137" s="63"/>
      <c r="BR137" s="62"/>
      <c r="BS137" s="62"/>
      <c r="BT137" s="62"/>
      <c r="BU137" s="62"/>
      <c r="BV137" s="62"/>
      <c r="BW137" s="62"/>
      <c r="BX137" s="62"/>
      <c r="BY137" s="62"/>
      <c r="BZ137" s="62"/>
      <c r="CA137" s="62"/>
      <c r="CB137" s="62"/>
      <c r="CC137" s="62"/>
      <c r="CD137" s="62"/>
      <c r="CE137" s="62"/>
      <c r="CF137" s="62"/>
      <c r="CG137" s="62"/>
      <c r="CH137" s="62"/>
      <c r="CI137" s="62"/>
      <c r="CJ137" s="62"/>
    </row>
    <row r="138" s="61" customFormat="1" ht="16" customHeight="1" spans="7:88">
      <c r="G138" s="63"/>
      <c r="M138" s="247"/>
      <c r="T138" s="64"/>
      <c r="AA138" s="63"/>
      <c r="AH138" s="63"/>
      <c r="AZ138" s="63"/>
      <c r="BR138" s="62"/>
      <c r="BS138" s="62"/>
      <c r="BT138" s="62"/>
      <c r="BU138" s="62"/>
      <c r="BV138" s="62"/>
      <c r="BW138" s="62"/>
      <c r="BX138" s="62"/>
      <c r="BY138" s="62"/>
      <c r="BZ138" s="62"/>
      <c r="CA138" s="62"/>
      <c r="CB138" s="62"/>
      <c r="CC138" s="62"/>
      <c r="CD138" s="62"/>
      <c r="CE138" s="62"/>
      <c r="CF138" s="62"/>
      <c r="CG138" s="62"/>
      <c r="CH138" s="62"/>
      <c r="CI138" s="62"/>
      <c r="CJ138" s="62"/>
    </row>
    <row r="139" s="61" customFormat="1" ht="16" customHeight="1" spans="7:88">
      <c r="G139" s="63"/>
      <c r="M139" s="247"/>
      <c r="T139" s="64"/>
      <c r="AA139" s="63"/>
      <c r="AH139" s="63"/>
      <c r="AZ139" s="63"/>
      <c r="BR139" s="62"/>
      <c r="BS139" s="62"/>
      <c r="BT139" s="62"/>
      <c r="BU139" s="62"/>
      <c r="BV139" s="62"/>
      <c r="BW139" s="62"/>
      <c r="BX139" s="62"/>
      <c r="BY139" s="62"/>
      <c r="BZ139" s="62"/>
      <c r="CA139" s="62"/>
      <c r="CB139" s="62"/>
      <c r="CC139" s="62"/>
      <c r="CD139" s="62"/>
      <c r="CE139" s="62"/>
      <c r="CF139" s="62"/>
      <c r="CG139" s="62"/>
      <c r="CH139" s="62"/>
      <c r="CI139" s="62"/>
      <c r="CJ139" s="62"/>
    </row>
    <row r="140" s="61" customFormat="1" ht="16" customHeight="1" spans="7:88">
      <c r="G140" s="63"/>
      <c r="M140" s="247"/>
      <c r="T140" s="64"/>
      <c r="AA140" s="63"/>
      <c r="AH140" s="63"/>
      <c r="AZ140" s="63"/>
      <c r="BR140" s="62"/>
      <c r="BS140" s="62"/>
      <c r="BT140" s="62"/>
      <c r="BU140" s="62"/>
      <c r="BV140" s="62"/>
      <c r="BW140" s="62"/>
      <c r="BX140" s="62"/>
      <c r="BY140" s="62"/>
      <c r="BZ140" s="62"/>
      <c r="CA140" s="62"/>
      <c r="CB140" s="62"/>
      <c r="CC140" s="62"/>
      <c r="CD140" s="62"/>
      <c r="CE140" s="62"/>
      <c r="CF140" s="62"/>
      <c r="CG140" s="62"/>
      <c r="CH140" s="62"/>
      <c r="CI140" s="62"/>
      <c r="CJ140" s="62"/>
    </row>
    <row r="141" s="61" customFormat="1" ht="16" customHeight="1" spans="7:88">
      <c r="G141" s="63"/>
      <c r="M141" s="247"/>
      <c r="T141" s="64"/>
      <c r="AA141" s="63"/>
      <c r="AH141" s="63"/>
      <c r="AZ141" s="63"/>
      <c r="BR141" s="62"/>
      <c r="BS141" s="62"/>
      <c r="BT141" s="62"/>
      <c r="BU141" s="62"/>
      <c r="BV141" s="62"/>
      <c r="BW141" s="62"/>
      <c r="BX141" s="62"/>
      <c r="BY141" s="62"/>
      <c r="BZ141" s="62"/>
      <c r="CA141" s="62"/>
      <c r="CB141" s="62"/>
      <c r="CC141" s="62"/>
      <c r="CD141" s="62"/>
      <c r="CE141" s="62"/>
      <c r="CF141" s="62"/>
      <c r="CG141" s="62"/>
      <c r="CH141" s="62"/>
      <c r="CI141" s="62"/>
      <c r="CJ141" s="62"/>
    </row>
    <row r="142" s="61" customFormat="1" ht="16" customHeight="1" spans="7:88">
      <c r="G142" s="63"/>
      <c r="M142" s="247"/>
      <c r="T142" s="64"/>
      <c r="AA142" s="63"/>
      <c r="AH142" s="63"/>
      <c r="AZ142" s="63"/>
      <c r="BR142" s="62"/>
      <c r="BS142" s="62"/>
      <c r="BT142" s="62"/>
      <c r="BU142" s="62"/>
      <c r="BV142" s="62"/>
      <c r="BW142" s="62"/>
      <c r="BX142" s="62"/>
      <c r="BY142" s="62"/>
      <c r="BZ142" s="62"/>
      <c r="CA142" s="62"/>
      <c r="CB142" s="62"/>
      <c r="CC142" s="62"/>
      <c r="CD142" s="62"/>
      <c r="CE142" s="62"/>
      <c r="CF142" s="62"/>
      <c r="CG142" s="62"/>
      <c r="CH142" s="62"/>
      <c r="CI142" s="62"/>
      <c r="CJ142" s="62"/>
    </row>
    <row r="143" s="61" customFormat="1" ht="16" customHeight="1" spans="7:88">
      <c r="G143" s="63"/>
      <c r="M143" s="247"/>
      <c r="T143" s="64"/>
      <c r="AA143" s="63"/>
      <c r="AH143" s="63"/>
      <c r="AZ143" s="63"/>
      <c r="BR143" s="62"/>
      <c r="BS143" s="62"/>
      <c r="BT143" s="62"/>
      <c r="BU143" s="62"/>
      <c r="BV143" s="62"/>
      <c r="BW143" s="62"/>
      <c r="BX143" s="62"/>
      <c r="BY143" s="62"/>
      <c r="BZ143" s="62"/>
      <c r="CA143" s="62"/>
      <c r="CB143" s="62"/>
      <c r="CC143" s="62"/>
      <c r="CD143" s="62"/>
      <c r="CE143" s="62"/>
      <c r="CF143" s="62"/>
      <c r="CG143" s="62"/>
      <c r="CH143" s="62"/>
      <c r="CI143" s="62"/>
      <c r="CJ143" s="62"/>
    </row>
    <row r="144" s="61" customFormat="1" ht="16" customHeight="1" spans="7:88">
      <c r="G144" s="63"/>
      <c r="M144" s="247"/>
      <c r="T144" s="64"/>
      <c r="AA144" s="63"/>
      <c r="AH144" s="63"/>
      <c r="AZ144" s="63"/>
      <c r="BR144" s="62"/>
      <c r="BS144" s="62"/>
      <c r="BT144" s="62"/>
      <c r="BU144" s="62"/>
      <c r="BV144" s="62"/>
      <c r="BW144" s="62"/>
      <c r="BX144" s="62"/>
      <c r="BY144" s="62"/>
      <c r="BZ144" s="62"/>
      <c r="CA144" s="62"/>
      <c r="CB144" s="62"/>
      <c r="CC144" s="62"/>
      <c r="CD144" s="62"/>
      <c r="CE144" s="62"/>
      <c r="CF144" s="62"/>
      <c r="CG144" s="62"/>
      <c r="CH144" s="62"/>
      <c r="CI144" s="62"/>
      <c r="CJ144" s="62"/>
    </row>
    <row r="145" s="61" customFormat="1" ht="16" customHeight="1" spans="7:88">
      <c r="G145" s="63"/>
      <c r="M145" s="247"/>
      <c r="T145" s="64"/>
      <c r="AA145" s="63"/>
      <c r="AH145" s="63"/>
      <c r="AZ145" s="63"/>
      <c r="BR145" s="62"/>
      <c r="BS145" s="62"/>
      <c r="BT145" s="62"/>
      <c r="BU145" s="62"/>
      <c r="BV145" s="62"/>
      <c r="BW145" s="62"/>
      <c r="BX145" s="62"/>
      <c r="BY145" s="62"/>
      <c r="BZ145" s="62"/>
      <c r="CA145" s="62"/>
      <c r="CB145" s="62"/>
      <c r="CC145" s="62"/>
      <c r="CD145" s="62"/>
      <c r="CE145" s="62"/>
      <c r="CF145" s="62"/>
      <c r="CG145" s="62"/>
      <c r="CH145" s="62"/>
      <c r="CI145" s="62"/>
      <c r="CJ145" s="62"/>
    </row>
    <row r="146" s="61" customFormat="1" ht="16" customHeight="1" spans="7:88">
      <c r="G146" s="63"/>
      <c r="M146" s="247"/>
      <c r="T146" s="64"/>
      <c r="AA146" s="63"/>
      <c r="AH146" s="63"/>
      <c r="AZ146" s="63"/>
      <c r="BR146" s="62"/>
      <c r="BS146" s="62"/>
      <c r="BT146" s="62"/>
      <c r="BU146" s="62"/>
      <c r="BV146" s="62"/>
      <c r="BW146" s="62"/>
      <c r="BX146" s="62"/>
      <c r="BY146" s="62"/>
      <c r="BZ146" s="62"/>
      <c r="CA146" s="62"/>
      <c r="CB146" s="62"/>
      <c r="CC146" s="62"/>
      <c r="CD146" s="62"/>
      <c r="CE146" s="62"/>
      <c r="CF146" s="62"/>
      <c r="CG146" s="62"/>
      <c r="CH146" s="62"/>
      <c r="CI146" s="62"/>
      <c r="CJ146" s="62"/>
    </row>
    <row r="147" s="61" customFormat="1" ht="16" customHeight="1" spans="7:88">
      <c r="G147" s="63"/>
      <c r="M147" s="247"/>
      <c r="T147" s="64"/>
      <c r="AA147" s="63"/>
      <c r="AH147" s="63"/>
      <c r="AZ147" s="63"/>
      <c r="BR147" s="62"/>
      <c r="BS147" s="62"/>
      <c r="BT147" s="62"/>
      <c r="BU147" s="62"/>
      <c r="BV147" s="62"/>
      <c r="BW147" s="62"/>
      <c r="BX147" s="62"/>
      <c r="BY147" s="62"/>
      <c r="BZ147" s="62"/>
      <c r="CA147" s="62"/>
      <c r="CB147" s="62"/>
      <c r="CC147" s="62"/>
      <c r="CD147" s="62"/>
      <c r="CE147" s="62"/>
      <c r="CF147" s="62"/>
      <c r="CG147" s="62"/>
      <c r="CH147" s="62"/>
      <c r="CI147" s="62"/>
      <c r="CJ147" s="62"/>
    </row>
    <row r="148" s="61" customFormat="1" ht="16" customHeight="1" spans="7:88">
      <c r="G148" s="63"/>
      <c r="M148" s="247"/>
      <c r="T148" s="64"/>
      <c r="AA148" s="63"/>
      <c r="AH148" s="63"/>
      <c r="AZ148" s="63"/>
      <c r="BR148" s="62"/>
      <c r="BS148" s="62"/>
      <c r="BT148" s="62"/>
      <c r="BU148" s="62"/>
      <c r="BV148" s="62"/>
      <c r="BW148" s="62"/>
      <c r="BX148" s="62"/>
      <c r="BY148" s="62"/>
      <c r="BZ148" s="62"/>
      <c r="CA148" s="62"/>
      <c r="CB148" s="62"/>
      <c r="CC148" s="62"/>
      <c r="CD148" s="62"/>
      <c r="CE148" s="62"/>
      <c r="CF148" s="62"/>
      <c r="CG148" s="62"/>
      <c r="CH148" s="62"/>
      <c r="CI148" s="62"/>
      <c r="CJ148" s="62"/>
    </row>
    <row r="149" s="61" customFormat="1" ht="16" customHeight="1" spans="7:88">
      <c r="G149" s="63"/>
      <c r="M149" s="247"/>
      <c r="T149" s="64"/>
      <c r="AA149" s="63"/>
      <c r="AH149" s="63"/>
      <c r="AZ149" s="63"/>
      <c r="BR149" s="62"/>
      <c r="BS149" s="62"/>
      <c r="BT149" s="62"/>
      <c r="BU149" s="62"/>
      <c r="BV149" s="62"/>
      <c r="BW149" s="62"/>
      <c r="BX149" s="62"/>
      <c r="BY149" s="62"/>
      <c r="BZ149" s="62"/>
      <c r="CA149" s="62"/>
      <c r="CB149" s="62"/>
      <c r="CC149" s="62"/>
      <c r="CD149" s="62"/>
      <c r="CE149" s="62"/>
      <c r="CF149" s="62"/>
      <c r="CG149" s="62"/>
      <c r="CH149" s="62"/>
      <c r="CI149" s="62"/>
      <c r="CJ149" s="62"/>
    </row>
    <row r="150" s="61" customFormat="1" ht="16" customHeight="1" spans="7:88">
      <c r="G150" s="63"/>
      <c r="M150" s="247"/>
      <c r="T150" s="64"/>
      <c r="AA150" s="63"/>
      <c r="AH150" s="63"/>
      <c r="AZ150" s="63"/>
      <c r="BR150" s="62"/>
      <c r="BS150" s="62"/>
      <c r="BT150" s="62"/>
      <c r="BU150" s="62"/>
      <c r="BV150" s="62"/>
      <c r="BW150" s="62"/>
      <c r="BX150" s="62"/>
      <c r="BY150" s="62"/>
      <c r="BZ150" s="62"/>
      <c r="CA150" s="62"/>
      <c r="CB150" s="62"/>
      <c r="CC150" s="62"/>
      <c r="CD150" s="62"/>
      <c r="CE150" s="62"/>
      <c r="CF150" s="62"/>
      <c r="CG150" s="62"/>
      <c r="CH150" s="62"/>
      <c r="CI150" s="62"/>
      <c r="CJ150" s="62"/>
    </row>
    <row r="151" s="61" customFormat="1" ht="13.5" customHeight="1" spans="7:88">
      <c r="G151" s="63"/>
      <c r="M151" s="247"/>
      <c r="T151" s="64"/>
      <c r="AA151" s="63"/>
      <c r="AH151" s="63"/>
      <c r="AZ151" s="63"/>
      <c r="BR151" s="62"/>
      <c r="BS151" s="62"/>
      <c r="BT151" s="62"/>
      <c r="BU151" s="62"/>
      <c r="BV151" s="62"/>
      <c r="BW151" s="62"/>
      <c r="BX151" s="62"/>
      <c r="BY151" s="62"/>
      <c r="BZ151" s="62"/>
      <c r="CA151" s="62"/>
      <c r="CB151" s="62"/>
      <c r="CC151" s="62"/>
      <c r="CD151" s="62"/>
      <c r="CE151" s="62"/>
      <c r="CF151" s="62"/>
      <c r="CG151" s="62"/>
      <c r="CH151" s="62"/>
      <c r="CI151" s="62"/>
      <c r="CJ151" s="62"/>
    </row>
    <row r="152" s="61" customFormat="1" ht="13.5" customHeight="1" spans="7:88">
      <c r="G152" s="63"/>
      <c r="M152" s="247"/>
      <c r="T152" s="64"/>
      <c r="AA152" s="63"/>
      <c r="AH152" s="63"/>
      <c r="AZ152" s="63"/>
      <c r="BR152" s="62"/>
      <c r="BS152" s="62"/>
      <c r="BT152" s="62"/>
      <c r="BU152" s="62"/>
      <c r="BV152" s="62"/>
      <c r="BW152" s="62"/>
      <c r="BX152" s="62"/>
      <c r="BY152" s="62"/>
      <c r="BZ152" s="62"/>
      <c r="CA152" s="62"/>
      <c r="CB152" s="62"/>
      <c r="CC152" s="62"/>
      <c r="CD152" s="62"/>
      <c r="CE152" s="62"/>
      <c r="CF152" s="62"/>
      <c r="CG152" s="62"/>
      <c r="CH152" s="62"/>
      <c r="CI152" s="62"/>
      <c r="CJ152" s="62"/>
    </row>
    <row r="153" s="61" customFormat="1" ht="13.5" customHeight="1" spans="7:88">
      <c r="G153" s="63"/>
      <c r="M153" s="247"/>
      <c r="T153" s="64"/>
      <c r="AA153" s="63"/>
      <c r="AH153" s="63"/>
      <c r="AZ153" s="63"/>
      <c r="BR153" s="62"/>
      <c r="BS153" s="62"/>
      <c r="BT153" s="62"/>
      <c r="BU153" s="62"/>
      <c r="BV153" s="62"/>
      <c r="BW153" s="62"/>
      <c r="BX153" s="62"/>
      <c r="BY153" s="62"/>
      <c r="BZ153" s="62"/>
      <c r="CA153" s="62"/>
      <c r="CB153" s="62"/>
      <c r="CC153" s="62"/>
      <c r="CD153" s="62"/>
      <c r="CE153" s="62"/>
      <c r="CF153" s="62"/>
      <c r="CG153" s="62"/>
      <c r="CH153" s="62"/>
      <c r="CI153" s="62"/>
      <c r="CJ153" s="62"/>
    </row>
    <row r="154" s="61" customFormat="1" ht="13.5" customHeight="1" spans="7:88">
      <c r="G154" s="63"/>
      <c r="M154" s="247"/>
      <c r="T154" s="64"/>
      <c r="AA154" s="63"/>
      <c r="AH154" s="63"/>
      <c r="AZ154" s="63"/>
      <c r="BR154" s="62"/>
      <c r="BS154" s="62"/>
      <c r="BT154" s="62"/>
      <c r="BU154" s="62"/>
      <c r="BV154" s="62"/>
      <c r="BW154" s="62"/>
      <c r="BX154" s="62"/>
      <c r="BY154" s="62"/>
      <c r="BZ154" s="62"/>
      <c r="CA154" s="62"/>
      <c r="CB154" s="62"/>
      <c r="CC154" s="62"/>
      <c r="CD154" s="62"/>
      <c r="CE154" s="62"/>
      <c r="CF154" s="62"/>
      <c r="CG154" s="62"/>
      <c r="CH154" s="62"/>
      <c r="CI154" s="62"/>
      <c r="CJ154" s="62"/>
    </row>
    <row r="155" s="61" customFormat="1" ht="13.5" customHeight="1" spans="7:88">
      <c r="G155" s="63"/>
      <c r="M155" s="247"/>
      <c r="T155" s="64"/>
      <c r="AA155" s="63"/>
      <c r="AH155" s="63"/>
      <c r="AZ155" s="63"/>
      <c r="BR155" s="62"/>
      <c r="BS155" s="62"/>
      <c r="BT155" s="62"/>
      <c r="BU155" s="62"/>
      <c r="BV155" s="62"/>
      <c r="BW155" s="62"/>
      <c r="BX155" s="62"/>
      <c r="BY155" s="62"/>
      <c r="BZ155" s="62"/>
      <c r="CA155" s="62"/>
      <c r="CB155" s="62"/>
      <c r="CC155" s="62"/>
      <c r="CD155" s="62"/>
      <c r="CE155" s="62"/>
      <c r="CF155" s="62"/>
      <c r="CG155" s="62"/>
      <c r="CH155" s="62"/>
      <c r="CI155" s="62"/>
      <c r="CJ155" s="62"/>
    </row>
    <row r="156" s="61" customFormat="1" ht="13.5" customHeight="1" spans="7:88">
      <c r="G156" s="63"/>
      <c r="M156" s="247"/>
      <c r="T156" s="64"/>
      <c r="AA156" s="63"/>
      <c r="AH156" s="63"/>
      <c r="AZ156" s="63"/>
      <c r="BR156" s="62"/>
      <c r="BS156" s="62"/>
      <c r="BT156" s="62"/>
      <c r="BU156" s="62"/>
      <c r="BV156" s="62"/>
      <c r="BW156" s="62"/>
      <c r="BX156" s="62"/>
      <c r="BY156" s="62"/>
      <c r="BZ156" s="62"/>
      <c r="CA156" s="62"/>
      <c r="CB156" s="62"/>
      <c r="CC156" s="62"/>
      <c r="CD156" s="62"/>
      <c r="CE156" s="62"/>
      <c r="CF156" s="62"/>
      <c r="CG156" s="62"/>
      <c r="CH156" s="62"/>
      <c r="CI156" s="62"/>
      <c r="CJ156" s="62"/>
    </row>
    <row r="157" s="61" customFormat="1" ht="13.5" customHeight="1" spans="7:88">
      <c r="G157" s="63"/>
      <c r="M157" s="247"/>
      <c r="T157" s="64"/>
      <c r="AA157" s="63"/>
      <c r="AH157" s="63"/>
      <c r="AZ157" s="63"/>
      <c r="BR157" s="62"/>
      <c r="BS157" s="62"/>
      <c r="BT157" s="62"/>
      <c r="BU157" s="62"/>
      <c r="BV157" s="62"/>
      <c r="BW157" s="62"/>
      <c r="BX157" s="62"/>
      <c r="BY157" s="62"/>
      <c r="BZ157" s="62"/>
      <c r="CA157" s="62"/>
      <c r="CB157" s="62"/>
      <c r="CC157" s="62"/>
      <c r="CD157" s="62"/>
      <c r="CE157" s="62"/>
      <c r="CF157" s="62"/>
      <c r="CG157" s="62"/>
      <c r="CH157" s="62"/>
      <c r="CI157" s="62"/>
      <c r="CJ157" s="62"/>
    </row>
    <row r="158" s="61" customFormat="1" ht="13.5" customHeight="1" spans="7:88">
      <c r="G158" s="63"/>
      <c r="M158" s="247"/>
      <c r="T158" s="64"/>
      <c r="AA158" s="63"/>
      <c r="AH158" s="63"/>
      <c r="AZ158" s="63"/>
      <c r="BR158" s="62"/>
      <c r="BS158" s="62"/>
      <c r="BT158" s="62"/>
      <c r="BU158" s="62"/>
      <c r="BV158" s="62"/>
      <c r="BW158" s="62"/>
      <c r="BX158" s="62"/>
      <c r="BY158" s="62"/>
      <c r="BZ158" s="62"/>
      <c r="CA158" s="62"/>
      <c r="CB158" s="62"/>
      <c r="CC158" s="62"/>
      <c r="CD158" s="62"/>
      <c r="CE158" s="62"/>
      <c r="CF158" s="62"/>
      <c r="CG158" s="62"/>
      <c r="CH158" s="62"/>
      <c r="CI158" s="62"/>
      <c r="CJ158" s="62"/>
    </row>
    <row r="159" s="61" customFormat="1" ht="13.5" customHeight="1" spans="7:88">
      <c r="G159" s="63"/>
      <c r="M159" s="247"/>
      <c r="T159" s="64"/>
      <c r="AA159" s="63"/>
      <c r="AH159" s="63"/>
      <c r="AZ159" s="63"/>
      <c r="BR159" s="62"/>
      <c r="BS159" s="62"/>
      <c r="BT159" s="62"/>
      <c r="BU159" s="62"/>
      <c r="BV159" s="62"/>
      <c r="BW159" s="62"/>
      <c r="BX159" s="62"/>
      <c r="BY159" s="62"/>
      <c r="BZ159" s="62"/>
      <c r="CA159" s="62"/>
      <c r="CB159" s="62"/>
      <c r="CC159" s="62"/>
      <c r="CD159" s="62"/>
      <c r="CE159" s="62"/>
      <c r="CF159" s="62"/>
      <c r="CG159" s="62"/>
      <c r="CH159" s="62"/>
      <c r="CI159" s="62"/>
      <c r="CJ159" s="62"/>
    </row>
    <row r="160" s="61" customFormat="1" ht="13.5" customHeight="1" spans="7:88">
      <c r="G160" s="63"/>
      <c r="M160" s="247"/>
      <c r="T160" s="64"/>
      <c r="AA160" s="63"/>
      <c r="AH160" s="63"/>
      <c r="AZ160" s="63"/>
      <c r="BR160" s="62"/>
      <c r="BS160" s="62"/>
      <c r="BT160" s="62"/>
      <c r="BU160" s="62"/>
      <c r="BV160" s="62"/>
      <c r="BW160" s="62"/>
      <c r="BX160" s="62"/>
      <c r="BY160" s="62"/>
      <c r="BZ160" s="62"/>
      <c r="CA160" s="62"/>
      <c r="CB160" s="62"/>
      <c r="CC160" s="62"/>
      <c r="CD160" s="62"/>
      <c r="CE160" s="62"/>
      <c r="CF160" s="62"/>
      <c r="CG160" s="62"/>
      <c r="CH160" s="62"/>
      <c r="CI160" s="62"/>
      <c r="CJ160" s="62"/>
    </row>
    <row r="161" ht="13.5" customHeight="1" spans="13:13">
      <c r="M161" s="247"/>
    </row>
    <row r="162" ht="13.5" customHeight="1" spans="13:13">
      <c r="M162" s="247"/>
    </row>
    <row r="163" ht="13.5" customHeight="1" spans="13:13">
      <c r="M163" s="247"/>
    </row>
    <row r="164" ht="13.5" customHeight="1" spans="13:13">
      <c r="M164" s="247"/>
    </row>
    <row r="165" ht="13.5" customHeight="1" spans="13:13">
      <c r="M165" s="247"/>
    </row>
    <row r="166" ht="13.5" customHeight="1" spans="13:13">
      <c r="M166" s="247"/>
    </row>
    <row r="167" ht="13.5" customHeight="1" spans="13:13">
      <c r="M167" s="247"/>
    </row>
    <row r="168" ht="13.5" customHeight="1" spans="13:13">
      <c r="M168" s="247"/>
    </row>
    <row r="169" ht="13.5" customHeight="1" spans="13:13">
      <c r="M169" s="247"/>
    </row>
    <row r="170" ht="13.5" customHeight="1" spans="8:13">
      <c r="H170" s="265"/>
      <c r="I170" s="265"/>
      <c r="J170" s="265"/>
      <c r="K170" s="265"/>
      <c r="L170" s="265"/>
      <c r="M170" s="247"/>
    </row>
    <row r="171" ht="13.5" customHeight="1" spans="8:12">
      <c r="H171" s="266"/>
      <c r="I171" s="266"/>
      <c r="J171" s="266"/>
      <c r="K171" s="266"/>
      <c r="L171" s="266"/>
    </row>
    <row r="172" ht="13.5" customHeight="1" spans="8:12">
      <c r="H172" s="266" t="e">
        <f>MIN(L177,INT(N49*520/H177))</f>
        <v>#DIV/0!</v>
      </c>
      <c r="I172" s="266"/>
      <c r="J172" s="266"/>
      <c r="K172" s="266"/>
      <c r="L172" s="266"/>
    </row>
    <row r="173" ht="13.5" customHeight="1" spans="8:12">
      <c r="H173" s="266" t="e">
        <f>MIN(L178,MAX(0,INT((520*N49-H172*H177)/H178)))</f>
        <v>#DIV/0!</v>
      </c>
      <c r="I173" s="266"/>
      <c r="J173" s="266" t="e">
        <f>L178-H173</f>
        <v>#DIV/0!</v>
      </c>
      <c r="K173" s="266"/>
      <c r="L173" s="266"/>
    </row>
    <row r="174" ht="13.5" customHeight="1" spans="8:12">
      <c r="H174" s="266" t="e">
        <f>MIN(L179,MAX(0,INT((520*N49-H172*H177-H173*H178)/H179)))</f>
        <v>#DIV/0!</v>
      </c>
      <c r="I174" s="266"/>
      <c r="J174" s="266" t="e">
        <f>IF(MIN((L179-H174),MIN(L179,INT((520*N49-J172*H177-J173*H178)/H179)))&lt;0,0,MIN((L179-H174),MIN(L179,INT((520*N49-J172*H177-J173*H178)/H179))))</f>
        <v>#DIV/0!</v>
      </c>
      <c r="K174" s="266" t="e">
        <f>MIN(L180,INT((260*N49-K175*H180)/H179))</f>
        <v>#DIV/0!</v>
      </c>
      <c r="L174" s="266"/>
    </row>
    <row r="175" ht="13.5" customHeight="1" spans="8:12">
      <c r="H175" s="266" t="e">
        <f>MAX(0,INT((N49*520-H172*H177-H173*H178-H174*H179)/H180))</f>
        <v>#DIV/0!</v>
      </c>
      <c r="I175" s="266"/>
      <c r="J175" s="266" t="e">
        <f>IF(MIN(L180-K175,INT((520*N49-H177*J172-H178*J173-H179*J174)/H180))&lt;0,0,MIN(L180-K175,INT((520*N49-H177*J172-H178*J173-H179*J174)/H180)))</f>
        <v>#DIV/0!</v>
      </c>
      <c r="K175" s="266" t="e">
        <f>MIN(L180,INT(260*N49/H180))</f>
        <v>#DIV/0!</v>
      </c>
      <c r="L175" s="266"/>
    </row>
    <row r="176" spans="8:12">
      <c r="H176" s="266"/>
      <c r="I176" s="266"/>
      <c r="J176" s="266"/>
      <c r="K176" s="266"/>
      <c r="L176" s="266"/>
    </row>
    <row r="177" spans="8:12">
      <c r="H177" s="266">
        <f>初始化表!E17</f>
        <v>0</v>
      </c>
      <c r="I177" s="266">
        <f>初始化表!E18</f>
        <v>0</v>
      </c>
      <c r="J177" s="266">
        <f>初始化表!E19</f>
        <v>0</v>
      </c>
      <c r="K177" s="266"/>
      <c r="L177" s="266">
        <f>L35</f>
        <v>0</v>
      </c>
    </row>
    <row r="178" spans="8:12">
      <c r="H178" s="266">
        <f>初始化表!F17</f>
        <v>0</v>
      </c>
      <c r="I178" s="266">
        <f>初始化表!F18</f>
        <v>0</v>
      </c>
      <c r="J178" s="266">
        <f>初始化表!F19</f>
        <v>0</v>
      </c>
      <c r="K178" s="266"/>
      <c r="L178" s="266">
        <f>L36</f>
        <v>0</v>
      </c>
    </row>
    <row r="179" spans="8:12">
      <c r="H179" s="266">
        <f>初始化表!G17</f>
        <v>0</v>
      </c>
      <c r="I179" s="266">
        <f>初始化表!G18</f>
        <v>0</v>
      </c>
      <c r="J179" s="266">
        <f>初始化表!G19</f>
        <v>0</v>
      </c>
      <c r="K179" s="266"/>
      <c r="L179" s="266">
        <f>L37</f>
        <v>0</v>
      </c>
    </row>
    <row r="180" spans="8:12">
      <c r="H180" s="266">
        <f>初始化表!H17</f>
        <v>0</v>
      </c>
      <c r="I180" s="266">
        <f>初始化表!H18</f>
        <v>0</v>
      </c>
      <c r="J180" s="266">
        <f>初始化表!H19</f>
        <v>0</v>
      </c>
      <c r="K180" s="266"/>
      <c r="L180" s="266">
        <f>L38</f>
        <v>0</v>
      </c>
    </row>
    <row r="181" spans="8:12">
      <c r="H181" s="266"/>
      <c r="I181" s="266"/>
      <c r="J181" s="266"/>
      <c r="K181" s="266"/>
      <c r="L181" s="266"/>
    </row>
    <row r="182" spans="8:12">
      <c r="H182" s="266" t="e">
        <f>MIN(L177,INT(N49*520/H177))</f>
        <v>#DIV/0!</v>
      </c>
      <c r="I182" s="266"/>
      <c r="J182" s="266"/>
      <c r="K182" s="266"/>
      <c r="L182" s="266"/>
    </row>
    <row r="183" spans="8:12">
      <c r="H183" s="266" t="e">
        <f>MIN(L178,MAX(0,INT((520*N49-H172*H177)/H178)))</f>
        <v>#DIV/0!</v>
      </c>
      <c r="I183" s="266"/>
      <c r="J183" s="266" t="e">
        <f>L188-H183</f>
        <v>#DIV/0!</v>
      </c>
      <c r="K183" s="266"/>
      <c r="L183" s="266"/>
    </row>
    <row r="184" spans="8:12">
      <c r="H184" s="266" t="e">
        <f>MIN(L179,MAX(0,INT((520*N49-H172*H177-H173*H178)/H179)))</f>
        <v>#DIV/0!</v>
      </c>
      <c r="I184" s="266"/>
      <c r="J184" s="266">
        <f>INT(L179/3*2)</f>
        <v>0</v>
      </c>
      <c r="K184" s="266">
        <f>INT(J184/2)</f>
        <v>0</v>
      </c>
      <c r="L184" s="266"/>
    </row>
    <row r="185" spans="8:12">
      <c r="H185" s="266" t="e">
        <f>MAX(0,INT((N49*520-H172*H177-H173*H178-H174*H179)/H180))</f>
        <v>#DIV/0!</v>
      </c>
      <c r="I185" s="266"/>
      <c r="J185" s="266">
        <f>INT(L180/3*2)</f>
        <v>0</v>
      </c>
      <c r="K185" s="266">
        <f>INT(J185/2)</f>
        <v>0</v>
      </c>
      <c r="L185" s="266"/>
    </row>
    <row r="186" spans="8:12">
      <c r="H186" s="265"/>
      <c r="I186" s="265"/>
      <c r="J186" s="265"/>
      <c r="K186" s="265"/>
      <c r="L186" s="265"/>
    </row>
    <row r="187" spans="8:12">
      <c r="H187" s="265"/>
      <c r="I187" s="265"/>
      <c r="J187" s="265"/>
      <c r="K187" s="265"/>
      <c r="L187" s="265"/>
    </row>
    <row r="200" spans="1:6">
      <c r="A200" s="265" t="s">
        <v>283</v>
      </c>
      <c r="B200" s="265" t="s">
        <v>314</v>
      </c>
      <c r="C200" s="265" t="s">
        <v>315</v>
      </c>
      <c r="D200" s="265" t="s">
        <v>316</v>
      </c>
      <c r="E200" s="265" t="s">
        <v>317</v>
      </c>
      <c r="F200" s="265" t="s">
        <v>318</v>
      </c>
    </row>
    <row r="201" spans="1:6">
      <c r="A201" s="265" t="s">
        <v>35</v>
      </c>
      <c r="B201" s="265">
        <v>100</v>
      </c>
      <c r="C201" s="267">
        <v>0</v>
      </c>
      <c r="D201" s="267">
        <v>100000</v>
      </c>
      <c r="E201" s="265">
        <v>1</v>
      </c>
      <c r="F201" s="265">
        <v>0.95</v>
      </c>
    </row>
    <row r="202" spans="1:6">
      <c r="A202" s="265" t="s">
        <v>36</v>
      </c>
      <c r="B202" s="265">
        <v>50</v>
      </c>
      <c r="C202" s="267">
        <v>0</v>
      </c>
      <c r="D202" s="267">
        <v>200000</v>
      </c>
      <c r="E202" s="265">
        <v>1</v>
      </c>
      <c r="F202" s="265">
        <v>0.95</v>
      </c>
    </row>
    <row r="203" spans="1:6">
      <c r="A203" s="265" t="s">
        <v>62</v>
      </c>
      <c r="B203" s="265">
        <v>0</v>
      </c>
      <c r="C203" s="265">
        <v>0</v>
      </c>
      <c r="D203" s="265">
        <v>0</v>
      </c>
      <c r="E203" s="265">
        <v>0</v>
      </c>
      <c r="F203" s="265">
        <v>0.95</v>
      </c>
    </row>
    <row r="204" spans="1:6">
      <c r="A204" s="265" t="s">
        <v>63</v>
      </c>
      <c r="B204" s="265">
        <v>0</v>
      </c>
      <c r="C204" s="265">
        <v>0</v>
      </c>
      <c r="D204" s="265">
        <v>0</v>
      </c>
      <c r="E204" s="265">
        <v>0</v>
      </c>
      <c r="F204" s="265">
        <v>0.95</v>
      </c>
    </row>
    <row r="222" spans="35:39">
      <c r="AI222" s="62" t="s">
        <v>736</v>
      </c>
      <c r="AJ222" s="62" t="s">
        <v>357</v>
      </c>
      <c r="AK222" s="62" t="s">
        <v>358</v>
      </c>
      <c r="AL222" s="62" t="s">
        <v>359</v>
      </c>
      <c r="AM222" s="62" t="s">
        <v>360</v>
      </c>
    </row>
    <row r="223" spans="35:36">
      <c r="AI223" s="62" t="s">
        <v>361</v>
      </c>
      <c r="AJ223" s="268">
        <v>3779739</v>
      </c>
    </row>
    <row r="224" spans="35:39">
      <c r="AI224" s="62" t="s">
        <v>309</v>
      </c>
      <c r="AJ224" s="268">
        <v>0</v>
      </c>
      <c r="AM224" s="268">
        <v>3779739</v>
      </c>
    </row>
    <row r="225" spans="35:39">
      <c r="AI225" s="62" t="s">
        <v>362</v>
      </c>
      <c r="AJ225" s="268">
        <v>0</v>
      </c>
      <c r="AM225" s="268">
        <v>3779739</v>
      </c>
    </row>
    <row r="226" spans="35:39">
      <c r="AI226" s="62" t="s">
        <v>363</v>
      </c>
      <c r="AJ226" s="268">
        <v>-50000</v>
      </c>
      <c r="AM226" s="268">
        <v>3729739</v>
      </c>
    </row>
    <row r="227" spans="35:39">
      <c r="AI227" s="62" t="s">
        <v>364</v>
      </c>
      <c r="AJ227" s="268">
        <v>-29250</v>
      </c>
      <c r="AL227" s="268">
        <v>29250</v>
      </c>
      <c r="AM227" s="268">
        <v>3700489</v>
      </c>
    </row>
    <row r="228" spans="35:39">
      <c r="AI228" s="62" t="s">
        <v>365</v>
      </c>
      <c r="AJ228" s="268">
        <v>-5000</v>
      </c>
      <c r="AL228" s="268">
        <v>34250</v>
      </c>
      <c r="AM228" s="268">
        <v>3695489</v>
      </c>
    </row>
    <row r="229" spans="35:39">
      <c r="AI229" s="62" t="s">
        <v>366</v>
      </c>
      <c r="AJ229" s="268">
        <v>-10000</v>
      </c>
      <c r="AL229" s="268">
        <v>44250</v>
      </c>
      <c r="AM229" s="268">
        <v>3685489</v>
      </c>
    </row>
    <row r="230" spans="35:39">
      <c r="AI230" s="62" t="s">
        <v>367</v>
      </c>
      <c r="AJ230" s="268">
        <v>-656500</v>
      </c>
      <c r="AL230" s="268">
        <v>700750</v>
      </c>
      <c r="AM230" s="268">
        <v>3028989</v>
      </c>
    </row>
    <row r="231" spans="35:39">
      <c r="AI231" s="62" t="s">
        <v>368</v>
      </c>
      <c r="AJ231" s="268">
        <v>-45000</v>
      </c>
      <c r="AL231" s="268">
        <v>745750</v>
      </c>
      <c r="AM231" s="268">
        <v>2983989</v>
      </c>
    </row>
    <row r="232" spans="35:39">
      <c r="AI232" s="62" t="s">
        <v>369</v>
      </c>
      <c r="AJ232" s="62">
        <v>0</v>
      </c>
      <c r="AM232" s="268">
        <v>2983989</v>
      </c>
    </row>
    <row r="233" spans="35:39">
      <c r="AI233" s="62" t="s">
        <v>370</v>
      </c>
      <c r="AJ233" s="268">
        <v>0</v>
      </c>
      <c r="AM233" s="268">
        <v>2983989</v>
      </c>
    </row>
    <row r="234" spans="35:38">
      <c r="AI234" s="62" t="s">
        <v>371</v>
      </c>
      <c r="AJ234" s="268">
        <v>0</v>
      </c>
      <c r="AL234" s="268">
        <v>745750</v>
      </c>
    </row>
    <row r="235" spans="35:39">
      <c r="AI235" s="62" t="s">
        <v>372</v>
      </c>
      <c r="AJ235" s="268">
        <v>-500000</v>
      </c>
      <c r="AM235" s="268">
        <v>2483989</v>
      </c>
    </row>
    <row r="236" spans="35:39">
      <c r="AI236" s="62" t="s">
        <v>373</v>
      </c>
      <c r="AJ236" s="268">
        <v>0</v>
      </c>
      <c r="AK236" s="268">
        <v>0</v>
      </c>
      <c r="AM236" s="268">
        <v>2483989</v>
      </c>
    </row>
    <row r="237" spans="35:39">
      <c r="AI237" s="62" t="s">
        <v>374</v>
      </c>
      <c r="AJ237" s="268">
        <v>-15000</v>
      </c>
      <c r="AL237" s="268">
        <v>760750</v>
      </c>
      <c r="AM237" s="268">
        <v>2468989</v>
      </c>
    </row>
    <row r="238" spans="35:39">
      <c r="AI238" s="62" t="s">
        <v>244</v>
      </c>
      <c r="AJ238" s="268">
        <v>-25000</v>
      </c>
      <c r="AL238" s="268">
        <v>785750</v>
      </c>
      <c r="AM238" s="268">
        <v>2443989</v>
      </c>
    </row>
    <row r="239" spans="35:39">
      <c r="AI239" s="62" t="s">
        <v>375</v>
      </c>
      <c r="AJ239" s="268">
        <v>-490950</v>
      </c>
      <c r="AL239" s="268">
        <v>1276700</v>
      </c>
      <c r="AM239" s="268">
        <v>1953039</v>
      </c>
    </row>
    <row r="240" spans="35:38">
      <c r="AI240" s="62" t="s">
        <v>376</v>
      </c>
      <c r="AJ240" s="268">
        <v>-471900</v>
      </c>
      <c r="AL240" s="268">
        <v>1748600</v>
      </c>
    </row>
    <row r="241" spans="35:39">
      <c r="AI241" s="62" t="s">
        <v>377</v>
      </c>
      <c r="AJ241" s="268">
        <v>-276050</v>
      </c>
      <c r="AL241" s="268">
        <v>2024650</v>
      </c>
      <c r="AM241" s="268">
        <v>1676989</v>
      </c>
    </row>
    <row r="242" spans="35:39">
      <c r="AI242" s="62" t="s">
        <v>276</v>
      </c>
      <c r="AJ242" s="268">
        <v>-20000</v>
      </c>
      <c r="AL242" s="268">
        <v>2044650</v>
      </c>
      <c r="AM242" s="268">
        <v>1656989</v>
      </c>
    </row>
    <row r="243" spans="35:39">
      <c r="AI243" s="62" t="s">
        <v>280</v>
      </c>
      <c r="AJ243" s="268">
        <v>-40000</v>
      </c>
      <c r="AL243" s="268">
        <v>2084650</v>
      </c>
      <c r="AM243" s="268">
        <v>1616989</v>
      </c>
    </row>
    <row r="244" spans="35:39">
      <c r="AI244" s="62" t="s">
        <v>378</v>
      </c>
      <c r="AJ244" s="268">
        <v>2672600</v>
      </c>
      <c r="AK244" s="268">
        <v>2672600</v>
      </c>
      <c r="AM244" s="268">
        <v>4289589</v>
      </c>
    </row>
    <row r="245" spans="35:39">
      <c r="AI245" s="62" t="s">
        <v>379</v>
      </c>
      <c r="AJ245" s="268">
        <v>-62480</v>
      </c>
      <c r="AL245" s="268">
        <v>2147130</v>
      </c>
      <c r="AM245" s="268">
        <v>4227109</v>
      </c>
    </row>
    <row r="246" spans="35:38">
      <c r="AI246" s="62" t="s">
        <v>380</v>
      </c>
      <c r="AJ246" s="268">
        <v>-600000</v>
      </c>
      <c r="AL246" s="268">
        <v>2747130</v>
      </c>
    </row>
    <row r="247" spans="35:38">
      <c r="AI247" s="62" t="s">
        <v>381</v>
      </c>
      <c r="AJ247" s="62" t="s">
        <v>737</v>
      </c>
      <c r="AL247" s="268">
        <v>2567860.77</v>
      </c>
    </row>
    <row r="248" spans="35:39">
      <c r="AI248" s="62" t="s">
        <v>382</v>
      </c>
      <c r="AJ248" s="268">
        <v>-5107.5</v>
      </c>
      <c r="AL248" s="268">
        <v>2572968.27</v>
      </c>
      <c r="AM248" s="268">
        <v>4222001.5</v>
      </c>
    </row>
    <row r="249" spans="35:39">
      <c r="AI249" s="62" t="s">
        <v>383</v>
      </c>
      <c r="AJ249" s="268">
        <v>-10600</v>
      </c>
      <c r="AL249" s="268">
        <v>2583568.27</v>
      </c>
      <c r="AM249" s="268">
        <v>4211401.5</v>
      </c>
    </row>
    <row r="250" spans="35:39">
      <c r="AI250" s="62" t="s">
        <v>384</v>
      </c>
      <c r="AJ250" s="62">
        <v>0</v>
      </c>
      <c r="AM250" s="268">
        <v>4211401.5</v>
      </c>
    </row>
    <row r="251" spans="35:39">
      <c r="AI251" s="62" t="s">
        <v>385</v>
      </c>
      <c r="AJ251" s="62">
        <v>0</v>
      </c>
      <c r="AK251" s="268">
        <v>2672600</v>
      </c>
      <c r="AM251" s="268">
        <v>4211401.5</v>
      </c>
    </row>
    <row r="252" spans="35:39">
      <c r="AI252" s="62" t="s">
        <v>386</v>
      </c>
      <c r="AJ252" s="268">
        <v>0</v>
      </c>
      <c r="AM252" s="268">
        <v>4211401.5</v>
      </c>
    </row>
    <row r="253" spans="35:39">
      <c r="AI253" s="62" t="s">
        <v>387</v>
      </c>
      <c r="AJ253" s="268">
        <v>0</v>
      </c>
      <c r="AL253" s="268">
        <v>2583568.27</v>
      </c>
      <c r="AM253" s="268">
        <v>4211401.5</v>
      </c>
    </row>
    <row r="254" spans="35:39">
      <c r="AI254" s="62" t="s">
        <v>388</v>
      </c>
      <c r="AJ254" s="62">
        <v>0</v>
      </c>
      <c r="AM254" s="268">
        <v>4211401.5</v>
      </c>
    </row>
    <row r="255" spans="35:39">
      <c r="AI255" s="62" t="s">
        <v>389</v>
      </c>
      <c r="AJ255" s="62">
        <v>0</v>
      </c>
      <c r="AL255" s="268">
        <v>2583568.27</v>
      </c>
      <c r="AM255" s="268">
        <v>4211401.5</v>
      </c>
    </row>
    <row r="256" spans="35:39">
      <c r="AI256" s="62" t="s">
        <v>390</v>
      </c>
      <c r="AJ256" s="268">
        <v>0</v>
      </c>
      <c r="AM256" s="268">
        <v>4211401.5</v>
      </c>
    </row>
    <row r="257" spans="35:39">
      <c r="AI257" s="62" t="s">
        <v>306</v>
      </c>
      <c r="AJ257" s="268">
        <v>0</v>
      </c>
      <c r="AM257" s="268">
        <v>4211401.5</v>
      </c>
    </row>
    <row r="258" spans="35:39">
      <c r="AI258" s="62" t="s">
        <v>391</v>
      </c>
      <c r="AJ258" s="62">
        <v>0</v>
      </c>
      <c r="AM258" s="268">
        <v>4211401.5</v>
      </c>
    </row>
    <row r="259" spans="35:39">
      <c r="AI259" s="62" t="s">
        <v>392</v>
      </c>
      <c r="AJ259" s="62">
        <v>0</v>
      </c>
      <c r="AM259" s="268">
        <v>4211401.5</v>
      </c>
    </row>
  </sheetData>
  <protectedRanges>
    <protectedRange sqref="A1:CI3 G9:S9 A4:F4 AA16:BR20 A45:Q45 A44:Y44 A43:J43 L43:N43 S25:BR26 AB4:BR4 S43:Y43 A40:BH40 Z37:BH39 N24:BR24 N25:N26 N27:BR27 A64:CS64 A63:B63 D63:CS63 A89:CS89 A25:G28 A67:M81 A38:Q38 U72:U75 BR31:CI45 A52:CS56 A51:BS51 AB5:AB8 AH5:BR8 AA41:BH45 AD9:BR9 A41:Y42 S45:Y45 A46:BH46 A48:BH50 A47:S47 U47:BH47 N23 V29:CI29 A65:T66 S67:T69 AA65:CS69 AX107:AX126 A82:G88 Z36:AI36 AZ36:BH36 A61:CS62 A60:AI60 AZ60:CS60 A90:G94 S90:CS94 A58:CS59 A57:AH57 AZ57:CS57 A95:F95 H95:L95 A96:G100 N101:CS105 N106:AQ126 A101:L181 N127:CS181 S77:CS88 U76:Y76 U30:Y34 N95:CS95 M90:M176 AZ106:CS126 H4:Z5 S96:CS100 BJ30:CI30 BJ46:CI50 BJ31:BL45 G22:G24 G21:J21 M21:N22 U9:AB9 G16:Y20 O21:BR23 N28:CI28 Z30:BH35 T75:T76 Z72:CS76 S70:CS71 S38:T38 A39:T39 A29:T37 G6:Z8 G10:S13 U10:BR13 G14:BR15" name="区域3"/>
    <protectedRange sqref="AA4:AA8" name="区域1"/>
    <protectedRange sqref="Z16:Z20" name="区域1_1"/>
    <protectedRange sqref="R45" name="区域1_4"/>
    <protectedRange sqref="K43" name="区域1_3"/>
    <protectedRange sqref="O25:R26" name="区域2"/>
    <protectedRange sqref="O43:R43" name="区域1_6"/>
    <protectedRange sqref="V72:Y75" name="区域1_10"/>
    <protectedRange sqref="H23:M28" name="区域1_8"/>
    <protectedRange sqref="C63" name="区域1_11"/>
    <protectedRange sqref="N72:R72 N73:N76" name="区域2_1_1_3"/>
    <protectedRange sqref="N67:R67 N68:N71" name="区域2_1_1_3_1"/>
    <protectedRange sqref="N77:R81" name="区域2_1_1_3_1_1"/>
    <protectedRange sqref="O68:R71" name="区域2_1_1_3_1_2_1"/>
    <protectedRange sqref="O73:R76" name="区域2_1_1_3_2_7"/>
    <protectedRange sqref="R38" name="区域1_13"/>
    <protectedRange sqref="BM31:BQ40 BM42:BQ45 BN41:BQ41" name="区域1_12"/>
    <protectedRange sqref="AR107:AR126" name="区域2_1"/>
    <protectedRange sqref="AS107:AS126" name="区域2_2"/>
    <protectedRange sqref="AT107:AT126" name="区域2_3"/>
    <protectedRange sqref="AU107:AU126" name="区域2_5"/>
    <protectedRange sqref="AV107:AV126" name="区域1_18"/>
    <protectedRange sqref="AW107:AW126" name="区域1_15"/>
    <protectedRange sqref="AR106" name="区域1_17_3"/>
    <protectedRange sqref="AS106" name="区域1_17_1_1"/>
    <protectedRange sqref="AT106" name="区域1_17_2_1"/>
    <protectedRange sqref="AU106" name="区域1_17_4_1"/>
    <protectedRange sqref="AV106" name="区域1_18_1"/>
    <protectedRange sqref="AW106" name="区域1_17_3_1"/>
    <protectedRange sqref="CJ1:CS3 CJ25:CS51 CK4:CS24" name="区域1_20"/>
    <protectedRange sqref="CB25:CI27 BS25:BZ26 BS4:BS24" name="区域1_21"/>
    <protectedRange sqref="BS27:BZ27" name="区域1_9_1"/>
    <protectedRange sqref="CA27" name="区域1_7_3"/>
    <protectedRange sqref="CA25:CA26" name="区域1_7_1_1_2"/>
    <protectedRange sqref="BT4:CA4 BT5:BZ24" name="区域1_17_1"/>
    <protectedRange sqref="CA5:CA24" name="区域1_6_2_1_1"/>
    <protectedRange sqref="Z41:Z45" name="区域1_7"/>
    <protectedRange sqref="AD5:AG8" name="区域1_9"/>
    <protectedRange sqref="AC9" name="区域1_5"/>
    <protectedRange sqref="AC5:AC8" name="区域1_15_1_1"/>
    <protectedRange sqref="BT51:CI51" name="区域1_4_1"/>
    <protectedRange sqref="T47" name="区域3_1"/>
    <protectedRange sqref="A5:F24" name="区域1_16"/>
    <protectedRange sqref="U29" name="区域1_2"/>
    <protectedRange sqref="Z65:Z69" name="区域1_7_1"/>
    <protectedRange sqref="U65:Y69" name="区域1_4_2_2"/>
    <protectedRange sqref="CH4:CJ24" name="区域1_12_1"/>
    <protectedRange sqref="CG4:CG24" name="区域1_19"/>
    <protectedRange sqref="CF4:CF24" name="区域1_12_1_1"/>
    <protectedRange sqref="CB4:CE4 CB5:CB24" name="区域1_17_1_2"/>
    <protectedRange sqref="CC5:CE24" name="区域1_5_1_1_1"/>
    <protectedRange sqref="AX106" name="区域1_14"/>
    <protectedRange sqref="H82:R83" name="区域2_4"/>
    <protectedRange sqref="H84:L88 N84:R88 H96:L100 N96:R100" name="区域2_6"/>
    <protectedRange sqref="M84:M88" name="区域2_2_1"/>
    <protectedRange sqref="AJ36:AY36" name="区域1_1_1"/>
    <protectedRange sqref="AJ60:AY60" name="区域1_1_2"/>
    <protectedRange sqref="AI57" name="区域1_14_1"/>
    <protectedRange sqref="AJ57:AY57" name="区域1_25"/>
    <protectedRange sqref="N90:R94" name="区域2_7"/>
    <protectedRange sqref="G95" name="区域2_8"/>
    <protectedRange sqref="T72:T74" name="区域1_1_3"/>
    <protectedRange sqref="S73:S76" name="区域1_1_3_1"/>
    <protectedRange sqref="S72" name="区域1_1_3_2"/>
    <protectedRange sqref="I90:L90 H91:L94" name="区域1_4_2"/>
    <protectedRange sqref="H90" name="区域1_4_2_1"/>
    <protectedRange sqref="AY106:AY126" name="区域1_22"/>
    <protectedRange sqref="G5" name="区域1_17"/>
    <protectedRange sqref="BI31:BI50" name="区域3_2"/>
    <protectedRange sqref="BI30" name="区域1_7_2"/>
    <protectedRange sqref="G4" name="区域1_23"/>
    <protectedRange sqref="K21" name="区域1_24"/>
    <protectedRange sqref="L21" name="区域1_26"/>
    <protectedRange sqref="T9" name="区域1_27_1"/>
    <protectedRange sqref="H22:L22" name="区域1_14_1_1"/>
    <protectedRange sqref="BM41" name="区域1_27"/>
    <protectedRange sqref="V35:Y35 U36:Y39" name="区域1_11_1"/>
    <protectedRange sqref="U35" name="区域1_6_1"/>
    <protectedRange sqref="T10:T13" name="区域2_9"/>
  </protectedRanges>
  <mergeCells count="104">
    <mergeCell ref="CK3:CS3"/>
    <mergeCell ref="A4:F4"/>
    <mergeCell ref="H4:L4"/>
    <mergeCell ref="N4:R4"/>
    <mergeCell ref="BA4:BQ4"/>
    <mergeCell ref="BB5:BE5"/>
    <mergeCell ref="BF5:BI5"/>
    <mergeCell ref="BJ5:BM5"/>
    <mergeCell ref="BN5:BQ5"/>
    <mergeCell ref="AI7:AQ7"/>
    <mergeCell ref="H11:L11"/>
    <mergeCell ref="H23:L23"/>
    <mergeCell ref="A26:F26"/>
    <mergeCell ref="BS27:BV27"/>
    <mergeCell ref="A28:B28"/>
    <mergeCell ref="C28:F28"/>
    <mergeCell ref="BT28:BW28"/>
    <mergeCell ref="BX28:CA28"/>
    <mergeCell ref="CB28:CE28"/>
    <mergeCell ref="CF28:CI28"/>
    <mergeCell ref="A29:B29"/>
    <mergeCell ref="K29:L29"/>
    <mergeCell ref="A30:B30"/>
    <mergeCell ref="BM30:BQ30"/>
    <mergeCell ref="A31:B31"/>
    <mergeCell ref="N31:R31"/>
    <mergeCell ref="A32:B32"/>
    <mergeCell ref="A33:B33"/>
    <mergeCell ref="A34:B34"/>
    <mergeCell ref="AI34:AY34"/>
    <mergeCell ref="A35:B35"/>
    <mergeCell ref="AJ35:AM35"/>
    <mergeCell ref="AN35:AQ35"/>
    <mergeCell ref="AR35:AU35"/>
    <mergeCell ref="AV35:AY35"/>
    <mergeCell ref="A36:B36"/>
    <mergeCell ref="A37:B37"/>
    <mergeCell ref="A38:B38"/>
    <mergeCell ref="N38:O38"/>
    <mergeCell ref="A39:B39"/>
    <mergeCell ref="N39:R39"/>
    <mergeCell ref="A40:B40"/>
    <mergeCell ref="AB40:AC40"/>
    <mergeCell ref="AD40:AE40"/>
    <mergeCell ref="A41:B41"/>
    <mergeCell ref="H41:L41"/>
    <mergeCell ref="AB41:AC41"/>
    <mergeCell ref="AD41:AE41"/>
    <mergeCell ref="A42:B42"/>
    <mergeCell ref="AB42:AC42"/>
    <mergeCell ref="AD42:AE42"/>
    <mergeCell ref="A43:B43"/>
    <mergeCell ref="A44:B44"/>
    <mergeCell ref="A45:B45"/>
    <mergeCell ref="H45:L45"/>
    <mergeCell ref="A46:B46"/>
    <mergeCell ref="A47:B47"/>
    <mergeCell ref="N47:R47"/>
    <mergeCell ref="A48:B48"/>
    <mergeCell ref="A49:B49"/>
    <mergeCell ref="A50:B50"/>
    <mergeCell ref="A51:B51"/>
    <mergeCell ref="A52:B52"/>
    <mergeCell ref="A53:B53"/>
    <mergeCell ref="A54:B54"/>
    <mergeCell ref="A55:B55"/>
    <mergeCell ref="A56:B56"/>
    <mergeCell ref="A57:B57"/>
    <mergeCell ref="A58:B58"/>
    <mergeCell ref="AI58:AY58"/>
    <mergeCell ref="A59:B59"/>
    <mergeCell ref="AJ59:AM59"/>
    <mergeCell ref="AN59:AQ59"/>
    <mergeCell ref="AR59:AU59"/>
    <mergeCell ref="AV59:AY59"/>
    <mergeCell ref="A60:B60"/>
    <mergeCell ref="A61:B61"/>
    <mergeCell ref="A62:B62"/>
    <mergeCell ref="A63:B63"/>
    <mergeCell ref="A64:B64"/>
    <mergeCell ref="A66:C66"/>
    <mergeCell ref="E66:F66"/>
    <mergeCell ref="H77:L77"/>
    <mergeCell ref="B80:C80"/>
    <mergeCell ref="AI82:AV82"/>
    <mergeCell ref="A21:A22"/>
    <mergeCell ref="A23:A24"/>
    <mergeCell ref="F21:F22"/>
    <mergeCell ref="M23:M24"/>
    <mergeCell ref="T18:T19"/>
    <mergeCell ref="AI35:AI36"/>
    <mergeCell ref="AI59:AI60"/>
    <mergeCell ref="BA5:BA6"/>
    <mergeCell ref="BS28:BS29"/>
    <mergeCell ref="A1:F2"/>
    <mergeCell ref="BS1:CI2"/>
    <mergeCell ref="H1:R2"/>
    <mergeCell ref="AI1:AY2"/>
    <mergeCell ref="U1:Z2"/>
    <mergeCell ref="AB1:AG2"/>
    <mergeCell ref="BA1:BQ2"/>
    <mergeCell ref="AI4:AY5"/>
    <mergeCell ref="AI31:AY32"/>
    <mergeCell ref="H82:R83"/>
  </mergeCells>
  <conditionalFormatting sqref="G4">
    <cfRule type="cellIs" dxfId="0" priority="1" operator="equal">
      <formula>"""价格打错"""</formula>
    </cfRule>
  </conditionalFormatting>
  <conditionalFormatting sqref="AG11">
    <cfRule type="cellIs" dxfId="3" priority="28" stopIfTrue="1" operator="equal">
      <formula>"正确"</formula>
    </cfRule>
    <cfRule type="cellIs" dxfId="4" priority="29" stopIfTrue="1" operator="equal">
      <formula>“错误”</formula>
    </cfRule>
    <cfRule type="cellIs" dxfId="5" priority="30" stopIfTrue="1" operator="equal">
      <formula>"未粘报表"</formula>
    </cfRule>
  </conditionalFormatting>
  <conditionalFormatting sqref="AH11">
    <cfRule type="cellIs" dxfId="6" priority="21" stopIfTrue="1" operator="equal">
      <formula>"未粘报表"</formula>
    </cfRule>
    <cfRule type="cellIs" dxfId="6" priority="26" stopIfTrue="1" operator="equal">
      <formula>"现金错误"</formula>
    </cfRule>
    <cfRule type="cellIs" dxfId="7" priority="27" stopIfTrue="1" operator="equal">
      <formula>"现金正确"</formula>
    </cfRule>
  </conditionalFormatting>
  <conditionalFormatting sqref="AG13">
    <cfRule type="cellIs" dxfId="6" priority="20" stopIfTrue="1" operator="equal">
      <formula>"未粘报表"</formula>
    </cfRule>
    <cfRule type="cellIs" dxfId="6" priority="24" stopIfTrue="1" operator="equal">
      <formula>"成本错误"</formula>
    </cfRule>
    <cfRule type="cellIs" dxfId="7" priority="25" stopIfTrue="1" operator="equal">
      <formula>"成本正确"</formula>
    </cfRule>
  </conditionalFormatting>
  <conditionalFormatting sqref="AH13">
    <cfRule type="cellIs" dxfId="6" priority="19" stopIfTrue="1" operator="equal">
      <formula>"未粘报表"</formula>
    </cfRule>
    <cfRule type="cellIs" dxfId="6" priority="22" stopIfTrue="1" operator="equal">
      <formula>"分红错误"</formula>
    </cfRule>
    <cfRule type="cellIs" dxfId="7" priority="23" stopIfTrue="1" operator="equal">
      <formula>"分红正确"</formula>
    </cfRule>
  </conditionalFormatting>
  <conditionalFormatting sqref="K43">
    <cfRule type="cellIs" dxfId="8" priority="18" stopIfTrue="1" operator="lessThan">
      <formula>$I$43</formula>
    </cfRule>
  </conditionalFormatting>
  <conditionalFormatting sqref="T47">
    <cfRule type="expression" dxfId="9" priority="16">
      <formula>"&gt;0"</formula>
    </cfRule>
  </conditionalFormatting>
  <conditionalFormatting sqref="K85:K88">
    <cfRule type="cellIs" dxfId="0" priority="7" operator="greaterThan">
      <formula>$L$85+15</formula>
    </cfRule>
  </conditionalFormatting>
  <conditionalFormatting sqref="L85:L88">
    <cfRule type="cellIs" dxfId="0" priority="6" operator="greaterThan">
      <formula>$K$85+15</formula>
    </cfRule>
  </conditionalFormatting>
  <conditionalFormatting sqref="M85:M88">
    <cfRule type="cellIs" dxfId="0" priority="5" operator="greaterThan">
      <formula>$K$85+15</formula>
    </cfRule>
  </conditionalFormatting>
  <dataValidations count="2">
    <dataValidation type="whole" operator="between" allowBlank="1" showInputMessage="1" showErrorMessage="1" error="请输入正确" sqref="K43">
      <formula1>I43</formula1>
      <formula2>10000000000</formula2>
    </dataValidation>
    <dataValidation type="decimal" operator="between" allowBlank="1" showInputMessage="1" showErrorMessage="1" error="请输入正确" sqref="R45">
      <formula1>1</formula1>
      <formula2>2</formula2>
    </dataValidation>
  </dataValidations>
  <pageMargins left="0.698611111111111" right="0.698611111111111" top="0.75" bottom="0.75" header="0.3" footer="0.3"/>
  <pageSetup paperSize="9" firstPageNumber="4294963191" orientation="portrait" useFirstPageNumber="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21" name="Spinner 5" r:id="rId4">
              <controlPr defaultSize="0">
                <anchor moveWithCells="1" sizeWithCells="1">
                  <from>
                    <xdr:col>8</xdr:col>
                    <xdr:colOff>889000</xdr:colOff>
                    <xdr:row>24</xdr:row>
                    <xdr:rowOff>12700</xdr:rowOff>
                  </from>
                  <to>
                    <xdr:col>8</xdr:col>
                    <xdr:colOff>1016000</xdr:colOff>
                    <xdr:row>25</xdr:row>
                    <xdr:rowOff>0</xdr:rowOff>
                  </to>
                </anchor>
              </controlPr>
            </control>
          </mc:Choice>
        </mc:AlternateContent>
        <mc:AlternateContent xmlns:mc="http://schemas.openxmlformats.org/markup-compatibility/2006">
          <mc:Choice Requires="x14">
            <control shapeId="9222" name="Spinner 6" r:id="rId5">
              <controlPr defaultSize="0">
                <anchor moveWithCells="1" sizeWithCells="1">
                  <from>
                    <xdr:col>9</xdr:col>
                    <xdr:colOff>787400</xdr:colOff>
                    <xdr:row>24</xdr:row>
                    <xdr:rowOff>12700</xdr:rowOff>
                  </from>
                  <to>
                    <xdr:col>9</xdr:col>
                    <xdr:colOff>914400</xdr:colOff>
                    <xdr:row>25</xdr:row>
                    <xdr:rowOff>0</xdr:rowOff>
                  </to>
                </anchor>
              </controlPr>
            </control>
          </mc:Choice>
        </mc:AlternateContent>
        <mc:AlternateContent xmlns:mc="http://schemas.openxmlformats.org/markup-compatibility/2006">
          <mc:Choice Requires="x14">
            <control shapeId="9223" name="Spinner 7" r:id="rId6">
              <controlPr defaultSize="0">
                <anchor moveWithCells="1" sizeWithCells="1">
                  <from>
                    <xdr:col>8</xdr:col>
                    <xdr:colOff>889000</xdr:colOff>
                    <xdr:row>25</xdr:row>
                    <xdr:rowOff>12700</xdr:rowOff>
                  </from>
                  <to>
                    <xdr:col>8</xdr:col>
                    <xdr:colOff>1016000</xdr:colOff>
                    <xdr:row>26</xdr:row>
                    <xdr:rowOff>0</xdr:rowOff>
                  </to>
                </anchor>
              </controlPr>
            </control>
          </mc:Choice>
        </mc:AlternateContent>
        <mc:AlternateContent xmlns:mc="http://schemas.openxmlformats.org/markup-compatibility/2006">
          <mc:Choice Requires="x14">
            <control shapeId="9224" name="Spinner 8" r:id="rId7">
              <controlPr defaultSize="0">
                <anchor moveWithCells="1" sizeWithCells="1">
                  <from>
                    <xdr:col>9</xdr:col>
                    <xdr:colOff>787400</xdr:colOff>
                    <xdr:row>25</xdr:row>
                    <xdr:rowOff>12700</xdr:rowOff>
                  </from>
                  <to>
                    <xdr:col>9</xdr:col>
                    <xdr:colOff>914400</xdr:colOff>
                    <xdr:row>26</xdr:row>
                    <xdr:rowOff>0</xdr:rowOff>
                  </to>
                </anchor>
              </controlPr>
            </control>
          </mc:Choice>
        </mc:AlternateContent>
        <mc:AlternateContent xmlns:mc="http://schemas.openxmlformats.org/markup-compatibility/2006">
          <mc:Choice Requires="x14">
            <control shapeId="9225" name="Spinner 9" r:id="rId8">
              <controlPr defaultSize="0">
                <anchor moveWithCells="1" sizeWithCells="1">
                  <from>
                    <xdr:col>8</xdr:col>
                    <xdr:colOff>889000</xdr:colOff>
                    <xdr:row>26</xdr:row>
                    <xdr:rowOff>12700</xdr:rowOff>
                  </from>
                  <to>
                    <xdr:col>8</xdr:col>
                    <xdr:colOff>1016000</xdr:colOff>
                    <xdr:row>27</xdr:row>
                    <xdr:rowOff>0</xdr:rowOff>
                  </to>
                </anchor>
              </controlPr>
            </control>
          </mc:Choice>
        </mc:AlternateContent>
        <mc:AlternateContent xmlns:mc="http://schemas.openxmlformats.org/markup-compatibility/2006">
          <mc:Choice Requires="x14">
            <control shapeId="9226" name="Spinner 10" r:id="rId9">
              <controlPr defaultSize="0">
                <anchor moveWithCells="1" sizeWithCells="1">
                  <from>
                    <xdr:col>9</xdr:col>
                    <xdr:colOff>787400</xdr:colOff>
                    <xdr:row>26</xdr:row>
                    <xdr:rowOff>12700</xdr:rowOff>
                  </from>
                  <to>
                    <xdr:col>9</xdr:col>
                    <xdr:colOff>914400</xdr:colOff>
                    <xdr:row>27</xdr:row>
                    <xdr:rowOff>0</xdr:rowOff>
                  </to>
                </anchor>
              </controlPr>
            </control>
          </mc:Choice>
        </mc:AlternateContent>
        <mc:AlternateContent xmlns:mc="http://schemas.openxmlformats.org/markup-compatibility/2006">
          <mc:Choice Requires="x14">
            <control shapeId="9227" name="Spinner 11" r:id="rId10">
              <controlPr defaultSize="0">
                <anchor moveWithCells="1" sizeWithCells="1">
                  <from>
                    <xdr:col>8</xdr:col>
                    <xdr:colOff>889000</xdr:colOff>
                    <xdr:row>27</xdr:row>
                    <xdr:rowOff>12700</xdr:rowOff>
                  </from>
                  <to>
                    <xdr:col>8</xdr:col>
                    <xdr:colOff>1016000</xdr:colOff>
                    <xdr:row>28</xdr:row>
                    <xdr:rowOff>0</xdr:rowOff>
                  </to>
                </anchor>
              </controlPr>
            </control>
          </mc:Choice>
        </mc:AlternateContent>
        <mc:AlternateContent xmlns:mc="http://schemas.openxmlformats.org/markup-compatibility/2006">
          <mc:Choice Requires="x14">
            <control shapeId="9228" name="Spinner 12" r:id="rId11">
              <controlPr defaultSize="0">
                <anchor moveWithCells="1" sizeWithCells="1">
                  <from>
                    <xdr:col>9</xdr:col>
                    <xdr:colOff>787400</xdr:colOff>
                    <xdr:row>27</xdr:row>
                    <xdr:rowOff>12700</xdr:rowOff>
                  </from>
                  <to>
                    <xdr:col>9</xdr:col>
                    <xdr:colOff>914400</xdr:colOff>
                    <xdr:row>28</xdr:row>
                    <xdr:rowOff>0</xdr:rowOff>
                  </to>
                </anchor>
              </controlPr>
            </control>
          </mc:Choice>
        </mc:AlternateContent>
        <mc:AlternateContent xmlns:mc="http://schemas.openxmlformats.org/markup-compatibility/2006">
          <mc:Choice Requires="x14">
            <control shapeId="9229" name="Spinner 13" r:id="rId12">
              <controlPr defaultSize="0">
                <anchor moveWithCells="1" sizeWithCells="1">
                  <from>
                    <xdr:col>10</xdr:col>
                    <xdr:colOff>908050</xdr:colOff>
                    <xdr:row>23</xdr:row>
                    <xdr:rowOff>203200</xdr:rowOff>
                  </from>
                  <to>
                    <xdr:col>10</xdr:col>
                    <xdr:colOff>1041400</xdr:colOff>
                    <xdr:row>24</xdr:row>
                    <xdr:rowOff>184150</xdr:rowOff>
                  </to>
                </anchor>
              </controlPr>
            </control>
          </mc:Choice>
        </mc:AlternateContent>
        <mc:AlternateContent xmlns:mc="http://schemas.openxmlformats.org/markup-compatibility/2006">
          <mc:Choice Requires="x14">
            <control shapeId="9230" name="Spinner 14" r:id="rId13">
              <controlPr defaultSize="0">
                <anchor moveWithCells="1" sizeWithCells="1">
                  <from>
                    <xdr:col>11</xdr:col>
                    <xdr:colOff>977900</xdr:colOff>
                    <xdr:row>24</xdr:row>
                    <xdr:rowOff>25400</xdr:rowOff>
                  </from>
                  <to>
                    <xdr:col>11</xdr:col>
                    <xdr:colOff>1098550</xdr:colOff>
                    <xdr:row>25</xdr:row>
                    <xdr:rowOff>12700</xdr:rowOff>
                  </to>
                </anchor>
              </controlPr>
            </control>
          </mc:Choice>
        </mc:AlternateContent>
        <mc:AlternateContent xmlns:mc="http://schemas.openxmlformats.org/markup-compatibility/2006">
          <mc:Choice Requires="x14">
            <control shapeId="9231" name="Spinner 15" r:id="rId14">
              <controlPr defaultSize="0">
                <anchor moveWithCells="1" sizeWithCells="1">
                  <from>
                    <xdr:col>10</xdr:col>
                    <xdr:colOff>914400</xdr:colOff>
                    <xdr:row>24</xdr:row>
                    <xdr:rowOff>203200</xdr:rowOff>
                  </from>
                  <to>
                    <xdr:col>10</xdr:col>
                    <xdr:colOff>1041400</xdr:colOff>
                    <xdr:row>25</xdr:row>
                    <xdr:rowOff>184150</xdr:rowOff>
                  </to>
                </anchor>
              </controlPr>
            </control>
          </mc:Choice>
        </mc:AlternateContent>
        <mc:AlternateContent xmlns:mc="http://schemas.openxmlformats.org/markup-compatibility/2006">
          <mc:Choice Requires="x14">
            <control shapeId="9232" name="Spinner 16" r:id="rId15">
              <controlPr defaultSize="0">
                <anchor moveWithCells="1" sizeWithCells="1">
                  <from>
                    <xdr:col>11</xdr:col>
                    <xdr:colOff>977900</xdr:colOff>
                    <xdr:row>25</xdr:row>
                    <xdr:rowOff>25400</xdr:rowOff>
                  </from>
                  <to>
                    <xdr:col>11</xdr:col>
                    <xdr:colOff>1098550</xdr:colOff>
                    <xdr:row>26</xdr:row>
                    <xdr:rowOff>12700</xdr:rowOff>
                  </to>
                </anchor>
              </controlPr>
            </control>
          </mc:Choice>
        </mc:AlternateContent>
        <mc:AlternateContent xmlns:mc="http://schemas.openxmlformats.org/markup-compatibility/2006">
          <mc:Choice Requires="x14">
            <control shapeId="9233" name="Spinner 17" r:id="rId16">
              <controlPr defaultSize="0">
                <anchor moveWithCells="1" sizeWithCells="1">
                  <from>
                    <xdr:col>10</xdr:col>
                    <xdr:colOff>914400</xdr:colOff>
                    <xdr:row>25</xdr:row>
                    <xdr:rowOff>190500</xdr:rowOff>
                  </from>
                  <to>
                    <xdr:col>10</xdr:col>
                    <xdr:colOff>1041400</xdr:colOff>
                    <xdr:row>26</xdr:row>
                    <xdr:rowOff>184150</xdr:rowOff>
                  </to>
                </anchor>
              </controlPr>
            </control>
          </mc:Choice>
        </mc:AlternateContent>
        <mc:AlternateContent xmlns:mc="http://schemas.openxmlformats.org/markup-compatibility/2006">
          <mc:Choice Requires="x14">
            <control shapeId="9234" name="Spinner 18" r:id="rId17">
              <controlPr defaultSize="0">
                <anchor moveWithCells="1" sizeWithCells="1">
                  <from>
                    <xdr:col>11</xdr:col>
                    <xdr:colOff>977900</xdr:colOff>
                    <xdr:row>26</xdr:row>
                    <xdr:rowOff>12700</xdr:rowOff>
                  </from>
                  <to>
                    <xdr:col>11</xdr:col>
                    <xdr:colOff>1098550</xdr:colOff>
                    <xdr:row>27</xdr:row>
                    <xdr:rowOff>12700</xdr:rowOff>
                  </to>
                </anchor>
              </controlPr>
            </control>
          </mc:Choice>
        </mc:AlternateContent>
        <mc:AlternateContent xmlns:mc="http://schemas.openxmlformats.org/markup-compatibility/2006">
          <mc:Choice Requires="x14">
            <control shapeId="9235" name="Spinner 19" r:id="rId18">
              <controlPr defaultSize="0">
                <anchor moveWithCells="1" sizeWithCells="1">
                  <from>
                    <xdr:col>10</xdr:col>
                    <xdr:colOff>914400</xdr:colOff>
                    <xdr:row>26</xdr:row>
                    <xdr:rowOff>203200</xdr:rowOff>
                  </from>
                  <to>
                    <xdr:col>10</xdr:col>
                    <xdr:colOff>1041400</xdr:colOff>
                    <xdr:row>27</xdr:row>
                    <xdr:rowOff>184150</xdr:rowOff>
                  </to>
                </anchor>
              </controlPr>
            </control>
          </mc:Choice>
        </mc:AlternateContent>
        <mc:AlternateContent xmlns:mc="http://schemas.openxmlformats.org/markup-compatibility/2006">
          <mc:Choice Requires="x14">
            <control shapeId="9236" name="Spinner 20" r:id="rId19">
              <controlPr defaultSize="0">
                <anchor moveWithCells="1" sizeWithCells="1">
                  <from>
                    <xdr:col>11</xdr:col>
                    <xdr:colOff>977900</xdr:colOff>
                    <xdr:row>27</xdr:row>
                    <xdr:rowOff>25400</xdr:rowOff>
                  </from>
                  <to>
                    <xdr:col>11</xdr:col>
                    <xdr:colOff>1098550</xdr:colOff>
                    <xdr:row>28</xdr:row>
                    <xdr:rowOff>12700</xdr:rowOff>
                  </to>
                </anchor>
              </controlPr>
            </control>
          </mc:Choice>
        </mc:AlternateContent>
        <mc:AlternateContent xmlns:mc="http://schemas.openxmlformats.org/markup-compatibility/2006">
          <mc:Choice Requires="x14">
            <control shapeId="9237" name="Spinner 21" r:id="rId20">
              <controlPr defaultSize="0">
                <anchor moveWithCells="1" sizeWithCells="1">
                  <from>
                    <xdr:col>8</xdr:col>
                    <xdr:colOff>869950</xdr:colOff>
                    <xdr:row>62</xdr:row>
                    <xdr:rowOff>12700</xdr:rowOff>
                  </from>
                  <to>
                    <xdr:col>8</xdr:col>
                    <xdr:colOff>984250</xdr:colOff>
                    <xdr:row>63</xdr:row>
                    <xdr:rowOff>0</xdr:rowOff>
                  </to>
                </anchor>
              </controlPr>
            </control>
          </mc:Choice>
        </mc:AlternateContent>
        <mc:AlternateContent xmlns:mc="http://schemas.openxmlformats.org/markup-compatibility/2006">
          <mc:Choice Requires="x14">
            <control shapeId="9238" name="Spinner 22" r:id="rId21">
              <controlPr defaultSize="0">
                <anchor moveWithCells="1" sizeWithCells="1">
                  <from>
                    <xdr:col>9</xdr:col>
                    <xdr:colOff>793750</xdr:colOff>
                    <xdr:row>62</xdr:row>
                    <xdr:rowOff>12700</xdr:rowOff>
                  </from>
                  <to>
                    <xdr:col>9</xdr:col>
                    <xdr:colOff>914400</xdr:colOff>
                    <xdr:row>63</xdr:row>
                    <xdr:rowOff>0</xdr:rowOff>
                  </to>
                </anchor>
              </controlPr>
            </control>
          </mc:Choice>
        </mc:AlternateContent>
        <mc:AlternateContent xmlns:mc="http://schemas.openxmlformats.org/markup-compatibility/2006">
          <mc:Choice Requires="x14">
            <control shapeId="9239" name="Spinner 23" r:id="rId22">
              <controlPr defaultSize="0">
                <anchor moveWithCells="1" sizeWithCells="1">
                  <from>
                    <xdr:col>10</xdr:col>
                    <xdr:colOff>908050</xdr:colOff>
                    <xdr:row>62</xdr:row>
                    <xdr:rowOff>12700</xdr:rowOff>
                  </from>
                  <to>
                    <xdr:col>10</xdr:col>
                    <xdr:colOff>1041400</xdr:colOff>
                    <xdr:row>63</xdr:row>
                    <xdr:rowOff>0</xdr:rowOff>
                  </to>
                </anchor>
              </controlPr>
            </control>
          </mc:Choice>
        </mc:AlternateContent>
        <mc:AlternateContent xmlns:mc="http://schemas.openxmlformats.org/markup-compatibility/2006">
          <mc:Choice Requires="x14">
            <control shapeId="9240" name="Spinner 24" r:id="rId23">
              <controlPr defaultSize="0">
                <anchor moveWithCells="1" sizeWithCells="1">
                  <from>
                    <xdr:col>11</xdr:col>
                    <xdr:colOff>965200</xdr:colOff>
                    <xdr:row>62</xdr:row>
                    <xdr:rowOff>0</xdr:rowOff>
                  </from>
                  <to>
                    <xdr:col>11</xdr:col>
                    <xdr:colOff>1098550</xdr:colOff>
                    <xdr:row>62</xdr:row>
                    <xdr:rowOff>190500</xdr:rowOff>
                  </to>
                </anchor>
              </controlPr>
            </control>
          </mc:Choice>
        </mc:AlternateContent>
        <mc:AlternateContent xmlns:mc="http://schemas.openxmlformats.org/markup-compatibility/2006">
          <mc:Choice Requires="x14">
            <control shapeId="9241" name="Spinner 25" r:id="rId24">
              <controlPr defaultSize="0">
                <anchor moveWithCells="1" sizeWithCells="1">
                  <from>
                    <xdr:col>8</xdr:col>
                    <xdr:colOff>869950</xdr:colOff>
                    <xdr:row>63</xdr:row>
                    <xdr:rowOff>12700</xdr:rowOff>
                  </from>
                  <to>
                    <xdr:col>8</xdr:col>
                    <xdr:colOff>984250</xdr:colOff>
                    <xdr:row>64</xdr:row>
                    <xdr:rowOff>0</xdr:rowOff>
                  </to>
                </anchor>
              </controlPr>
            </control>
          </mc:Choice>
        </mc:AlternateContent>
        <mc:AlternateContent xmlns:mc="http://schemas.openxmlformats.org/markup-compatibility/2006">
          <mc:Choice Requires="x14">
            <control shapeId="9242" name="Spinner 26" r:id="rId25">
              <controlPr defaultSize="0">
                <anchor moveWithCells="1" sizeWithCells="1">
                  <from>
                    <xdr:col>9</xdr:col>
                    <xdr:colOff>793750</xdr:colOff>
                    <xdr:row>63</xdr:row>
                    <xdr:rowOff>12700</xdr:rowOff>
                  </from>
                  <to>
                    <xdr:col>9</xdr:col>
                    <xdr:colOff>914400</xdr:colOff>
                    <xdr:row>64</xdr:row>
                    <xdr:rowOff>0</xdr:rowOff>
                  </to>
                </anchor>
              </controlPr>
            </control>
          </mc:Choice>
        </mc:AlternateContent>
        <mc:AlternateContent xmlns:mc="http://schemas.openxmlformats.org/markup-compatibility/2006">
          <mc:Choice Requires="x14">
            <control shapeId="9243" name="Spinner 27" r:id="rId26">
              <controlPr defaultSize="0">
                <anchor moveWithCells="1" sizeWithCells="1">
                  <from>
                    <xdr:col>10</xdr:col>
                    <xdr:colOff>908050</xdr:colOff>
                    <xdr:row>63</xdr:row>
                    <xdr:rowOff>12700</xdr:rowOff>
                  </from>
                  <to>
                    <xdr:col>10</xdr:col>
                    <xdr:colOff>1041400</xdr:colOff>
                    <xdr:row>64</xdr:row>
                    <xdr:rowOff>0</xdr:rowOff>
                  </to>
                </anchor>
              </controlPr>
            </control>
          </mc:Choice>
        </mc:AlternateContent>
        <mc:AlternateContent xmlns:mc="http://schemas.openxmlformats.org/markup-compatibility/2006">
          <mc:Choice Requires="x14">
            <control shapeId="9244" name="Spinner 28" r:id="rId27">
              <controlPr defaultSize="0">
                <anchor moveWithCells="1" sizeWithCells="1">
                  <from>
                    <xdr:col>11</xdr:col>
                    <xdr:colOff>965200</xdr:colOff>
                    <xdr:row>63</xdr:row>
                    <xdr:rowOff>0</xdr:rowOff>
                  </from>
                  <to>
                    <xdr:col>11</xdr:col>
                    <xdr:colOff>1098550</xdr:colOff>
                    <xdr:row>63</xdr:row>
                    <xdr:rowOff>190500</xdr:rowOff>
                  </to>
                </anchor>
              </controlPr>
            </control>
          </mc:Choice>
        </mc:AlternateContent>
        <mc:AlternateContent xmlns:mc="http://schemas.openxmlformats.org/markup-compatibility/2006">
          <mc:Choice Requires="x14">
            <control shapeId="9245" name="Spinner 29" r:id="rId28">
              <controlPr defaultSize="0">
                <anchor moveWithCells="1" sizeWithCells="1">
                  <from>
                    <xdr:col>8</xdr:col>
                    <xdr:colOff>869950</xdr:colOff>
                    <xdr:row>64</xdr:row>
                    <xdr:rowOff>12700</xdr:rowOff>
                  </from>
                  <to>
                    <xdr:col>8</xdr:col>
                    <xdr:colOff>984250</xdr:colOff>
                    <xdr:row>65</xdr:row>
                    <xdr:rowOff>0</xdr:rowOff>
                  </to>
                </anchor>
              </controlPr>
            </control>
          </mc:Choice>
        </mc:AlternateContent>
        <mc:AlternateContent xmlns:mc="http://schemas.openxmlformats.org/markup-compatibility/2006">
          <mc:Choice Requires="x14">
            <control shapeId="9246" name="Spinner 30" r:id="rId29">
              <controlPr defaultSize="0">
                <anchor moveWithCells="1" sizeWithCells="1">
                  <from>
                    <xdr:col>9</xdr:col>
                    <xdr:colOff>793750</xdr:colOff>
                    <xdr:row>64</xdr:row>
                    <xdr:rowOff>12700</xdr:rowOff>
                  </from>
                  <to>
                    <xdr:col>9</xdr:col>
                    <xdr:colOff>914400</xdr:colOff>
                    <xdr:row>65</xdr:row>
                    <xdr:rowOff>0</xdr:rowOff>
                  </to>
                </anchor>
              </controlPr>
            </control>
          </mc:Choice>
        </mc:AlternateContent>
        <mc:AlternateContent xmlns:mc="http://schemas.openxmlformats.org/markup-compatibility/2006">
          <mc:Choice Requires="x14">
            <control shapeId="9247" name="Spinner 31" r:id="rId30">
              <controlPr defaultSize="0">
                <anchor moveWithCells="1" sizeWithCells="1">
                  <from>
                    <xdr:col>10</xdr:col>
                    <xdr:colOff>908050</xdr:colOff>
                    <xdr:row>64</xdr:row>
                    <xdr:rowOff>12700</xdr:rowOff>
                  </from>
                  <to>
                    <xdr:col>10</xdr:col>
                    <xdr:colOff>1041400</xdr:colOff>
                    <xdr:row>65</xdr:row>
                    <xdr:rowOff>0</xdr:rowOff>
                  </to>
                </anchor>
              </controlPr>
            </control>
          </mc:Choice>
        </mc:AlternateContent>
        <mc:AlternateContent xmlns:mc="http://schemas.openxmlformats.org/markup-compatibility/2006">
          <mc:Choice Requires="x14">
            <control shapeId="9248" name="Spinner 32" r:id="rId31">
              <controlPr defaultSize="0">
                <anchor moveWithCells="1" sizeWithCells="1">
                  <from>
                    <xdr:col>11</xdr:col>
                    <xdr:colOff>965200</xdr:colOff>
                    <xdr:row>64</xdr:row>
                    <xdr:rowOff>0</xdr:rowOff>
                  </from>
                  <to>
                    <xdr:col>11</xdr:col>
                    <xdr:colOff>1098550</xdr:colOff>
                    <xdr:row>64</xdr:row>
                    <xdr:rowOff>190500</xdr:rowOff>
                  </to>
                </anchor>
              </controlPr>
            </control>
          </mc:Choice>
        </mc:AlternateContent>
        <mc:AlternateContent xmlns:mc="http://schemas.openxmlformats.org/markup-compatibility/2006">
          <mc:Choice Requires="x14">
            <control shapeId="9249" name="Spinner 33" r:id="rId32">
              <controlPr defaultSize="0">
                <anchor moveWithCells="1" sizeWithCells="1">
                  <from>
                    <xdr:col>8</xdr:col>
                    <xdr:colOff>869950</xdr:colOff>
                    <xdr:row>65</xdr:row>
                    <xdr:rowOff>12700</xdr:rowOff>
                  </from>
                  <to>
                    <xdr:col>8</xdr:col>
                    <xdr:colOff>984250</xdr:colOff>
                    <xdr:row>66</xdr:row>
                    <xdr:rowOff>0</xdr:rowOff>
                  </to>
                </anchor>
              </controlPr>
            </control>
          </mc:Choice>
        </mc:AlternateContent>
        <mc:AlternateContent xmlns:mc="http://schemas.openxmlformats.org/markup-compatibility/2006">
          <mc:Choice Requires="x14">
            <control shapeId="9250" name="Spinner 34" r:id="rId33">
              <controlPr defaultSize="0">
                <anchor moveWithCells="1" sizeWithCells="1">
                  <from>
                    <xdr:col>9</xdr:col>
                    <xdr:colOff>793750</xdr:colOff>
                    <xdr:row>65</xdr:row>
                    <xdr:rowOff>12700</xdr:rowOff>
                  </from>
                  <to>
                    <xdr:col>9</xdr:col>
                    <xdr:colOff>914400</xdr:colOff>
                    <xdr:row>66</xdr:row>
                    <xdr:rowOff>0</xdr:rowOff>
                  </to>
                </anchor>
              </controlPr>
            </control>
          </mc:Choice>
        </mc:AlternateContent>
        <mc:AlternateContent xmlns:mc="http://schemas.openxmlformats.org/markup-compatibility/2006">
          <mc:Choice Requires="x14">
            <control shapeId="9251" name="Spinner 35" r:id="rId34">
              <controlPr defaultSize="0">
                <anchor moveWithCells="1" sizeWithCells="1">
                  <from>
                    <xdr:col>10</xdr:col>
                    <xdr:colOff>908050</xdr:colOff>
                    <xdr:row>65</xdr:row>
                    <xdr:rowOff>12700</xdr:rowOff>
                  </from>
                  <to>
                    <xdr:col>10</xdr:col>
                    <xdr:colOff>1041400</xdr:colOff>
                    <xdr:row>66</xdr:row>
                    <xdr:rowOff>0</xdr:rowOff>
                  </to>
                </anchor>
              </controlPr>
            </control>
          </mc:Choice>
        </mc:AlternateContent>
        <mc:AlternateContent xmlns:mc="http://schemas.openxmlformats.org/markup-compatibility/2006">
          <mc:Choice Requires="x14">
            <control shapeId="9252" name="Spinner 36" r:id="rId35">
              <controlPr defaultSize="0">
                <anchor moveWithCells="1" sizeWithCells="1">
                  <from>
                    <xdr:col>11</xdr:col>
                    <xdr:colOff>965200</xdr:colOff>
                    <xdr:row>65</xdr:row>
                    <xdr:rowOff>0</xdr:rowOff>
                  </from>
                  <to>
                    <xdr:col>11</xdr:col>
                    <xdr:colOff>1098550</xdr:colOff>
                    <xdr:row>65</xdr:row>
                    <xdr:rowOff>190500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dimension ref="A1:DQ259"/>
  <sheetViews>
    <sheetView showGridLines="0" zoomScale="70" zoomScaleNormal="70" topLeftCell="I1" workbookViewId="0">
      <selection activeCell="K27" sqref="K27:L28"/>
    </sheetView>
  </sheetViews>
  <sheetFormatPr defaultColWidth="9" defaultRowHeight="35.25"/>
  <cols>
    <col min="1" max="1" width="16.3628318584071" style="62" customWidth="1"/>
    <col min="2" max="2" width="10" style="62" customWidth="1"/>
    <col min="3" max="3" width="10.6371681415929" style="62" customWidth="1"/>
    <col min="4" max="4" width="12.9026548672566" style="62" customWidth="1"/>
    <col min="5" max="5" width="13.9026548672566" style="62" customWidth="1"/>
    <col min="6" max="6" width="14.6371681415929" style="62" customWidth="1"/>
    <col min="7" max="7" width="9.08849557522124" style="63" customWidth="1"/>
    <col min="8" max="8" width="11.9026548672566" style="62" customWidth="1"/>
    <col min="9" max="9" width="14" style="62" customWidth="1"/>
    <col min="10" max="10" width="13" style="62" customWidth="1"/>
    <col min="11" max="11" width="14.3628318584071" style="62" customWidth="1"/>
    <col min="12" max="12" width="18.4513274336283" style="62" customWidth="1"/>
    <col min="13" max="13" width="11.9026548672566" style="62" customWidth="1"/>
    <col min="14" max="16" width="13.9026548672566" style="62" customWidth="1"/>
    <col min="17" max="17" width="14" style="62" customWidth="1"/>
    <col min="18" max="18" width="14.3628318584071" style="62" customWidth="1"/>
    <col min="19" max="19" width="13.9026548672566" style="62" customWidth="1"/>
    <col min="20" max="20" width="14.6371681415929" style="64" customWidth="1"/>
    <col min="21" max="21" width="13.9026548672566" style="62" customWidth="1"/>
    <col min="22" max="26" width="9.63716814159292" style="62" customWidth="1"/>
    <col min="27" max="27" width="20.6371681415929" style="63" customWidth="1"/>
    <col min="28" max="28" width="11.3628318584071" style="62" customWidth="1"/>
    <col min="29" max="29" width="10" style="62" customWidth="1"/>
    <col min="30" max="33" width="9.63716814159292" style="62" customWidth="1"/>
    <col min="34" max="34" width="9" style="63"/>
    <col min="35" max="35" width="8.90265486725664" style="62" customWidth="1"/>
    <col min="36" max="36" width="15" style="62" customWidth="1"/>
    <col min="37" max="39" width="13.9026548672566" style="62" customWidth="1"/>
    <col min="40" max="40" width="10.6371681415929" style="62" customWidth="1"/>
    <col min="41" max="41" width="13.9026548672566" style="62" customWidth="1"/>
    <col min="42" max="42" width="15" style="62" customWidth="1"/>
    <col min="43" max="44" width="10.6371681415929" style="62" customWidth="1"/>
    <col min="45" max="45" width="13" style="62" customWidth="1"/>
    <col min="46" max="51" width="10.6371681415929" style="62" customWidth="1"/>
    <col min="52" max="52" width="9" style="63"/>
    <col min="53" max="53" width="11.9026548672566" style="62" customWidth="1"/>
    <col min="54" max="57" width="11" style="62" customWidth="1"/>
    <col min="58" max="58" width="11.9026548672566" style="62" customWidth="1"/>
    <col min="59" max="59" width="10" style="62" customWidth="1"/>
    <col min="60" max="69" width="9.63716814159292" style="62" customWidth="1"/>
    <col min="70" max="71" width="9" style="62"/>
    <col min="72" max="74" width="9.63716814159292" style="62" customWidth="1"/>
    <col min="75" max="75" width="10" style="62" customWidth="1"/>
    <col min="76" max="76" width="9.63716814159292" style="62" customWidth="1"/>
    <col min="77" max="77" width="10" style="62" customWidth="1"/>
    <col min="78" max="78" width="9" style="62"/>
    <col min="79" max="87" width="9.63716814159292" style="62" customWidth="1"/>
    <col min="88" max="16384" width="9" style="62"/>
  </cols>
  <sheetData>
    <row r="1" s="59" customFormat="1" ht="16" customHeight="1" spans="1:121">
      <c r="A1" s="65" t="s">
        <v>489</v>
      </c>
      <c r="B1" s="65"/>
      <c r="C1" s="65"/>
      <c r="D1" s="65"/>
      <c r="E1" s="65"/>
      <c r="F1" s="65"/>
      <c r="G1" s="65"/>
      <c r="H1" s="65" t="s">
        <v>490</v>
      </c>
      <c r="I1" s="65"/>
      <c r="J1" s="65"/>
      <c r="K1" s="65"/>
      <c r="L1" s="65"/>
      <c r="M1" s="65"/>
      <c r="N1" s="65"/>
      <c r="O1" s="65"/>
      <c r="P1" s="65"/>
      <c r="Q1" s="65"/>
      <c r="R1" s="65"/>
      <c r="S1" s="65"/>
      <c r="T1" s="119"/>
      <c r="U1" s="65" t="s">
        <v>491</v>
      </c>
      <c r="V1" s="65"/>
      <c r="W1" s="65"/>
      <c r="X1" s="65"/>
      <c r="Y1" s="65"/>
      <c r="Z1" s="65"/>
      <c r="AA1" s="65"/>
      <c r="AB1" s="65" t="s">
        <v>492</v>
      </c>
      <c r="AC1" s="65"/>
      <c r="AD1" s="65"/>
      <c r="AE1" s="65"/>
      <c r="AF1" s="65"/>
      <c r="AG1" s="65"/>
      <c r="AH1" s="65"/>
      <c r="AI1" s="65" t="s">
        <v>493</v>
      </c>
      <c r="AJ1" s="65"/>
      <c r="AK1" s="65"/>
      <c r="AL1" s="65"/>
      <c r="AM1" s="65"/>
      <c r="AN1" s="65"/>
      <c r="AO1" s="65"/>
      <c r="AP1" s="65"/>
      <c r="AQ1" s="65"/>
      <c r="AR1" s="65"/>
      <c r="AS1" s="65"/>
      <c r="AT1" s="65"/>
      <c r="AU1" s="65"/>
      <c r="AV1" s="65"/>
      <c r="AW1" s="65"/>
      <c r="AX1" s="65"/>
      <c r="AY1" s="65"/>
      <c r="AZ1" s="191"/>
      <c r="BA1" s="191" t="s">
        <v>494</v>
      </c>
      <c r="BB1" s="191"/>
      <c r="BC1" s="191"/>
      <c r="BD1" s="191"/>
      <c r="BE1" s="191"/>
      <c r="BF1" s="191"/>
      <c r="BG1" s="191"/>
      <c r="BH1" s="191"/>
      <c r="BI1" s="191"/>
      <c r="BJ1" s="191"/>
      <c r="BK1" s="191"/>
      <c r="BL1" s="191"/>
      <c r="BM1" s="191"/>
      <c r="BN1" s="191"/>
      <c r="BO1" s="191"/>
      <c r="BP1" s="191"/>
      <c r="BQ1" s="191"/>
      <c r="BR1" s="210"/>
      <c r="BS1" s="191" t="s">
        <v>495</v>
      </c>
      <c r="BT1" s="191"/>
      <c r="BU1" s="191"/>
      <c r="BV1" s="191"/>
      <c r="BW1" s="191"/>
      <c r="BX1" s="191"/>
      <c r="BY1" s="191"/>
      <c r="BZ1" s="191"/>
      <c r="CA1" s="191"/>
      <c r="CB1" s="191"/>
      <c r="CC1" s="191"/>
      <c r="CD1" s="191"/>
      <c r="CE1" s="191"/>
      <c r="CF1" s="191"/>
      <c r="CG1" s="191"/>
      <c r="CH1" s="191"/>
      <c r="CI1" s="191"/>
      <c r="CJ1" s="224"/>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row>
    <row r="2" s="59" customFormat="1" ht="16" customHeight="1" spans="1:121">
      <c r="A2" s="65"/>
      <c r="B2" s="65"/>
      <c r="C2" s="65"/>
      <c r="D2" s="65"/>
      <c r="E2" s="65"/>
      <c r="F2" s="65"/>
      <c r="G2" s="65"/>
      <c r="H2" s="65"/>
      <c r="I2" s="65"/>
      <c r="J2" s="65"/>
      <c r="K2" s="65"/>
      <c r="L2" s="65"/>
      <c r="M2" s="65"/>
      <c r="N2" s="65"/>
      <c r="O2" s="65"/>
      <c r="P2" s="65"/>
      <c r="Q2" s="65"/>
      <c r="R2" s="65"/>
      <c r="S2" s="65"/>
      <c r="T2" s="119"/>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191"/>
      <c r="BA2" s="191"/>
      <c r="BB2" s="191"/>
      <c r="BC2" s="191"/>
      <c r="BD2" s="191"/>
      <c r="BE2" s="191"/>
      <c r="BF2" s="191"/>
      <c r="BG2" s="191"/>
      <c r="BH2" s="191"/>
      <c r="BI2" s="191"/>
      <c r="BJ2" s="191"/>
      <c r="BK2" s="191"/>
      <c r="BL2" s="191"/>
      <c r="BM2" s="191"/>
      <c r="BN2" s="191"/>
      <c r="BO2" s="191"/>
      <c r="BP2" s="191"/>
      <c r="BQ2" s="191"/>
      <c r="BR2" s="210"/>
      <c r="BS2" s="191"/>
      <c r="BT2" s="191"/>
      <c r="BU2" s="191"/>
      <c r="BV2" s="191"/>
      <c r="BW2" s="191"/>
      <c r="BX2" s="191"/>
      <c r="BY2" s="191"/>
      <c r="BZ2" s="191"/>
      <c r="CA2" s="191"/>
      <c r="CB2" s="191"/>
      <c r="CC2" s="191"/>
      <c r="CD2" s="191"/>
      <c r="CE2" s="191"/>
      <c r="CF2" s="191"/>
      <c r="CG2" s="191"/>
      <c r="CH2" s="191"/>
      <c r="CI2" s="191"/>
      <c r="CJ2" s="224"/>
      <c r="CK2" s="232"/>
      <c r="CL2" s="232"/>
      <c r="CM2" s="232"/>
      <c r="CN2" s="232"/>
      <c r="CO2" s="232"/>
      <c r="CP2" s="232"/>
      <c r="CQ2" s="232"/>
      <c r="CR2" s="232"/>
      <c r="CS2" s="232"/>
      <c r="CT2" s="232"/>
      <c r="CU2" s="232"/>
      <c r="CV2" s="232"/>
      <c r="CW2" s="232"/>
      <c r="CX2" s="232"/>
      <c r="CY2" s="232"/>
      <c r="CZ2" s="232"/>
      <c r="DA2" s="232"/>
      <c r="DB2" s="232"/>
      <c r="DC2" s="232"/>
      <c r="DD2" s="232"/>
      <c r="DE2" s="232"/>
      <c r="DF2" s="232"/>
      <c r="DG2" s="232"/>
      <c r="DH2" s="232"/>
      <c r="DI2" s="232"/>
      <c r="DJ2" s="232"/>
      <c r="DK2" s="232"/>
      <c r="DL2" s="232"/>
      <c r="DM2" s="232"/>
      <c r="DN2" s="232"/>
      <c r="DO2" s="232"/>
      <c r="DP2" s="232"/>
      <c r="DQ2" s="232"/>
    </row>
    <row r="3" s="60" customFormat="1" ht="16" customHeight="1" spans="1:121">
      <c r="A3" s="66"/>
      <c r="B3" s="66"/>
      <c r="C3" s="66"/>
      <c r="D3" s="66"/>
      <c r="E3" s="66"/>
      <c r="F3" s="66"/>
      <c r="G3" s="65"/>
      <c r="H3" s="67"/>
      <c r="I3" s="67"/>
      <c r="J3" s="67"/>
      <c r="K3" s="67"/>
      <c r="L3" s="67"/>
      <c r="M3" s="84"/>
      <c r="N3" s="67"/>
      <c r="O3" s="67"/>
      <c r="P3" s="67"/>
      <c r="Q3" s="67"/>
      <c r="R3" s="67"/>
      <c r="S3" s="67"/>
      <c r="T3" s="119"/>
      <c r="U3" s="67"/>
      <c r="V3" s="67"/>
      <c r="W3" s="67"/>
      <c r="X3" s="67"/>
      <c r="Y3" s="67"/>
      <c r="Z3" s="67"/>
      <c r="AA3" s="65"/>
      <c r="AB3" s="67"/>
      <c r="AC3" s="67"/>
      <c r="AD3" s="67"/>
      <c r="AE3" s="67"/>
      <c r="AF3" s="67"/>
      <c r="AG3" s="67"/>
      <c r="AH3" s="65"/>
      <c r="AI3" s="67"/>
      <c r="AJ3" s="67"/>
      <c r="AK3" s="67"/>
      <c r="AL3" s="67"/>
      <c r="AM3" s="67"/>
      <c r="AN3" s="67"/>
      <c r="AO3" s="67"/>
      <c r="AP3" s="67"/>
      <c r="AQ3" s="67"/>
      <c r="AR3" s="67"/>
      <c r="AS3" s="67"/>
      <c r="AT3" s="67"/>
      <c r="AU3" s="67"/>
      <c r="AV3" s="67"/>
      <c r="AW3" s="67"/>
      <c r="AX3" s="67"/>
      <c r="AY3" s="67"/>
      <c r="AZ3" s="191"/>
      <c r="BA3" s="192"/>
      <c r="BB3" s="192"/>
      <c r="BC3" s="192"/>
      <c r="BD3" s="192"/>
      <c r="BE3" s="192"/>
      <c r="BF3" s="192"/>
      <c r="BG3" s="192"/>
      <c r="BH3" s="192"/>
      <c r="BI3" s="192"/>
      <c r="BJ3" s="192"/>
      <c r="BK3" s="192"/>
      <c r="BL3" s="192"/>
      <c r="BM3" s="192"/>
      <c r="BN3" s="192"/>
      <c r="BO3" s="192"/>
      <c r="BP3" s="192"/>
      <c r="BQ3" s="192"/>
      <c r="BR3" s="210"/>
      <c r="BS3" s="192"/>
      <c r="BT3" s="192"/>
      <c r="BU3" s="192"/>
      <c r="BV3" s="192"/>
      <c r="BW3" s="192"/>
      <c r="BX3" s="192"/>
      <c r="BY3" s="192"/>
      <c r="BZ3" s="192"/>
      <c r="CA3" s="192"/>
      <c r="CB3" s="192"/>
      <c r="CC3" s="192"/>
      <c r="CD3" s="192"/>
      <c r="CE3" s="225" t="s">
        <v>738</v>
      </c>
      <c r="CF3" s="192"/>
      <c r="CG3" s="192"/>
      <c r="CH3" s="192"/>
      <c r="CI3" s="192"/>
      <c r="CJ3" s="224"/>
      <c r="CK3" s="233"/>
      <c r="CL3" s="233"/>
      <c r="CM3" s="233"/>
      <c r="CN3" s="233"/>
      <c r="CO3" s="233"/>
      <c r="CP3" s="233"/>
      <c r="CQ3" s="233"/>
      <c r="CR3" s="233"/>
      <c r="CS3" s="233"/>
      <c r="CT3" s="234"/>
      <c r="CU3" s="234"/>
      <c r="CV3" s="234"/>
      <c r="CW3" s="234"/>
      <c r="CX3" s="234"/>
      <c r="CY3" s="234"/>
      <c r="CZ3" s="234"/>
      <c r="DA3" s="234"/>
      <c r="DB3" s="234"/>
      <c r="DC3" s="234"/>
      <c r="DD3" s="234"/>
      <c r="DE3" s="234"/>
      <c r="DF3" s="234"/>
      <c r="DG3" s="234"/>
      <c r="DH3" s="234"/>
      <c r="DI3" s="234"/>
      <c r="DJ3" s="234"/>
      <c r="DK3" s="234"/>
      <c r="DL3" s="234"/>
      <c r="DM3" s="234"/>
      <c r="DN3" s="234"/>
      <c r="DO3" s="234"/>
      <c r="DP3" s="234"/>
      <c r="DQ3" s="234"/>
    </row>
    <row r="4" s="61" customFormat="1" ht="16" customHeight="1" spans="1:121">
      <c r="A4" s="269" t="s">
        <v>274</v>
      </c>
      <c r="B4" s="270"/>
      <c r="C4" s="270"/>
      <c r="D4" s="270"/>
      <c r="E4" s="270"/>
      <c r="F4" s="270"/>
      <c r="G4" s="70" t="e">
        <f>IF(O20=0,"未做决策",IF(MAX(T20:T23)&gt;=6,"价格打错","决策无误"))</f>
        <v>#DIV/0!</v>
      </c>
      <c r="H4" s="269" t="s">
        <v>497</v>
      </c>
      <c r="I4" s="270"/>
      <c r="J4" s="270"/>
      <c r="K4" s="270"/>
      <c r="L4" s="270"/>
      <c r="M4" s="85"/>
      <c r="N4" s="269" t="s">
        <v>475</v>
      </c>
      <c r="O4" s="270"/>
      <c r="P4" s="270"/>
      <c r="Q4" s="270"/>
      <c r="R4" s="270"/>
      <c r="S4" s="74"/>
      <c r="T4" s="120"/>
      <c r="U4" s="269" t="s">
        <v>498</v>
      </c>
      <c r="V4" s="269" t="s">
        <v>513</v>
      </c>
      <c r="W4" s="269" t="s">
        <v>514</v>
      </c>
      <c r="X4" s="269" t="s">
        <v>515</v>
      </c>
      <c r="Y4" s="269" t="s">
        <v>516</v>
      </c>
      <c r="Z4" s="269" t="s">
        <v>499</v>
      </c>
      <c r="AA4" s="269" t="s">
        <v>500</v>
      </c>
      <c r="AB4" s="154" t="s">
        <v>501</v>
      </c>
      <c r="AC4" s="154" t="s">
        <v>241</v>
      </c>
      <c r="AD4" s="154" t="s">
        <v>38</v>
      </c>
      <c r="AE4" s="154" t="s">
        <v>39</v>
      </c>
      <c r="AF4" s="154" t="s">
        <v>40</v>
      </c>
      <c r="AG4" s="154" t="s">
        <v>41</v>
      </c>
      <c r="AH4" s="73"/>
      <c r="AI4" s="68" t="s">
        <v>502</v>
      </c>
      <c r="AJ4" s="69"/>
      <c r="AK4" s="69"/>
      <c r="AL4" s="69"/>
      <c r="AM4" s="69"/>
      <c r="AN4" s="69"/>
      <c r="AO4" s="69"/>
      <c r="AP4" s="69"/>
      <c r="AQ4" s="69"/>
      <c r="AR4" s="69"/>
      <c r="AS4" s="69"/>
      <c r="AT4" s="69"/>
      <c r="AU4" s="69"/>
      <c r="AV4" s="69"/>
      <c r="AW4" s="69"/>
      <c r="AX4" s="69"/>
      <c r="AY4" s="69"/>
      <c r="AZ4" s="193"/>
      <c r="BA4" s="194" t="s">
        <v>503</v>
      </c>
      <c r="BB4" s="195"/>
      <c r="BC4" s="195"/>
      <c r="BD4" s="195"/>
      <c r="BE4" s="195"/>
      <c r="BF4" s="195"/>
      <c r="BG4" s="195"/>
      <c r="BH4" s="195"/>
      <c r="BI4" s="195"/>
      <c r="BJ4" s="195"/>
      <c r="BK4" s="195"/>
      <c r="BL4" s="195"/>
      <c r="BM4" s="195"/>
      <c r="BN4" s="195"/>
      <c r="BO4" s="195"/>
      <c r="BP4" s="195"/>
      <c r="BQ4" s="195"/>
      <c r="BR4" s="211"/>
      <c r="BS4" s="194" t="s">
        <v>504</v>
      </c>
      <c r="BT4" s="194" t="s">
        <v>505</v>
      </c>
      <c r="BU4" s="194" t="s">
        <v>506</v>
      </c>
      <c r="BV4" s="194" t="s">
        <v>262</v>
      </c>
      <c r="BW4" s="194" t="s">
        <v>507</v>
      </c>
      <c r="BX4" s="194" t="s">
        <v>508</v>
      </c>
      <c r="BY4" s="194" t="s">
        <v>264</v>
      </c>
      <c r="BZ4" s="194" t="s">
        <v>268</v>
      </c>
      <c r="CA4" s="194" t="s">
        <v>272</v>
      </c>
      <c r="CB4" s="194" t="s">
        <v>270</v>
      </c>
      <c r="CC4" s="194" t="s">
        <v>509</v>
      </c>
      <c r="CD4" s="194" t="s">
        <v>510</v>
      </c>
      <c r="CE4" s="194" t="s">
        <v>511</v>
      </c>
      <c r="CF4" s="194" t="s">
        <v>512</v>
      </c>
      <c r="CG4" s="226"/>
      <c r="CH4" s="226"/>
      <c r="CI4" s="227"/>
      <c r="CJ4" s="228"/>
      <c r="CK4" s="227"/>
      <c r="CL4" s="228"/>
      <c r="CM4" s="228"/>
      <c r="CN4" s="228"/>
      <c r="CO4" s="228"/>
      <c r="CP4" s="228"/>
      <c r="CQ4" s="228"/>
      <c r="CR4" s="228"/>
      <c r="CS4" s="228"/>
      <c r="CT4" s="227"/>
      <c r="CU4" s="227"/>
      <c r="CV4" s="227"/>
      <c r="CW4" s="227"/>
      <c r="CX4" s="227"/>
      <c r="CY4" s="227"/>
      <c r="CZ4" s="227"/>
      <c r="DA4" s="227"/>
      <c r="DB4" s="228"/>
      <c r="DC4" s="228"/>
      <c r="DD4" s="228"/>
      <c r="DE4" s="228"/>
      <c r="DF4" s="228"/>
      <c r="DG4" s="228"/>
      <c r="DH4" s="228"/>
      <c r="DI4" s="228"/>
      <c r="DJ4" s="228"/>
      <c r="DK4" s="228"/>
      <c r="DL4" s="228"/>
      <c r="DM4" s="228"/>
      <c r="DN4" s="228"/>
      <c r="DO4" s="228"/>
      <c r="DP4" s="228"/>
      <c r="DQ4" s="228"/>
    </row>
    <row r="5" s="61" customFormat="1" ht="16" customHeight="1" spans="1:121">
      <c r="A5" s="269" t="s">
        <v>475</v>
      </c>
      <c r="B5" s="269" t="s">
        <v>513</v>
      </c>
      <c r="C5" s="269" t="s">
        <v>514</v>
      </c>
      <c r="D5" s="269" t="s">
        <v>515</v>
      </c>
      <c r="E5" s="269" t="s">
        <v>516</v>
      </c>
      <c r="F5" s="269" t="s">
        <v>276</v>
      </c>
      <c r="G5" s="70" t="str">
        <f>IF(AI24="","未粘报表","已粘报表")</f>
        <v>未粘报表</v>
      </c>
      <c r="H5" s="269" t="s">
        <v>283</v>
      </c>
      <c r="I5" s="269" t="s">
        <v>347</v>
      </c>
      <c r="J5" s="269" t="s">
        <v>517</v>
      </c>
      <c r="K5" s="269" t="s">
        <v>518</v>
      </c>
      <c r="L5" s="269" t="s">
        <v>519</v>
      </c>
      <c r="M5" s="85"/>
      <c r="N5" s="269" t="s">
        <v>520</v>
      </c>
      <c r="O5" s="269" t="s">
        <v>521</v>
      </c>
      <c r="P5" s="269" t="s">
        <v>522</v>
      </c>
      <c r="Q5" s="269" t="s">
        <v>523</v>
      </c>
      <c r="R5" s="269" t="s">
        <v>524</v>
      </c>
      <c r="S5" s="121"/>
      <c r="T5" s="120"/>
      <c r="U5" s="269" t="s">
        <v>521</v>
      </c>
      <c r="V5" s="77">
        <f>第3期!AP9</f>
        <v>0</v>
      </c>
      <c r="W5" s="77">
        <f>第3期!AP10</f>
        <v>0</v>
      </c>
      <c r="X5" s="77">
        <f>第3期!AP11</f>
        <v>0</v>
      </c>
      <c r="Y5" s="77">
        <f>第3期!AP12</f>
        <v>0</v>
      </c>
      <c r="Z5" s="77">
        <f>第3期!AJ26</f>
        <v>0</v>
      </c>
      <c r="AA5" s="77" t="e">
        <f>(V5+W5+X5+Y5)*AC11</f>
        <v>#DIV/0!</v>
      </c>
      <c r="AB5" s="154" t="s">
        <v>521</v>
      </c>
      <c r="AC5" s="152" t="e">
        <f>初始化表!$B$8*初始化表!E17*初始化表!$H$5/1300+初始化表!$B$12*初始化表!E17/1300+初始化表!E19+初始化表!E18*(-C35-C44)/(SUM(B17:E17)*初始化表!E18+SUM(B18:E18)*初始化表!F18+SUM(B19:E19)*初始化表!G18+SUM(B20:E20)*初始化表!H18)</f>
        <v>#DIV/0!</v>
      </c>
      <c r="AD5" s="153" t="e">
        <f>$AC5+初始化表!L19+$F6*B6/SUMPRODUCT($B6:$E6,$V42:$Y42)+B$10*B6/SUMPRODUCT(B$6:B$9,V$42:V$45)+初始化表!L13/I63+(IF(I25+J25=0,0,1)*初始化表!H25+IF(K25+L25=0,0,1)*初始化表!I25)/(I63+J63+K63+L63)</f>
        <v>#DIV/0!</v>
      </c>
      <c r="AE5" s="153" t="e">
        <f>$AC5+初始化表!M19+$F6*C6/SUMPRODUCT($B6:$E6,$V42:$Y42)+C$10*C6/SUMPRODUCT(C$6:C$9,W$42:W$45)+初始化表!M13/J63+(IF(I25+J25=0,0,1)*初始化表!H25+IF(K25+L25=0,0,1)*初始化表!I25)/(I63+J63+K63+L63)</f>
        <v>#DIV/0!</v>
      </c>
      <c r="AF5" s="153" t="e">
        <f>$AC5+初始化表!N19+$F6*D6/SUMPRODUCT($B6:$E6,$V42:$Y42)+D$10*D6/SUMPRODUCT(D$6:D$9,X$42:X$45)+初始化表!N13/K63+(IF(I25+J25=0,0,1)*初始化表!H25+IF(K25+L25=0,0,1)*初始化表!I25)/(I63+J63+K63+L63)</f>
        <v>#DIV/0!</v>
      </c>
      <c r="AG5" s="153" t="e">
        <f>$AC5+初始化表!O19+$F6*E6/SUMPRODUCT($B6:$E6,$V42:$Y42)+E$10*E6/SUMPRODUCT(E$6:E$9,Y$42:Y$45)+初始化表!O13/L63+(IF(I25+J25=0,0,1)*初始化表!H25+IF(K25+L25=0,0,1)*初始化表!I25)/(I63+J63+K63+L63)</f>
        <v>#DIV/0!</v>
      </c>
      <c r="AH5" s="73"/>
      <c r="AI5" s="69"/>
      <c r="AJ5" s="69"/>
      <c r="AK5" s="69"/>
      <c r="AL5" s="69"/>
      <c r="AM5" s="69"/>
      <c r="AN5" s="69"/>
      <c r="AO5" s="69"/>
      <c r="AP5" s="69"/>
      <c r="AQ5" s="69"/>
      <c r="AR5" s="69"/>
      <c r="AS5" s="69"/>
      <c r="AT5" s="69"/>
      <c r="AU5" s="69"/>
      <c r="AV5" s="69"/>
      <c r="AW5" s="69"/>
      <c r="AX5" s="69"/>
      <c r="AY5" s="69"/>
      <c r="AZ5" s="193"/>
      <c r="BA5" s="194" t="s">
        <v>37</v>
      </c>
      <c r="BB5" s="194" t="s">
        <v>521</v>
      </c>
      <c r="BC5" s="195"/>
      <c r="BD5" s="195"/>
      <c r="BE5" s="195"/>
      <c r="BF5" s="194" t="s">
        <v>522</v>
      </c>
      <c r="BG5" s="195"/>
      <c r="BH5" s="195"/>
      <c r="BI5" s="195"/>
      <c r="BJ5" s="194" t="s">
        <v>523</v>
      </c>
      <c r="BK5" s="195"/>
      <c r="BL5" s="195"/>
      <c r="BM5" s="195"/>
      <c r="BN5" s="194" t="s">
        <v>524</v>
      </c>
      <c r="BO5" s="195"/>
      <c r="BP5" s="195"/>
      <c r="BQ5" s="195"/>
      <c r="BR5" s="211"/>
      <c r="BS5" s="195">
        <f t="shared" ref="BS5:BS24" si="0">BA7</f>
        <v>0</v>
      </c>
      <c r="BT5" s="201">
        <f t="shared" ref="BT5:BT24" si="1">IF(BS5=0,0,1)</f>
        <v>0</v>
      </c>
      <c r="BU5" s="201">
        <f>第3期!AQ107*0.5</f>
        <v>0</v>
      </c>
      <c r="BV5" s="205" t="e">
        <f>AVERAGE(BT30:CI30)*初始化表!B$31</f>
        <v>#DIV/0!</v>
      </c>
      <c r="BW5" s="205" t="e">
        <f>$BT5*(AL107-BW$25)/BW$26*初始化表!B$30</f>
        <v>#DIV/0!</v>
      </c>
      <c r="BX5" s="205" t="e">
        <f>$BT5*(AM107-BX$25)/BX$26*初始化表!B$33</f>
        <v>#DIV/0!</v>
      </c>
      <c r="BY5" s="205" t="e">
        <f>$BT5*(AN107-BY$25)/BY$26*初始化表!B$32</f>
        <v>#DIV/0!</v>
      </c>
      <c r="BZ5" s="205" t="e">
        <f>$BT5*(AP107-BZ$25)/BZ$26*初始化表!B$34</f>
        <v>#DIV/0!</v>
      </c>
      <c r="CA5" s="205" t="e">
        <f>$BT$5*(AW107-CA$25)/CA$26*初始化表!B$36</f>
        <v>#DIV/0!</v>
      </c>
      <c r="CB5" s="205" t="e">
        <f>CE5-CC5-BU5-SUM(BV5:CA5)/2</f>
        <v>#DIV/0!</v>
      </c>
      <c r="CC5" s="201">
        <f>IF(AO107-AX107&gt;=0,0,-0.1*(1-EXP(2*10^(-6)*(AO107-AX107))))</f>
        <v>0</v>
      </c>
      <c r="CD5" s="229" t="e">
        <f>SUM(BV5:CB5)</f>
        <v>#DIV/0!</v>
      </c>
      <c r="CE5" s="229">
        <f>AQ107</f>
        <v>0</v>
      </c>
      <c r="CF5" s="229">
        <f>BU5*2</f>
        <v>0</v>
      </c>
      <c r="CG5" s="226"/>
      <c r="CH5" s="226"/>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c r="DP5" s="228"/>
      <c r="DQ5" s="228"/>
    </row>
    <row r="6" s="61" customFormat="1" ht="16" customHeight="1" spans="1:121">
      <c r="A6" s="269" t="s">
        <v>521</v>
      </c>
      <c r="B6" s="71" t="e">
        <f>O20</f>
        <v>#DIV/0!</v>
      </c>
      <c r="C6" s="71" t="e">
        <f t="shared" ref="C6:E9" si="2">P20</f>
        <v>#DIV/0!</v>
      </c>
      <c r="D6" s="71" t="e">
        <f t="shared" si="2"/>
        <v>#DIV/0!</v>
      </c>
      <c r="E6" s="71" t="e">
        <f t="shared" si="2"/>
        <v>#DIV/0!</v>
      </c>
      <c r="F6" s="72" t="e">
        <f>O28</f>
        <v>#DIV/0!</v>
      </c>
      <c r="G6" s="73"/>
      <c r="H6" s="269" t="s">
        <v>521</v>
      </c>
      <c r="I6" s="72">
        <f>第3期!I6+第3期!J6</f>
        <v>0</v>
      </c>
      <c r="J6" s="86"/>
      <c r="K6" s="87">
        <f>IF(IF((I6+F17)&gt;=初始化表!I31,5,IF((I6+F17)&gt;=初始化表!H31,4,IF((I6+F17)&gt;=初始化表!G31,3,IF((I6+F17)&gt;=初始化表!F31,2,IF((I6+F17)&gt;=初始化表!E31,1,0)))))+IF(I6+F17&gt;初始化表!E31,O$45)&lt;第3期!K6+1,IF((I6+F17)&gt;=初始化表!I31,5,IF((I6+F17)&gt;=初始化表!H31,4,IF((I6+F17)&gt;=初始化表!G31,3,IF((I6+F17)&gt;=初始化表!F31,2,IF((I6+F17)&gt;=初始化表!E31,1,0)))))+IF(I6+F17&gt;初始化表!E31,O$45),第3期!K6+1)</f>
        <v>4</v>
      </c>
      <c r="L6" s="72">
        <f>IF(I6&lt;初始化表!E31,初始化表!E31-I6,IF(I6&lt;初始化表!F31,初始化表!F31-I6,IF(I6&lt;初始化表!G31,初始化表!G31-I6,IF(I6&lt;初始化表!H31,初始化表!H31-I6,IF(I6&lt;初始化表!I31,初始化表!I31-I6,0)))))</f>
        <v>0</v>
      </c>
      <c r="M6" s="85"/>
      <c r="N6" s="269" t="s">
        <v>525</v>
      </c>
      <c r="O6" s="88">
        <f>第3期!O6+0.0005</f>
        <v>0.0395</v>
      </c>
      <c r="P6" s="88">
        <f>第3期!P6+0.0005</f>
        <v>0.0395</v>
      </c>
      <c r="Q6" s="88">
        <f>第3期!Q6+0.0005</f>
        <v>0.0395</v>
      </c>
      <c r="R6" s="88">
        <f>第3期!R6+0.0005</f>
        <v>0.0395</v>
      </c>
      <c r="S6" s="122"/>
      <c r="T6" s="120"/>
      <c r="U6" s="269" t="s">
        <v>522</v>
      </c>
      <c r="V6" s="77">
        <f>第3期!AP13</f>
        <v>0</v>
      </c>
      <c r="W6" s="77">
        <f>第3期!AP14</f>
        <v>0</v>
      </c>
      <c r="X6" s="77">
        <f>第3期!AP15</f>
        <v>0</v>
      </c>
      <c r="Y6" s="77">
        <f>第3期!AP16</f>
        <v>0</v>
      </c>
      <c r="Z6" s="77">
        <f>第3期!AJ27</f>
        <v>0</v>
      </c>
      <c r="AA6" s="77" t="e">
        <f t="shared" ref="AA6:AA8" si="3">(V6+W6+X6+Y6)*AC12</f>
        <v>#DIV/0!</v>
      </c>
      <c r="AB6" s="154" t="s">
        <v>522</v>
      </c>
      <c r="AC6" s="152" t="e">
        <f>初始化表!$B$8*初始化表!F17*初始化表!$H$5/1300+初始化表!$B$12*初始化表!F17/1300+初始化表!F19+初始化表!F18*(-C35-C44)/(SUM(B17:E17)*初始化表!E18+SUM(B18:E18)*初始化表!F18+SUM(B19:E19)*初始化表!G18+SUM(B20:E20)*初始化表!H18)</f>
        <v>#DIV/0!</v>
      </c>
      <c r="AD6" s="153" t="e">
        <f>$AC6+初始化表!L20+$F7*B7/SUMPRODUCT($B7:$E7,$V43:$Y43)+B$10*B7/SUMPRODUCT(B$6:B$9,V$42:V$45)+初始化表!L14/I64+(IF(I26+J26=0,0,1)*初始化表!H26+IF(K26+L26=0,0,1)*初始化表!I26)/(I64+J64+K64+L64)</f>
        <v>#DIV/0!</v>
      </c>
      <c r="AE6" s="153" t="e">
        <f>$AC6+初始化表!M20+$F7*C7/SUMPRODUCT($B7:$E7,$V43:$Y43)+C$10*C7/SUMPRODUCT(C$6:C$9,W$42:W$45)+初始化表!M14/J64+(IF(I26+J26=0,0,1)*初始化表!H26+IF(K26+L26=0,0,1)*初始化表!I26)/(I64+J64+K64+L64)</f>
        <v>#DIV/0!</v>
      </c>
      <c r="AF6" s="153" t="e">
        <f>$AC6+初始化表!N20+$F7*D7/SUMPRODUCT($B7:$E7,$V43:$Y43)+D$10*D7/SUMPRODUCT(D$6:D$9,X$42:X$45)+初始化表!N14/K64+(IF(I26+J26=0,0,1)*初始化表!H26+IF(K26+L26=0,0,1)*初始化表!I26)/(I64+J64+K64+L64)</f>
        <v>#DIV/0!</v>
      </c>
      <c r="AG6" s="153" t="e">
        <f>$AC6+初始化表!O20+$F7*E7/SUMPRODUCT($B7:$E7,$V43:$Y43)+E$10*E7/SUMPRODUCT(E$6:E$9,Y$42:Y$45)+初始化表!O14/L64+(IF(I26+J26=0,0,1)*初始化表!H26+IF(K26+L26=0,0,1)*初始化表!I26)/(I64+J64+K64+L64)</f>
        <v>#DIV/0!</v>
      </c>
      <c r="AH6" s="73"/>
      <c r="AZ6" s="193"/>
      <c r="BA6" s="195"/>
      <c r="BB6" s="194" t="s">
        <v>513</v>
      </c>
      <c r="BC6" s="194" t="s">
        <v>514</v>
      </c>
      <c r="BD6" s="194" t="s">
        <v>515</v>
      </c>
      <c r="BE6" s="194" t="s">
        <v>516</v>
      </c>
      <c r="BF6" s="194" t="s">
        <v>513</v>
      </c>
      <c r="BG6" s="194" t="s">
        <v>514</v>
      </c>
      <c r="BH6" s="194" t="s">
        <v>515</v>
      </c>
      <c r="BI6" s="194" t="s">
        <v>516</v>
      </c>
      <c r="BJ6" s="194" t="s">
        <v>513</v>
      </c>
      <c r="BK6" s="194" t="s">
        <v>514</v>
      </c>
      <c r="BL6" s="194" t="s">
        <v>515</v>
      </c>
      <c r="BM6" s="194" t="s">
        <v>516</v>
      </c>
      <c r="BN6" s="194" t="s">
        <v>513</v>
      </c>
      <c r="BO6" s="194" t="s">
        <v>514</v>
      </c>
      <c r="BP6" s="194" t="s">
        <v>515</v>
      </c>
      <c r="BQ6" s="194" t="s">
        <v>516</v>
      </c>
      <c r="BR6" s="211"/>
      <c r="BS6" s="195">
        <f t="shared" si="0"/>
        <v>0</v>
      </c>
      <c r="BT6" s="201">
        <f t="shared" si="1"/>
        <v>0</v>
      </c>
      <c r="BU6" s="201">
        <f>第3期!AQ108*0.5</f>
        <v>0</v>
      </c>
      <c r="BV6" s="205" t="e">
        <f>AVERAGE(BT31:CI31)*初始化表!B$31</f>
        <v>#DIV/0!</v>
      </c>
      <c r="BW6" s="205" t="e">
        <f>$BT6*(AL108-BW$25)/BW$26*初始化表!B$30</f>
        <v>#DIV/0!</v>
      </c>
      <c r="BX6" s="205" t="e">
        <f>$BT6*(AM108-BX$25)/BX$26*初始化表!B$33</f>
        <v>#DIV/0!</v>
      </c>
      <c r="BY6" s="205" t="e">
        <f>$BT6*(AN108-BY$25)/BY$26*初始化表!B$32</f>
        <v>#DIV/0!</v>
      </c>
      <c r="BZ6" s="205" t="e">
        <f>$BT6*(AP108-BZ$25)/BZ$26*初始化表!B$34</f>
        <v>#DIV/0!</v>
      </c>
      <c r="CA6" s="205" t="e">
        <f>$BT$5*(AW108-CA$25)/CA$26*初始化表!B$36</f>
        <v>#DIV/0!</v>
      </c>
      <c r="CB6" s="205" t="e">
        <f t="shared" ref="CB6:CB24" si="4">CE6-CC6-BU6-SUM(BV6:CA6)/2</f>
        <v>#DIV/0!</v>
      </c>
      <c r="CC6" s="201">
        <f t="shared" ref="CC6:CC24" si="5">IF(AO108-AX108&gt;=0,0,-0.1*(1-EXP(2*10^(-6)*(AO108-AX108))))</f>
        <v>0</v>
      </c>
      <c r="CD6" s="229" t="e">
        <f t="shared" ref="CD6:CD24" si="6">SUM(BV6:CB6)</f>
        <v>#DIV/0!</v>
      </c>
      <c r="CE6" s="229">
        <f t="shared" ref="CE6:CE24" si="7">AQ108</f>
        <v>0</v>
      </c>
      <c r="CF6" s="229">
        <f t="shared" ref="CF6:CF24" si="8">BU6*2</f>
        <v>0</v>
      </c>
      <c r="CG6" s="226"/>
      <c r="CH6" s="226"/>
      <c r="CI6" s="227"/>
      <c r="CJ6" s="228"/>
      <c r="CK6" s="227"/>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c r="DP6" s="228"/>
      <c r="DQ6" s="228"/>
    </row>
    <row r="7" s="61" customFormat="1" ht="16" customHeight="1" spans="1:121">
      <c r="A7" s="269" t="s">
        <v>522</v>
      </c>
      <c r="B7" s="71" t="e">
        <f t="shared" ref="B7:B9" si="9">O21</f>
        <v>#DIV/0!</v>
      </c>
      <c r="C7" s="71" t="e">
        <f t="shared" si="2"/>
        <v>#DIV/0!</v>
      </c>
      <c r="D7" s="71" t="e">
        <f t="shared" si="2"/>
        <v>#DIV/0!</v>
      </c>
      <c r="E7" s="71" t="e">
        <f t="shared" si="2"/>
        <v>#DIV/0!</v>
      </c>
      <c r="F7" s="72" t="e">
        <f>P28</f>
        <v>#DIV/0!</v>
      </c>
      <c r="G7" s="73"/>
      <c r="H7" s="269" t="s">
        <v>522</v>
      </c>
      <c r="I7" s="72">
        <f>第3期!I7+第3期!J7</f>
        <v>0</v>
      </c>
      <c r="J7" s="86"/>
      <c r="K7" s="87">
        <f>IF(IF((I7+F18)&gt;=初始化表!I32,5,IF((I7+F18)&gt;=初始化表!H32,4,IF((I7+F18)&gt;=初始化表!G32,3,IF((I7+F18)&gt;=初始化表!F32,2,IF((I7+F18)&gt;=初始化表!E32,1,0)))))+IF(I7+F18&gt;初始化表!E32,O$45)&lt;第3期!K7+1,IF((I7+F18)&gt;=初始化表!I32,5,IF((I7+F18)&gt;=初始化表!H32,4,IF((I7+F18)&gt;=初始化表!G32,3,IF((I7+F18)&gt;=初始化表!F32,2,IF((I7+F18)&gt;=初始化表!E32,1,0)))))+IF(I7+F18&gt;初始化表!E32,O$45),第3期!K7+1)</f>
        <v>4</v>
      </c>
      <c r="L7" s="72">
        <f>IF(I7&lt;初始化表!E32,初始化表!E32-I7,IF(I7&lt;初始化表!F32,初始化表!F32-I7,IF(I7&lt;初始化表!G32,初始化表!G32-I7,IF(I7&lt;初始化表!H32,初始化表!H32-I7,IF(I7&lt;初始化表!I32,初始化表!I32-I7,0)))))</f>
        <v>0</v>
      </c>
      <c r="M7" s="85"/>
      <c r="N7" s="269" t="s">
        <v>526</v>
      </c>
      <c r="O7" s="269" t="s">
        <v>513</v>
      </c>
      <c r="P7" s="269" t="s">
        <v>514</v>
      </c>
      <c r="Q7" s="269" t="s">
        <v>515</v>
      </c>
      <c r="R7" s="269" t="s">
        <v>516</v>
      </c>
      <c r="S7" s="121"/>
      <c r="T7" s="120"/>
      <c r="U7" s="269" t="s">
        <v>523</v>
      </c>
      <c r="V7" s="77">
        <f>第3期!AP17</f>
        <v>0</v>
      </c>
      <c r="W7" s="77">
        <f>第3期!AP18</f>
        <v>0</v>
      </c>
      <c r="X7" s="77">
        <f>第3期!AP19</f>
        <v>0</v>
      </c>
      <c r="Y7" s="77">
        <f>第3期!AP20</f>
        <v>0</v>
      </c>
      <c r="Z7" s="77">
        <f>第3期!AJ28</f>
        <v>0</v>
      </c>
      <c r="AA7" s="77" t="e">
        <f t="shared" si="3"/>
        <v>#DIV/0!</v>
      </c>
      <c r="AB7" s="154" t="s">
        <v>523</v>
      </c>
      <c r="AC7" s="152" t="e">
        <f>初始化表!$B$8*初始化表!G17*初始化表!$H$5/1300+初始化表!$B$12*初始化表!G17/1300+初始化表!G19+初始化表!G18*(-C35-C44)/(SUM(B17:E17)*初始化表!E18+SUM(B18:E18)*初始化表!F18+SUM(B19:E19)*初始化表!G18+SUM(B20:E20)*初始化表!H18)</f>
        <v>#DIV/0!</v>
      </c>
      <c r="AD7" s="153" t="e">
        <f>$AC7+初始化表!L21+$F8*B8/SUMPRODUCT($B8:$E8,$V44:$Y44)+B$10*B8/SUMPRODUCT(B$6:B$9,V$42:V$45)+初始化表!L15/I65+(IF(I27+J27=0,0,1)*初始化表!H27+IF(K27+L27=0,0,1)*初始化表!I27)/(I65+J65+K65+L65)</f>
        <v>#DIV/0!</v>
      </c>
      <c r="AE7" s="153" t="e">
        <f>$AC7+初始化表!M21+$F8*C8/SUMPRODUCT($B8:$E8,$V44:$Y44)+C$10*C8/SUMPRODUCT(C$6:C$9,W$42:W$45)+初始化表!M15/J65+(IF(I27+J27=0,0,1)*初始化表!H27+IF(K27+L27=0,0,1)*初始化表!I27)/(I65+J65+K65+L65)</f>
        <v>#DIV/0!</v>
      </c>
      <c r="AF7" s="153" t="e">
        <f>$AC7+初始化表!N21+$F8*D8/SUMPRODUCT($B8:$E8,$V44:$Y44)+D$10*D8/SUMPRODUCT(D$6:D$9,X$42:X$45)+初始化表!N15/K65+(IF(I27+J27=0,0,1)*初始化表!H27+IF(K27+L27=0,0,1)*初始化表!I27)/(I65+J65+K65+L65)</f>
        <v>#DIV/0!</v>
      </c>
      <c r="AG7" s="153" t="e">
        <f>$AC7+初始化表!O21+$F8*E8/SUMPRODUCT($B8:$E8,$V44:$Y44)+E$10*E8/SUMPRODUCT(E$6:E$9,Y$42:Y$45)+初始化表!O15/L65+(IF(I27+J27=0,0,1)*初始化表!H27+IF(K27+L27=0,0,1)*初始化表!I27)/(I65+J65+K65+L65)</f>
        <v>#DIV/0!</v>
      </c>
      <c r="AH7" s="73"/>
      <c r="AI7" s="68" t="s">
        <v>424</v>
      </c>
      <c r="AJ7" s="69"/>
      <c r="AK7" s="69"/>
      <c r="AL7" s="69"/>
      <c r="AM7" s="69"/>
      <c r="AN7" s="69"/>
      <c r="AO7" s="69"/>
      <c r="AP7" s="69"/>
      <c r="AQ7" s="69"/>
      <c r="AZ7" s="193"/>
      <c r="BA7" s="196">
        <f t="shared" ref="BA7:BA26" si="10">AI37</f>
        <v>0</v>
      </c>
      <c r="BB7" s="197">
        <f t="shared" ref="BB7:BB26" si="11">IF($BA7="","",INT(BB$28*AJ61))</f>
        <v>0</v>
      </c>
      <c r="BC7" s="197">
        <f t="shared" ref="BC7:BC26" si="12">IF($BA7="","",INT(BC$28*AK61))</f>
        <v>0</v>
      </c>
      <c r="BD7" s="197">
        <f t="shared" ref="BD7:BD26" si="13">IF($BA7="","",INT(BD$28*AL61))</f>
        <v>0</v>
      </c>
      <c r="BE7" s="197">
        <f t="shared" ref="BE7:BE26" si="14">IF($BA7="","",INT(BE$28*AM61))</f>
        <v>0</v>
      </c>
      <c r="BF7" s="197">
        <f t="shared" ref="BF7:BF26" si="15">IF($BA7="","",INT(BF$28*AN61))</f>
        <v>0</v>
      </c>
      <c r="BG7" s="197">
        <f t="shared" ref="BG7:BG26" si="16">IF($BA7="","",INT(BG$28*AO61))</f>
        <v>0</v>
      </c>
      <c r="BH7" s="197">
        <f t="shared" ref="BH7:BH26" si="17">IF($BA7="","",INT(BH$28*AP61))</f>
        <v>0</v>
      </c>
      <c r="BI7" s="197">
        <f t="shared" ref="BI7:BI26" si="18">IF($BA7="","",INT(BI$28*AQ61))</f>
        <v>0</v>
      </c>
      <c r="BJ7" s="197">
        <f t="shared" ref="BJ7:BJ26" si="19">IF($BA7="","",INT(BJ$28*AR61))</f>
        <v>0</v>
      </c>
      <c r="BK7" s="197">
        <f t="shared" ref="BK7:BK26" si="20">IF($BA7="","",INT(BK$28*AS61))</f>
        <v>0</v>
      </c>
      <c r="BL7" s="197">
        <f t="shared" ref="BL7:BL26" si="21">IF($BA7="","",INT(BL$28*AT61))</f>
        <v>0</v>
      </c>
      <c r="BM7" s="197">
        <f t="shared" ref="BM7:BM26" si="22">IF($BA7="","",INT(BM$28*AU61))</f>
        <v>0</v>
      </c>
      <c r="BN7" s="197">
        <f t="shared" ref="BN7:BN26" si="23">IF($BA7="","",INT(BN$28*AV61))</f>
        <v>0</v>
      </c>
      <c r="BO7" s="197">
        <f t="shared" ref="BO7:BO26" si="24">IF($BA7="","",INT(BO$28*AW61))</f>
        <v>0</v>
      </c>
      <c r="BP7" s="197">
        <f t="shared" ref="BP7:BP26" si="25">IF($BA7="","",INT(BP$28*AX61))</f>
        <v>0</v>
      </c>
      <c r="BQ7" s="197">
        <f t="shared" ref="BQ7:BQ26" si="26">IF($BA7="","",INT(BQ$28*AY61))</f>
        <v>0</v>
      </c>
      <c r="BR7" s="211"/>
      <c r="BS7" s="195">
        <f t="shared" si="0"/>
        <v>0</v>
      </c>
      <c r="BT7" s="201">
        <f t="shared" si="1"/>
        <v>0</v>
      </c>
      <c r="BU7" s="201">
        <f>第3期!AQ109*0.5</f>
        <v>0</v>
      </c>
      <c r="BV7" s="205" t="e">
        <f>AVERAGE(BT32:CI32)*初始化表!B$31</f>
        <v>#DIV/0!</v>
      </c>
      <c r="BW7" s="205" t="e">
        <f>$BT7*(AL109-BW$25)/BW$26*初始化表!B$30</f>
        <v>#DIV/0!</v>
      </c>
      <c r="BX7" s="205" t="e">
        <f>$BT7*(AM109-BX$25)/BX$26*初始化表!B$33</f>
        <v>#DIV/0!</v>
      </c>
      <c r="BY7" s="205" t="e">
        <f>$BT7*(AN109-BY$25)/BY$26*初始化表!B$32</f>
        <v>#DIV/0!</v>
      </c>
      <c r="BZ7" s="205" t="e">
        <f>$BT7*(AP109-BZ$25)/BZ$26*初始化表!B$34</f>
        <v>#DIV/0!</v>
      </c>
      <c r="CA7" s="205" t="e">
        <f>$BT$5*(AW109-CA$25)/CA$26*初始化表!B$36</f>
        <v>#DIV/0!</v>
      </c>
      <c r="CB7" s="205" t="e">
        <f t="shared" si="4"/>
        <v>#DIV/0!</v>
      </c>
      <c r="CC7" s="201">
        <f t="shared" si="5"/>
        <v>0</v>
      </c>
      <c r="CD7" s="229" t="e">
        <f t="shared" si="6"/>
        <v>#DIV/0!</v>
      </c>
      <c r="CE7" s="229">
        <f t="shared" si="7"/>
        <v>0</v>
      </c>
      <c r="CF7" s="229">
        <f t="shared" si="8"/>
        <v>0</v>
      </c>
      <c r="CG7" s="226"/>
      <c r="CH7" s="226"/>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row>
    <row r="8" s="61" customFormat="1" ht="16" customHeight="1" spans="1:121">
      <c r="A8" s="269" t="s">
        <v>523</v>
      </c>
      <c r="B8" s="71" t="e">
        <f t="shared" si="9"/>
        <v>#DIV/0!</v>
      </c>
      <c r="C8" s="71" t="e">
        <f t="shared" si="2"/>
        <v>#DIV/0!</v>
      </c>
      <c r="D8" s="71" t="e">
        <f t="shared" si="2"/>
        <v>#DIV/0!</v>
      </c>
      <c r="E8" s="71" t="e">
        <f t="shared" si="2"/>
        <v>#DIV/0!</v>
      </c>
      <c r="F8" s="72" t="e">
        <f>Q28</f>
        <v>#DIV/0!</v>
      </c>
      <c r="G8" s="73"/>
      <c r="H8" s="269" t="s">
        <v>523</v>
      </c>
      <c r="I8" s="72">
        <f>第3期!I8+第3期!J8</f>
        <v>0</v>
      </c>
      <c r="J8" s="86"/>
      <c r="K8" s="87">
        <f>IF(IF((I8+F19)&gt;=初始化表!I33,5,IF((I8+F19)&gt;=初始化表!H33,4,IF((I8+F19)&gt;=初始化表!G33,3,IF((I8+F19)&gt;=初始化表!F33,2,IF((I8+F19)&gt;=初始化表!E33,1,0)))))+IF(I8+F19&gt;初始化表!E33,O$45)&lt;第3期!K8+1,IF((I8+F19)&gt;=初始化表!I33,5,IF((I8+F19)&gt;=初始化表!H33,4,IF((I8+F19)&gt;=初始化表!G33,3,IF((I8+F19)&gt;=初始化表!F33,2,IF((I8+F19)&gt;=初始化表!E33,1,0)))))+IF(I8+F19&gt;初始化表!E33,O$45),第3期!K8+1)</f>
        <v>4</v>
      </c>
      <c r="L8" s="72">
        <f>IF(I8&lt;初始化表!E33,初始化表!E33-I8,IF(I8&lt;初始化表!F33,初始化表!F33-I8,IF(I8&lt;初始化表!G33,初始化表!G33-I8,IF(I8&lt;初始化表!H33,初始化表!H33-I8,IF(I8&lt;初始化表!I33,初始化表!I33-I8,0)))))</f>
        <v>0</v>
      </c>
      <c r="M8" s="85"/>
      <c r="N8" s="269" t="s">
        <v>525</v>
      </c>
      <c r="O8" s="88">
        <f>第3期!O8+0.0005</f>
        <v>0.0395</v>
      </c>
      <c r="P8" s="88">
        <f>第3期!P8+0.0005</f>
        <v>0.0395</v>
      </c>
      <c r="Q8" s="88">
        <f>第3期!Q8+0.0005</f>
        <v>0.0395</v>
      </c>
      <c r="R8" s="88">
        <f>第3期!R8+0.0005</f>
        <v>0.0395</v>
      </c>
      <c r="S8" s="122"/>
      <c r="T8" s="120"/>
      <c r="U8" s="269" t="s">
        <v>524</v>
      </c>
      <c r="V8" s="77">
        <f>第3期!AP21</f>
        <v>0</v>
      </c>
      <c r="W8" s="77">
        <f>第3期!AP22</f>
        <v>0</v>
      </c>
      <c r="X8" s="77">
        <f>第3期!AP23</f>
        <v>0</v>
      </c>
      <c r="Y8" s="77">
        <f>第3期!AP24</f>
        <v>0</v>
      </c>
      <c r="Z8" s="77">
        <f>第3期!AJ29</f>
        <v>0</v>
      </c>
      <c r="AA8" s="77" t="e">
        <f t="shared" si="3"/>
        <v>#DIV/0!</v>
      </c>
      <c r="AB8" s="154" t="s">
        <v>524</v>
      </c>
      <c r="AC8" s="152" t="e">
        <f>初始化表!$B$8*初始化表!H17*初始化表!$H$5/1300+初始化表!$B$12*初始化表!H17/1300+初始化表!H19+初始化表!H18*(-C35-C44)/(SUM(B17:E17)*初始化表!E18+SUM(B18:E18)*初始化表!F18+SUM(B19:E19)*初始化表!G18+SUM(B20:E20)*初始化表!H18)</f>
        <v>#DIV/0!</v>
      </c>
      <c r="AD8" s="153" t="e">
        <f>$AC8+初始化表!L22+$F9*B9/SUMPRODUCT($B9:$E9,$V45:$Y45)+B$10*B9/SUMPRODUCT(B$6:B$9,V$42:V$45)+初始化表!L16/I66+(IF(I28+J28=0,0,1)*初始化表!H28+IF(K28+L28=0,0,1)*初始化表!I28)/(I66+J66+K66+L66)</f>
        <v>#DIV/0!</v>
      </c>
      <c r="AE8" s="153" t="e">
        <f>$AC8+初始化表!M22+$F9*C9/SUMPRODUCT($B9:$E9,$V45:$Y45)+C$10*C9/SUMPRODUCT(C$6:C$9,W$42:W$45)+初始化表!M16/J66+(IF(I28+J28=0,0,1)*初始化表!H28+IF(K28+L28=0,0,1)*初始化表!I28)/(I66+J66+K66+L66)</f>
        <v>#DIV/0!</v>
      </c>
      <c r="AF8" s="153" t="e">
        <f>$AC8+初始化表!N22+$F9*D9/SUMPRODUCT($B9:$E9,$V45:$Y45)+D$10*D9/SUMPRODUCT(D$6:D$9,X$42:X$45)+初始化表!N16/K66+(IF(I28+J28=0,0,1)*初始化表!H28+IF(K28+L28=0,0,1)*初始化表!I28)/(I66+J66+K66+L66)</f>
        <v>#DIV/0!</v>
      </c>
      <c r="AG8" s="153" t="e">
        <f>$AC8+初始化表!O22+$F9*E9/SUMPRODUCT($B9:$E9,$V45:$Y45)+E$10*E9/SUMPRODUCT(E$6:E$9,Y$42:Y$45)+初始化表!O16/L66+(IF(I28+J28=0,0,1)*初始化表!H28+IF(K28+L28=0,0,1)*初始化表!I28)/(I66+J66+K66+L66)</f>
        <v>#DIV/0!</v>
      </c>
      <c r="AH8" s="73"/>
      <c r="AI8" s="298" t="s">
        <v>283</v>
      </c>
      <c r="AJ8" s="298" t="s">
        <v>284</v>
      </c>
      <c r="AK8" s="298" t="s">
        <v>285</v>
      </c>
      <c r="AL8" s="298" t="s">
        <v>286</v>
      </c>
      <c r="AM8" s="298" t="s">
        <v>287</v>
      </c>
      <c r="AN8" s="298" t="s">
        <v>288</v>
      </c>
      <c r="AO8" s="298" t="s">
        <v>289</v>
      </c>
      <c r="AP8" s="298" t="s">
        <v>290</v>
      </c>
      <c r="AQ8" s="314" t="s">
        <v>291</v>
      </c>
      <c r="AR8" s="185" t="s">
        <v>433</v>
      </c>
      <c r="AS8" s="185" t="s">
        <v>434</v>
      </c>
      <c r="AT8" s="185" t="s">
        <v>435</v>
      </c>
      <c r="AU8" s="185" t="s">
        <v>436</v>
      </c>
      <c r="AV8" s="185" t="s">
        <v>437</v>
      </c>
      <c r="AW8" s="185" t="s">
        <v>438</v>
      </c>
      <c r="AZ8" s="193"/>
      <c r="BA8" s="196">
        <f t="shared" si="10"/>
        <v>0</v>
      </c>
      <c r="BB8" s="197">
        <f t="shared" si="11"/>
        <v>0</v>
      </c>
      <c r="BC8" s="197">
        <f t="shared" si="12"/>
        <v>0</v>
      </c>
      <c r="BD8" s="197">
        <f t="shared" si="13"/>
        <v>0</v>
      </c>
      <c r="BE8" s="197">
        <f t="shared" si="14"/>
        <v>0</v>
      </c>
      <c r="BF8" s="197">
        <f t="shared" si="15"/>
        <v>0</v>
      </c>
      <c r="BG8" s="197">
        <f t="shared" si="16"/>
        <v>0</v>
      </c>
      <c r="BH8" s="197">
        <f t="shared" si="17"/>
        <v>0</v>
      </c>
      <c r="BI8" s="197">
        <f t="shared" si="18"/>
        <v>0</v>
      </c>
      <c r="BJ8" s="197">
        <f t="shared" si="19"/>
        <v>0</v>
      </c>
      <c r="BK8" s="197">
        <f t="shared" si="20"/>
        <v>0</v>
      </c>
      <c r="BL8" s="197">
        <f t="shared" si="21"/>
        <v>0</v>
      </c>
      <c r="BM8" s="197">
        <f t="shared" si="22"/>
        <v>0</v>
      </c>
      <c r="BN8" s="197">
        <f t="shared" si="23"/>
        <v>0</v>
      </c>
      <c r="BO8" s="197">
        <f t="shared" si="24"/>
        <v>0</v>
      </c>
      <c r="BP8" s="197">
        <f t="shared" si="25"/>
        <v>0</v>
      </c>
      <c r="BQ8" s="197">
        <f t="shared" si="26"/>
        <v>0</v>
      </c>
      <c r="BR8" s="211"/>
      <c r="BS8" s="195">
        <f t="shared" si="0"/>
        <v>0</v>
      </c>
      <c r="BT8" s="201">
        <f t="shared" si="1"/>
        <v>0</v>
      </c>
      <c r="BU8" s="201">
        <f>第3期!AQ110*0.5</f>
        <v>0</v>
      </c>
      <c r="BV8" s="205" t="e">
        <f>AVERAGE(BT33:CI33)*初始化表!B$31</f>
        <v>#DIV/0!</v>
      </c>
      <c r="BW8" s="205" t="e">
        <f>$BT8*(AL110-BW$25)/BW$26*初始化表!B$30</f>
        <v>#DIV/0!</v>
      </c>
      <c r="BX8" s="205" t="e">
        <f>$BT8*(AM110-BX$25)/BX$26*初始化表!B$33</f>
        <v>#DIV/0!</v>
      </c>
      <c r="BY8" s="205" t="e">
        <f>$BT8*(AN110-BY$25)/BY$26*初始化表!B$32</f>
        <v>#DIV/0!</v>
      </c>
      <c r="BZ8" s="205" t="e">
        <f>$BT8*(AP110-BZ$25)/BZ$26*初始化表!B$34</f>
        <v>#DIV/0!</v>
      </c>
      <c r="CA8" s="205" t="e">
        <f>$BT$5*(AW110-CA$25)/CA$26*初始化表!B$36</f>
        <v>#DIV/0!</v>
      </c>
      <c r="CB8" s="205" t="e">
        <f t="shared" si="4"/>
        <v>#DIV/0!</v>
      </c>
      <c r="CC8" s="201">
        <f t="shared" si="5"/>
        <v>0</v>
      </c>
      <c r="CD8" s="229" t="e">
        <f t="shared" si="6"/>
        <v>#DIV/0!</v>
      </c>
      <c r="CE8" s="229">
        <f t="shared" si="7"/>
        <v>0</v>
      </c>
      <c r="CF8" s="229">
        <f t="shared" si="8"/>
        <v>0</v>
      </c>
      <c r="CG8" s="226"/>
      <c r="CH8" s="226"/>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c r="DQ8" s="228"/>
    </row>
    <row r="9" s="61" customFormat="1" ht="16" customHeight="1" spans="1:121">
      <c r="A9" s="269" t="s">
        <v>524</v>
      </c>
      <c r="B9" s="71" t="e">
        <f t="shared" si="9"/>
        <v>#DIV/0!</v>
      </c>
      <c r="C9" s="71" t="e">
        <f t="shared" si="2"/>
        <v>#DIV/0!</v>
      </c>
      <c r="D9" s="71" t="e">
        <f t="shared" si="2"/>
        <v>#DIV/0!</v>
      </c>
      <c r="E9" s="71" t="e">
        <f t="shared" si="2"/>
        <v>#DIV/0!</v>
      </c>
      <c r="F9" s="72" t="e">
        <f>R28</f>
        <v>#DIV/0!</v>
      </c>
      <c r="G9" s="73"/>
      <c r="H9" s="269" t="s">
        <v>524</v>
      </c>
      <c r="I9" s="72">
        <f>第3期!I9+第3期!J9</f>
        <v>0</v>
      </c>
      <c r="J9" s="86"/>
      <c r="K9" s="87">
        <f>IF(IF((I9+F20)&gt;=初始化表!I34,5,IF((I9+F20)&gt;=初始化表!H34,4,IF((I9+F20)&gt;=初始化表!G34,3,IF((I9+F20)&gt;=初始化表!F34,2,IF((I9+F20)&gt;=初始化表!E34,1,0)))))+IF(I9+F20&gt;初始化表!E34,O$45)&lt;第3期!K9+1,IF((I9+F20)&gt;=初始化表!I34,5,IF((I9+F20)&gt;=初始化表!H34,4,IF((I9+F20)&gt;=初始化表!G34,3,IF((I9+F20)&gt;=初始化表!F34,2,IF((I9+F20)&gt;=初始化表!E34,1,0)))))+IF(I9+F20&gt;初始化表!E34,O$45),第3期!K9+1)</f>
        <v>4</v>
      </c>
      <c r="L9" s="72">
        <f>IF(I9&lt;初始化表!E34,初始化表!E34-I9,IF(I9&lt;初始化表!F34,初始化表!F34-I9,IF(I9&lt;初始化表!G34,初始化表!G34-I9,IF(I9&lt;初始化表!H34,初始化表!H34-I9,IF(I9&lt;初始化表!I34,初始化表!I34-I9,0)))))</f>
        <v>0</v>
      </c>
      <c r="M9" s="85"/>
      <c r="N9" s="269" t="s">
        <v>527</v>
      </c>
      <c r="O9" s="269" t="s">
        <v>513</v>
      </c>
      <c r="P9" s="269" t="s">
        <v>514</v>
      </c>
      <c r="Q9" s="269" t="s">
        <v>515</v>
      </c>
      <c r="R9" s="269" t="s">
        <v>516</v>
      </c>
      <c r="S9" s="121"/>
      <c r="T9" s="68" t="s">
        <v>528</v>
      </c>
      <c r="U9" s="123"/>
      <c r="V9" s="74"/>
      <c r="W9" s="74"/>
      <c r="X9" s="74"/>
      <c r="Y9" s="74"/>
      <c r="Z9" s="74" t="e">
        <f>SUMPRODUCT(V5:Y8,V23:Y26)</f>
        <v>#DIV/0!</v>
      </c>
      <c r="AA9" s="73"/>
      <c r="AB9" s="155"/>
      <c r="AC9" s="155"/>
      <c r="AD9" s="155"/>
      <c r="AE9" s="155"/>
      <c r="AF9" s="155"/>
      <c r="AG9" s="155"/>
      <c r="AH9" s="73"/>
      <c r="AI9" s="359"/>
      <c r="AJ9" s="359"/>
      <c r="AK9" s="360"/>
      <c r="AL9" s="360">
        <f>V42</f>
        <v>0</v>
      </c>
      <c r="AM9" s="361"/>
      <c r="AN9" s="362"/>
      <c r="AO9" s="360"/>
      <c r="AP9" s="360"/>
      <c r="AQ9" s="369"/>
      <c r="AR9" s="103"/>
      <c r="AS9" s="103">
        <f t="shared" ref="AS9:AS24" si="27">AM9-AK9</f>
        <v>0</v>
      </c>
      <c r="AT9" s="103"/>
      <c r="AU9" s="103"/>
      <c r="AV9" s="103"/>
      <c r="AW9" s="103"/>
      <c r="AZ9" s="193"/>
      <c r="BA9" s="196">
        <f t="shared" si="10"/>
        <v>0</v>
      </c>
      <c r="BB9" s="197">
        <f t="shared" si="11"/>
        <v>0</v>
      </c>
      <c r="BC9" s="197">
        <f t="shared" si="12"/>
        <v>0</v>
      </c>
      <c r="BD9" s="197">
        <f t="shared" si="13"/>
        <v>0</v>
      </c>
      <c r="BE9" s="197">
        <f t="shared" si="14"/>
        <v>0</v>
      </c>
      <c r="BF9" s="197">
        <f t="shared" si="15"/>
        <v>0</v>
      </c>
      <c r="BG9" s="197">
        <f t="shared" si="16"/>
        <v>0</v>
      </c>
      <c r="BH9" s="197">
        <f t="shared" si="17"/>
        <v>0</v>
      </c>
      <c r="BI9" s="197">
        <f t="shared" si="18"/>
        <v>0</v>
      </c>
      <c r="BJ9" s="197">
        <f t="shared" si="19"/>
        <v>0</v>
      </c>
      <c r="BK9" s="197">
        <f t="shared" si="20"/>
        <v>0</v>
      </c>
      <c r="BL9" s="197">
        <f t="shared" si="21"/>
        <v>0</v>
      </c>
      <c r="BM9" s="197">
        <f t="shared" si="22"/>
        <v>0</v>
      </c>
      <c r="BN9" s="197">
        <f t="shared" si="23"/>
        <v>0</v>
      </c>
      <c r="BO9" s="197">
        <f t="shared" si="24"/>
        <v>0</v>
      </c>
      <c r="BP9" s="197">
        <f t="shared" si="25"/>
        <v>0</v>
      </c>
      <c r="BQ9" s="197">
        <f t="shared" si="26"/>
        <v>0</v>
      </c>
      <c r="BR9" s="211"/>
      <c r="BS9" s="195">
        <f t="shared" si="0"/>
        <v>0</v>
      </c>
      <c r="BT9" s="201">
        <f t="shared" si="1"/>
        <v>0</v>
      </c>
      <c r="BU9" s="201">
        <f>第3期!AQ111*0.5</f>
        <v>0</v>
      </c>
      <c r="BV9" s="205" t="e">
        <f>AVERAGE(BT34:CI34)*初始化表!B$31</f>
        <v>#DIV/0!</v>
      </c>
      <c r="BW9" s="205" t="e">
        <f>$BT9*(AL111-BW$25)/BW$26*初始化表!B$30</f>
        <v>#DIV/0!</v>
      </c>
      <c r="BX9" s="205" t="e">
        <f>$BT9*(AM111-BX$25)/BX$26*初始化表!B$33</f>
        <v>#DIV/0!</v>
      </c>
      <c r="BY9" s="205" t="e">
        <f>$BT9*(AN111-BY$25)/BY$26*初始化表!B$32</f>
        <v>#DIV/0!</v>
      </c>
      <c r="BZ9" s="205" t="e">
        <f>$BT9*(AP111-BZ$25)/BZ$26*初始化表!B$34</f>
        <v>#DIV/0!</v>
      </c>
      <c r="CA9" s="205" t="e">
        <f>$BT$5*(AW111-CA$25)/CA$26*初始化表!B$36</f>
        <v>#DIV/0!</v>
      </c>
      <c r="CB9" s="205" t="e">
        <f t="shared" si="4"/>
        <v>#DIV/0!</v>
      </c>
      <c r="CC9" s="201">
        <f t="shared" si="5"/>
        <v>0</v>
      </c>
      <c r="CD9" s="229" t="e">
        <f t="shared" si="6"/>
        <v>#DIV/0!</v>
      </c>
      <c r="CE9" s="229">
        <f t="shared" si="7"/>
        <v>0</v>
      </c>
      <c r="CF9" s="229">
        <f t="shared" si="8"/>
        <v>0</v>
      </c>
      <c r="CG9" s="226"/>
      <c r="CH9" s="226"/>
      <c r="CI9" s="228"/>
      <c r="CJ9" s="230"/>
      <c r="CK9" s="228"/>
      <c r="CL9" s="230"/>
      <c r="CM9" s="230"/>
      <c r="CN9" s="230"/>
      <c r="CO9" s="230"/>
      <c r="CP9" s="228"/>
      <c r="CQ9" s="228"/>
      <c r="CR9" s="228"/>
      <c r="CS9" s="228"/>
      <c r="CT9" s="228"/>
      <c r="CU9" s="228"/>
      <c r="CV9" s="231"/>
      <c r="CW9" s="231"/>
      <c r="CX9" s="231"/>
      <c r="CY9" s="231"/>
      <c r="CZ9" s="228"/>
      <c r="DA9" s="228"/>
      <c r="DB9" s="228"/>
      <c r="DC9" s="228"/>
      <c r="DD9" s="228"/>
      <c r="DE9" s="228"/>
      <c r="DF9" s="228"/>
      <c r="DG9" s="228"/>
      <c r="DH9" s="228"/>
      <c r="DI9" s="228"/>
      <c r="DJ9" s="228"/>
      <c r="DK9" s="228"/>
      <c r="DL9" s="228"/>
      <c r="DM9" s="228"/>
      <c r="DN9" s="228"/>
      <c r="DO9" s="228"/>
      <c r="DP9" s="228"/>
      <c r="DQ9" s="228"/>
    </row>
    <row r="10" s="61" customFormat="1" ht="16" customHeight="1" spans="1:121">
      <c r="A10" s="269" t="s">
        <v>280</v>
      </c>
      <c r="B10" s="72" t="e">
        <f>O29</f>
        <v>#DIV/0!</v>
      </c>
      <c r="C10" s="72" t="e">
        <f>P29</f>
        <v>#DIV/0!</v>
      </c>
      <c r="D10" s="72" t="e">
        <f t="shared" ref="D10:E10" si="28">Q29</f>
        <v>#DIV/0!</v>
      </c>
      <c r="E10" s="72" t="e">
        <f t="shared" si="28"/>
        <v>#DIV/0!</v>
      </c>
      <c r="F10" s="269" t="s">
        <v>281</v>
      </c>
      <c r="G10" s="73"/>
      <c r="H10" s="74"/>
      <c r="I10" s="74"/>
      <c r="J10" s="74"/>
      <c r="K10" s="74"/>
      <c r="L10" s="74"/>
      <c r="M10" s="85"/>
      <c r="N10" s="269" t="s">
        <v>198</v>
      </c>
      <c r="O10" s="89">
        <f t="shared" ref="O10:O13" si="29">S10+T10</f>
        <v>0.01</v>
      </c>
      <c r="P10" s="89"/>
      <c r="Q10" s="89"/>
      <c r="R10" s="89"/>
      <c r="S10" s="89">
        <v>0.01</v>
      </c>
      <c r="T10" s="125">
        <f t="shared" ref="T10:T13" si="30">(Z17-Z42)/10000</f>
        <v>0</v>
      </c>
      <c r="U10" s="269" t="s">
        <v>529</v>
      </c>
      <c r="V10" s="269" t="s">
        <v>513</v>
      </c>
      <c r="W10" s="269" t="s">
        <v>514</v>
      </c>
      <c r="X10" s="269" t="s">
        <v>515</v>
      </c>
      <c r="Y10" s="269" t="s">
        <v>516</v>
      </c>
      <c r="Z10" s="74"/>
      <c r="AA10" s="73"/>
      <c r="AB10" s="154" t="s">
        <v>530</v>
      </c>
      <c r="AC10" s="154" t="s">
        <v>513</v>
      </c>
      <c r="AD10" s="154" t="s">
        <v>514</v>
      </c>
      <c r="AE10" s="154" t="s">
        <v>515</v>
      </c>
      <c r="AF10" s="154" t="s">
        <v>516</v>
      </c>
      <c r="AG10" s="421" t="s">
        <v>402</v>
      </c>
      <c r="AH10" s="422" t="s">
        <v>531</v>
      </c>
      <c r="AI10" s="359"/>
      <c r="AJ10" s="359"/>
      <c r="AK10" s="360"/>
      <c r="AL10" s="360">
        <f>W42</f>
        <v>0</v>
      </c>
      <c r="AM10" s="361"/>
      <c r="AN10" s="362"/>
      <c r="AO10" s="360"/>
      <c r="AP10" s="360"/>
      <c r="AQ10" s="369"/>
      <c r="AR10" s="103"/>
      <c r="AS10" s="103">
        <f t="shared" si="27"/>
        <v>0</v>
      </c>
      <c r="AT10" s="103"/>
      <c r="AU10" s="103"/>
      <c r="AV10" s="103"/>
      <c r="AW10" s="103"/>
      <c r="AZ10" s="193"/>
      <c r="BA10" s="196">
        <f t="shared" si="10"/>
        <v>0</v>
      </c>
      <c r="BB10" s="197">
        <f t="shared" si="11"/>
        <v>0</v>
      </c>
      <c r="BC10" s="197">
        <f t="shared" si="12"/>
        <v>0</v>
      </c>
      <c r="BD10" s="197">
        <f t="shared" si="13"/>
        <v>0</v>
      </c>
      <c r="BE10" s="197">
        <f t="shared" si="14"/>
        <v>0</v>
      </c>
      <c r="BF10" s="197">
        <f t="shared" si="15"/>
        <v>0</v>
      </c>
      <c r="BG10" s="197">
        <f t="shared" si="16"/>
        <v>0</v>
      </c>
      <c r="BH10" s="197">
        <f t="shared" si="17"/>
        <v>0</v>
      </c>
      <c r="BI10" s="197">
        <f t="shared" si="18"/>
        <v>0</v>
      </c>
      <c r="BJ10" s="197">
        <f t="shared" si="19"/>
        <v>0</v>
      </c>
      <c r="BK10" s="197">
        <f t="shared" si="20"/>
        <v>0</v>
      </c>
      <c r="BL10" s="197">
        <f t="shared" si="21"/>
        <v>0</v>
      </c>
      <c r="BM10" s="197">
        <f t="shared" si="22"/>
        <v>0</v>
      </c>
      <c r="BN10" s="197">
        <f t="shared" si="23"/>
        <v>0</v>
      </c>
      <c r="BO10" s="197">
        <f t="shared" si="24"/>
        <v>0</v>
      </c>
      <c r="BP10" s="197">
        <f t="shared" si="25"/>
        <v>0</v>
      </c>
      <c r="BQ10" s="197">
        <f t="shared" si="26"/>
        <v>0</v>
      </c>
      <c r="BR10" s="211"/>
      <c r="BS10" s="195">
        <f t="shared" si="0"/>
        <v>0</v>
      </c>
      <c r="BT10" s="201">
        <f t="shared" si="1"/>
        <v>0</v>
      </c>
      <c r="BU10" s="201">
        <f>第3期!AQ112*0.5</f>
        <v>0</v>
      </c>
      <c r="BV10" s="205" t="e">
        <f>AVERAGE(BT35:CI35)*初始化表!B$31</f>
        <v>#DIV/0!</v>
      </c>
      <c r="BW10" s="205" t="e">
        <f>$BT10*(AL112-BW$25)/BW$26*初始化表!B$30</f>
        <v>#DIV/0!</v>
      </c>
      <c r="BX10" s="205" t="e">
        <f>$BT10*(AM112-BX$25)/BX$26*初始化表!B$33</f>
        <v>#DIV/0!</v>
      </c>
      <c r="BY10" s="205" t="e">
        <f>$BT10*(AN112-BY$25)/BY$26*初始化表!B$32</f>
        <v>#DIV/0!</v>
      </c>
      <c r="BZ10" s="205" t="e">
        <f>$BT10*(AP112-BZ$25)/BZ$26*初始化表!B$34</f>
        <v>#DIV/0!</v>
      </c>
      <c r="CA10" s="205" t="e">
        <f>$BT$5*(AW112-CA$25)/CA$26*初始化表!B$36</f>
        <v>#DIV/0!</v>
      </c>
      <c r="CB10" s="205" t="e">
        <f t="shared" si="4"/>
        <v>#DIV/0!</v>
      </c>
      <c r="CC10" s="201">
        <f t="shared" si="5"/>
        <v>0</v>
      </c>
      <c r="CD10" s="229" t="e">
        <f t="shared" si="6"/>
        <v>#DIV/0!</v>
      </c>
      <c r="CE10" s="229">
        <f t="shared" si="7"/>
        <v>0</v>
      </c>
      <c r="CF10" s="229">
        <f t="shared" si="8"/>
        <v>0</v>
      </c>
      <c r="CG10" s="226"/>
      <c r="CH10" s="226"/>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c r="DP10" s="228"/>
      <c r="DQ10" s="228"/>
    </row>
    <row r="11" s="61" customFormat="1" ht="16" customHeight="1" spans="1:121">
      <c r="A11" s="269" t="s">
        <v>282</v>
      </c>
      <c r="B11" s="269" t="s">
        <v>513</v>
      </c>
      <c r="C11" s="269" t="s">
        <v>514</v>
      </c>
      <c r="D11" s="269" t="s">
        <v>515</v>
      </c>
      <c r="E11" s="269" t="s">
        <v>516</v>
      </c>
      <c r="F11" s="271" t="e">
        <f>F77</f>
        <v>#DIV/0!</v>
      </c>
      <c r="G11" s="73"/>
      <c r="H11" s="269" t="s">
        <v>532</v>
      </c>
      <c r="I11" s="270"/>
      <c r="J11" s="270"/>
      <c r="K11" s="270"/>
      <c r="L11" s="270"/>
      <c r="M11" s="85"/>
      <c r="N11" s="269" t="s">
        <v>202</v>
      </c>
      <c r="O11" s="89">
        <f t="shared" si="29"/>
        <v>0.02</v>
      </c>
      <c r="P11" s="89"/>
      <c r="Q11" s="89"/>
      <c r="R11" s="89"/>
      <c r="S11" s="89">
        <v>0.02</v>
      </c>
      <c r="T11" s="125">
        <f t="shared" si="30"/>
        <v>0</v>
      </c>
      <c r="U11" s="269" t="s">
        <v>521</v>
      </c>
      <c r="V11" s="115">
        <f>第3期!AO9</f>
        <v>0</v>
      </c>
      <c r="W11" s="115">
        <f>第3期!AO10</f>
        <v>0</v>
      </c>
      <c r="X11" s="115">
        <f>第3期!AO11</f>
        <v>0</v>
      </c>
      <c r="Y11" s="115">
        <f>第3期!AO12</f>
        <v>0</v>
      </c>
      <c r="Z11" s="74"/>
      <c r="AA11" s="73"/>
      <c r="AB11" s="154" t="s">
        <v>198</v>
      </c>
      <c r="AC11" s="153" t="e">
        <f t="shared" ref="AC11:AF14" si="31">B6-AD5</f>
        <v>#DIV/0!</v>
      </c>
      <c r="AD11" s="153" t="e">
        <f t="shared" si="31"/>
        <v>#DIV/0!</v>
      </c>
      <c r="AE11" s="153" t="e">
        <f t="shared" si="31"/>
        <v>#DIV/0!</v>
      </c>
      <c r="AF11" s="153" t="e">
        <f t="shared" si="31"/>
        <v>#DIV/0!</v>
      </c>
      <c r="AG11" s="423" t="str">
        <f>IF(AJ24="","未粘报表",IF(AND(V84=AQ9,W84=AQ10,X84=AQ11,Y84=AQ12,V85=AQ13,W85=AQ14,X85=AQ15,Y85=AQ16,V86=AQ17,W86=AQ18,X86=AQ19,Y86=AQ20,V87=AQ21,W87=AQ22,X87=AQ23,Y87=AQ24),"正确","错误"))</f>
        <v>未粘报表</v>
      </c>
      <c r="AH11" s="424" t="str">
        <f>IF(AJ24="","未粘报表",IF(INT(VLOOKUP(初期!$G$52,$AI$107:$AQ$126,7,0))=INT(F64),"现金正确","现金错误"))</f>
        <v>未粘报表</v>
      </c>
      <c r="AI11" s="359"/>
      <c r="AJ11" s="359"/>
      <c r="AK11" s="360"/>
      <c r="AL11" s="360">
        <f>X42</f>
        <v>0</v>
      </c>
      <c r="AM11" s="361"/>
      <c r="AN11" s="362"/>
      <c r="AO11" s="360"/>
      <c r="AP11" s="360"/>
      <c r="AQ11" s="369"/>
      <c r="AR11" s="103"/>
      <c r="AS11" s="103">
        <f t="shared" si="27"/>
        <v>0</v>
      </c>
      <c r="AT11" s="103"/>
      <c r="AU11" s="103"/>
      <c r="AV11" s="103"/>
      <c r="AW11" s="103"/>
      <c r="AZ11" s="193"/>
      <c r="BA11" s="196">
        <f t="shared" si="10"/>
        <v>0</v>
      </c>
      <c r="BB11" s="197">
        <f t="shared" si="11"/>
        <v>0</v>
      </c>
      <c r="BC11" s="197">
        <f t="shared" si="12"/>
        <v>0</v>
      </c>
      <c r="BD11" s="197">
        <f t="shared" si="13"/>
        <v>0</v>
      </c>
      <c r="BE11" s="197">
        <f t="shared" si="14"/>
        <v>0</v>
      </c>
      <c r="BF11" s="197">
        <f t="shared" si="15"/>
        <v>0</v>
      </c>
      <c r="BG11" s="197">
        <f t="shared" si="16"/>
        <v>0</v>
      </c>
      <c r="BH11" s="197">
        <f t="shared" si="17"/>
        <v>0</v>
      </c>
      <c r="BI11" s="197">
        <f t="shared" si="18"/>
        <v>0</v>
      </c>
      <c r="BJ11" s="197">
        <f t="shared" si="19"/>
        <v>0</v>
      </c>
      <c r="BK11" s="197">
        <f t="shared" si="20"/>
        <v>0</v>
      </c>
      <c r="BL11" s="197">
        <f t="shared" si="21"/>
        <v>0</v>
      </c>
      <c r="BM11" s="197">
        <f t="shared" si="22"/>
        <v>0</v>
      </c>
      <c r="BN11" s="197">
        <f t="shared" si="23"/>
        <v>0</v>
      </c>
      <c r="BO11" s="197">
        <f t="shared" si="24"/>
        <v>0</v>
      </c>
      <c r="BP11" s="197">
        <f t="shared" si="25"/>
        <v>0</v>
      </c>
      <c r="BQ11" s="197">
        <f t="shared" si="26"/>
        <v>0</v>
      </c>
      <c r="BR11" s="211"/>
      <c r="BS11" s="195">
        <f t="shared" si="0"/>
        <v>0</v>
      </c>
      <c r="BT11" s="201">
        <f t="shared" si="1"/>
        <v>0</v>
      </c>
      <c r="BU11" s="201">
        <f>第3期!AQ113*0.5</f>
        <v>0</v>
      </c>
      <c r="BV11" s="205" t="e">
        <f>AVERAGE(BT36:CI36)*初始化表!B$31</f>
        <v>#DIV/0!</v>
      </c>
      <c r="BW11" s="205" t="e">
        <f>$BT11*(AL113-BW$25)/BW$26*初始化表!B$30</f>
        <v>#DIV/0!</v>
      </c>
      <c r="BX11" s="205" t="e">
        <f>$BT11*(AM113-BX$25)/BX$26*初始化表!B$33</f>
        <v>#DIV/0!</v>
      </c>
      <c r="BY11" s="205" t="e">
        <f>$BT11*(AN113-BY$25)/BY$26*初始化表!B$32</f>
        <v>#DIV/0!</v>
      </c>
      <c r="BZ11" s="205" t="e">
        <f>$BT11*(AP113-BZ$25)/BZ$26*初始化表!B$34</f>
        <v>#DIV/0!</v>
      </c>
      <c r="CA11" s="205" t="e">
        <f>$BT$5*(AW113-CA$25)/CA$26*初始化表!B$36</f>
        <v>#DIV/0!</v>
      </c>
      <c r="CB11" s="205" t="e">
        <f t="shared" si="4"/>
        <v>#DIV/0!</v>
      </c>
      <c r="CC11" s="201">
        <f t="shared" si="5"/>
        <v>0</v>
      </c>
      <c r="CD11" s="229" t="e">
        <f t="shared" si="6"/>
        <v>#DIV/0!</v>
      </c>
      <c r="CE11" s="229">
        <f t="shared" si="7"/>
        <v>0</v>
      </c>
      <c r="CF11" s="229">
        <f t="shared" si="8"/>
        <v>0</v>
      </c>
      <c r="CG11" s="226"/>
      <c r="CH11" s="226"/>
      <c r="CI11" s="227"/>
      <c r="CJ11" s="228"/>
      <c r="CK11" s="227"/>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row>
    <row r="12" s="61" customFormat="1" ht="16" customHeight="1" spans="1:121">
      <c r="A12" s="269" t="s">
        <v>521</v>
      </c>
      <c r="B12" s="71">
        <f>I63</f>
        <v>0</v>
      </c>
      <c r="C12" s="71">
        <f t="shared" ref="C12:E15" si="32">J63</f>
        <v>0</v>
      </c>
      <c r="D12" s="71">
        <f t="shared" si="32"/>
        <v>0</v>
      </c>
      <c r="E12" s="71">
        <f t="shared" si="32"/>
        <v>0</v>
      </c>
      <c r="F12" s="269" t="s">
        <v>292</v>
      </c>
      <c r="G12" s="73"/>
      <c r="H12" s="269" t="s">
        <v>533</v>
      </c>
      <c r="I12" s="269" t="s">
        <v>521</v>
      </c>
      <c r="J12" s="269" t="s">
        <v>522</v>
      </c>
      <c r="K12" s="269" t="s">
        <v>523</v>
      </c>
      <c r="L12" s="269" t="s">
        <v>524</v>
      </c>
      <c r="M12" s="85"/>
      <c r="N12" s="269" t="s">
        <v>206</v>
      </c>
      <c r="O12" s="89">
        <f t="shared" si="29"/>
        <v>0.02</v>
      </c>
      <c r="P12" s="89"/>
      <c r="Q12" s="89"/>
      <c r="R12" s="89"/>
      <c r="S12" s="89">
        <v>0.02</v>
      </c>
      <c r="T12" s="125">
        <f t="shared" si="30"/>
        <v>0</v>
      </c>
      <c r="U12" s="269" t="s">
        <v>522</v>
      </c>
      <c r="V12" s="115">
        <f>第3期!AO13</f>
        <v>0</v>
      </c>
      <c r="W12" s="115">
        <f>第3期!AO14</f>
        <v>0</v>
      </c>
      <c r="X12" s="115">
        <f>第3期!AO15</f>
        <v>0</v>
      </c>
      <c r="Y12" s="115">
        <f>第3期!AO16</f>
        <v>0</v>
      </c>
      <c r="Z12" s="74"/>
      <c r="AA12" s="73"/>
      <c r="AB12" s="154" t="s">
        <v>202</v>
      </c>
      <c r="AC12" s="153" t="e">
        <f t="shared" si="31"/>
        <v>#DIV/0!</v>
      </c>
      <c r="AD12" s="153" t="e">
        <f t="shared" si="31"/>
        <v>#DIV/0!</v>
      </c>
      <c r="AE12" s="153" t="e">
        <f t="shared" si="31"/>
        <v>#DIV/0!</v>
      </c>
      <c r="AF12" s="153" t="e">
        <f t="shared" si="31"/>
        <v>#DIV/0!</v>
      </c>
      <c r="AG12" s="421" t="s">
        <v>534</v>
      </c>
      <c r="AH12" s="422" t="s">
        <v>535</v>
      </c>
      <c r="AI12" s="359"/>
      <c r="AJ12" s="359"/>
      <c r="AK12" s="360"/>
      <c r="AL12" s="360">
        <f>Y42</f>
        <v>0</v>
      </c>
      <c r="AM12" s="361"/>
      <c r="AN12" s="362"/>
      <c r="AO12" s="360"/>
      <c r="AP12" s="360"/>
      <c r="AQ12" s="369"/>
      <c r="AR12" s="103">
        <f>SUM(AL9:AL12)</f>
        <v>0</v>
      </c>
      <c r="AS12" s="103">
        <f t="shared" si="27"/>
        <v>0</v>
      </c>
      <c r="AT12" s="103">
        <f>SUMIF(AS9:AS12,"&gt;=0",AS9:AS12)</f>
        <v>0</v>
      </c>
      <c r="AU12" s="103">
        <f>SUM(AO9:AO12)</f>
        <v>0</v>
      </c>
      <c r="AV12" s="103">
        <f>SUM(AP9:AP12)</f>
        <v>0</v>
      </c>
      <c r="AW12" s="103">
        <f>SUM(AQ9:AQ12)</f>
        <v>0</v>
      </c>
      <c r="AZ12" s="193"/>
      <c r="BA12" s="196">
        <f t="shared" si="10"/>
        <v>0</v>
      </c>
      <c r="BB12" s="197">
        <f t="shared" si="11"/>
        <v>0</v>
      </c>
      <c r="BC12" s="197">
        <f t="shared" si="12"/>
        <v>0</v>
      </c>
      <c r="BD12" s="197">
        <f t="shared" si="13"/>
        <v>0</v>
      </c>
      <c r="BE12" s="197">
        <f t="shared" si="14"/>
        <v>0</v>
      </c>
      <c r="BF12" s="197">
        <f t="shared" si="15"/>
        <v>0</v>
      </c>
      <c r="BG12" s="197">
        <f t="shared" si="16"/>
        <v>0</v>
      </c>
      <c r="BH12" s="197">
        <f t="shared" si="17"/>
        <v>0</v>
      </c>
      <c r="BI12" s="197">
        <f t="shared" si="18"/>
        <v>0</v>
      </c>
      <c r="BJ12" s="197">
        <f t="shared" si="19"/>
        <v>0</v>
      </c>
      <c r="BK12" s="197">
        <f t="shared" si="20"/>
        <v>0</v>
      </c>
      <c r="BL12" s="197">
        <f t="shared" si="21"/>
        <v>0</v>
      </c>
      <c r="BM12" s="197">
        <f t="shared" si="22"/>
        <v>0</v>
      </c>
      <c r="BN12" s="197">
        <f t="shared" si="23"/>
        <v>0</v>
      </c>
      <c r="BO12" s="197">
        <f t="shared" si="24"/>
        <v>0</v>
      </c>
      <c r="BP12" s="197">
        <f t="shared" si="25"/>
        <v>0</v>
      </c>
      <c r="BQ12" s="197">
        <f t="shared" si="26"/>
        <v>0</v>
      </c>
      <c r="BR12" s="211"/>
      <c r="BS12" s="195">
        <f t="shared" si="0"/>
        <v>0</v>
      </c>
      <c r="BT12" s="201">
        <f t="shared" si="1"/>
        <v>0</v>
      </c>
      <c r="BU12" s="201">
        <f>第3期!AQ114*0.5</f>
        <v>0</v>
      </c>
      <c r="BV12" s="205" t="e">
        <f>AVERAGE(BT37:CI37)*初始化表!B$31</f>
        <v>#DIV/0!</v>
      </c>
      <c r="BW12" s="205" t="e">
        <f>$BT12*(AL114-BW$25)/BW$26*初始化表!B$30</f>
        <v>#DIV/0!</v>
      </c>
      <c r="BX12" s="205" t="e">
        <f>$BT12*(AM114-BX$25)/BX$26*初始化表!B$33</f>
        <v>#DIV/0!</v>
      </c>
      <c r="BY12" s="205" t="e">
        <f>$BT12*(AN114-BY$25)/BY$26*初始化表!B$32</f>
        <v>#DIV/0!</v>
      </c>
      <c r="BZ12" s="205" t="e">
        <f>$BT12*(AP114-BZ$25)/BZ$26*初始化表!B$34</f>
        <v>#DIV/0!</v>
      </c>
      <c r="CA12" s="205" t="e">
        <f>$BT$5*(AW114-CA$25)/CA$26*初始化表!B$36</f>
        <v>#DIV/0!</v>
      </c>
      <c r="CB12" s="205" t="e">
        <f t="shared" si="4"/>
        <v>#DIV/0!</v>
      </c>
      <c r="CC12" s="201">
        <f t="shared" si="5"/>
        <v>0</v>
      </c>
      <c r="CD12" s="229" t="e">
        <f t="shared" si="6"/>
        <v>#DIV/0!</v>
      </c>
      <c r="CE12" s="229">
        <f t="shared" si="7"/>
        <v>0</v>
      </c>
      <c r="CF12" s="229">
        <f t="shared" si="8"/>
        <v>0</v>
      </c>
      <c r="CG12" s="226"/>
      <c r="CH12" s="226"/>
      <c r="CI12" s="231"/>
      <c r="CJ12" s="231"/>
      <c r="CK12" s="231"/>
      <c r="CL12" s="231"/>
      <c r="CM12" s="231"/>
      <c r="CN12" s="231"/>
      <c r="CO12" s="231"/>
      <c r="CP12" s="231"/>
      <c r="CQ12" s="231"/>
      <c r="CR12" s="231"/>
      <c r="CS12" s="231"/>
      <c r="CT12" s="231"/>
      <c r="CU12" s="231"/>
      <c r="CV12" s="231"/>
      <c r="CW12" s="231"/>
      <c r="CX12" s="231"/>
      <c r="CY12" s="231"/>
      <c r="CZ12" s="231"/>
      <c r="DA12" s="228"/>
      <c r="DB12" s="228"/>
      <c r="DC12" s="228"/>
      <c r="DD12" s="228"/>
      <c r="DE12" s="228"/>
      <c r="DF12" s="228"/>
      <c r="DG12" s="228"/>
      <c r="DH12" s="228"/>
      <c r="DI12" s="228"/>
      <c r="DJ12" s="228"/>
      <c r="DK12" s="228"/>
      <c r="DL12" s="228"/>
      <c r="DM12" s="228"/>
      <c r="DN12" s="228"/>
      <c r="DO12" s="228"/>
      <c r="DP12" s="228"/>
      <c r="DQ12" s="228"/>
    </row>
    <row r="13" s="61" customFormat="1" ht="16" customHeight="1" spans="1:121">
      <c r="A13" s="269" t="s">
        <v>522</v>
      </c>
      <c r="B13" s="71">
        <f t="shared" ref="B13:B15" si="33">I64</f>
        <v>0</v>
      </c>
      <c r="C13" s="71">
        <f t="shared" si="32"/>
        <v>0</v>
      </c>
      <c r="D13" s="71">
        <f t="shared" si="32"/>
        <v>0</v>
      </c>
      <c r="E13" s="71">
        <f t="shared" si="32"/>
        <v>0</v>
      </c>
      <c r="F13" s="272" t="e">
        <f>E60</f>
        <v>#DIV/0!</v>
      </c>
      <c r="G13" s="73"/>
      <c r="H13" s="269" t="s">
        <v>536</v>
      </c>
      <c r="I13" s="90">
        <v>3</v>
      </c>
      <c r="J13" s="90">
        <v>2</v>
      </c>
      <c r="K13" s="90">
        <v>1</v>
      </c>
      <c r="L13" s="90">
        <v>1</v>
      </c>
      <c r="M13" s="85"/>
      <c r="N13" s="269" t="s">
        <v>208</v>
      </c>
      <c r="O13" s="89">
        <f t="shared" si="29"/>
        <v>0.025</v>
      </c>
      <c r="P13" s="89"/>
      <c r="Q13" s="89"/>
      <c r="R13" s="89"/>
      <c r="S13" s="89">
        <v>0.025</v>
      </c>
      <c r="T13" s="125">
        <f t="shared" si="30"/>
        <v>0</v>
      </c>
      <c r="U13" s="269" t="s">
        <v>523</v>
      </c>
      <c r="V13" s="115">
        <f>第3期!AO17</f>
        <v>0</v>
      </c>
      <c r="W13" s="115">
        <f>第3期!AO18</f>
        <v>0</v>
      </c>
      <c r="X13" s="115">
        <f>第3期!AO19</f>
        <v>0</v>
      </c>
      <c r="Y13" s="115">
        <f>第3期!AO20</f>
        <v>0</v>
      </c>
      <c r="Z13" s="74"/>
      <c r="AA13" s="73"/>
      <c r="AB13" s="154" t="s">
        <v>206</v>
      </c>
      <c r="AC13" s="153" t="e">
        <f t="shared" si="31"/>
        <v>#DIV/0!</v>
      </c>
      <c r="AD13" s="153" t="e">
        <f t="shared" si="31"/>
        <v>#DIV/0!</v>
      </c>
      <c r="AE13" s="153" t="e">
        <f t="shared" si="31"/>
        <v>#DIV/0!</v>
      </c>
      <c r="AF13" s="153" t="e">
        <f t="shared" si="31"/>
        <v>#DIV/0!</v>
      </c>
      <c r="AG13" s="423" t="str">
        <f>IF(AJ24="","未粘报表",IF(INT(VLOOKUP(初期!$G$52,$AI$107:$AQ$126,3,0))=INT($E$60),"成本正确","成本错误"))</f>
        <v>未粘报表</v>
      </c>
      <c r="AH13" s="424" t="str">
        <f>IF(AJ24="","未粘报表",IF(INT(VLOOKUP(初期!$G$52,$AI$107:$AQ$126,6,0))=INT($F$81),"分红正确","分红错误"))</f>
        <v>未粘报表</v>
      </c>
      <c r="AI13" s="359"/>
      <c r="AJ13" s="359"/>
      <c r="AK13" s="360"/>
      <c r="AL13" s="360">
        <f>V43</f>
        <v>0</v>
      </c>
      <c r="AM13" s="361"/>
      <c r="AN13" s="362"/>
      <c r="AO13" s="360"/>
      <c r="AP13" s="360"/>
      <c r="AQ13" s="369"/>
      <c r="AR13" s="103"/>
      <c r="AS13" s="103">
        <f t="shared" si="27"/>
        <v>0</v>
      </c>
      <c r="AT13" s="103"/>
      <c r="AU13" s="103"/>
      <c r="AV13" s="103"/>
      <c r="AW13" s="103"/>
      <c r="AZ13" s="193"/>
      <c r="BA13" s="196">
        <f t="shared" si="10"/>
        <v>0</v>
      </c>
      <c r="BB13" s="197">
        <f t="shared" si="11"/>
        <v>0</v>
      </c>
      <c r="BC13" s="197">
        <f t="shared" si="12"/>
        <v>0</v>
      </c>
      <c r="BD13" s="197">
        <f t="shared" si="13"/>
        <v>0</v>
      </c>
      <c r="BE13" s="197">
        <f t="shared" si="14"/>
        <v>0</v>
      </c>
      <c r="BF13" s="197">
        <f t="shared" si="15"/>
        <v>0</v>
      </c>
      <c r="BG13" s="197">
        <f t="shared" si="16"/>
        <v>0</v>
      </c>
      <c r="BH13" s="197">
        <f t="shared" si="17"/>
        <v>0</v>
      </c>
      <c r="BI13" s="197">
        <f t="shared" si="18"/>
        <v>0</v>
      </c>
      <c r="BJ13" s="197">
        <f t="shared" si="19"/>
        <v>0</v>
      </c>
      <c r="BK13" s="197">
        <f t="shared" si="20"/>
        <v>0</v>
      </c>
      <c r="BL13" s="197">
        <f t="shared" si="21"/>
        <v>0</v>
      </c>
      <c r="BM13" s="197">
        <f t="shared" si="22"/>
        <v>0</v>
      </c>
      <c r="BN13" s="197">
        <f t="shared" si="23"/>
        <v>0</v>
      </c>
      <c r="BO13" s="197">
        <f t="shared" si="24"/>
        <v>0</v>
      </c>
      <c r="BP13" s="197">
        <f t="shared" si="25"/>
        <v>0</v>
      </c>
      <c r="BQ13" s="197">
        <f t="shared" si="26"/>
        <v>0</v>
      </c>
      <c r="BR13" s="211"/>
      <c r="BS13" s="195">
        <f t="shared" si="0"/>
        <v>0</v>
      </c>
      <c r="BT13" s="201">
        <f t="shared" si="1"/>
        <v>0</v>
      </c>
      <c r="BU13" s="201">
        <f>第3期!AQ115*0.5</f>
        <v>0</v>
      </c>
      <c r="BV13" s="205" t="e">
        <f>AVERAGE(BT38:CI38)*初始化表!B$31</f>
        <v>#DIV/0!</v>
      </c>
      <c r="BW13" s="205" t="e">
        <f>$BT13*(AL115-BW$25)/BW$26*初始化表!B$30</f>
        <v>#DIV/0!</v>
      </c>
      <c r="BX13" s="205" t="e">
        <f>$BT13*(AM115-BX$25)/BX$26*初始化表!B$33</f>
        <v>#DIV/0!</v>
      </c>
      <c r="BY13" s="205" t="e">
        <f>$BT13*(AN115-BY$25)/BY$26*初始化表!B$32</f>
        <v>#DIV/0!</v>
      </c>
      <c r="BZ13" s="205" t="e">
        <f>$BT13*(AP115-BZ$25)/BZ$26*初始化表!B$34</f>
        <v>#DIV/0!</v>
      </c>
      <c r="CA13" s="205" t="e">
        <f>$BT$5*(AW115-CA$25)/CA$26*初始化表!B$36</f>
        <v>#DIV/0!</v>
      </c>
      <c r="CB13" s="205" t="e">
        <f t="shared" si="4"/>
        <v>#DIV/0!</v>
      </c>
      <c r="CC13" s="201">
        <f t="shared" si="5"/>
        <v>0</v>
      </c>
      <c r="CD13" s="229" t="e">
        <f t="shared" si="6"/>
        <v>#DIV/0!</v>
      </c>
      <c r="CE13" s="229">
        <f t="shared" si="7"/>
        <v>0</v>
      </c>
      <c r="CF13" s="229">
        <f t="shared" si="8"/>
        <v>0</v>
      </c>
      <c r="CG13" s="226"/>
      <c r="CH13" s="226"/>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row>
    <row r="14" s="61" customFormat="1" ht="16" customHeight="1" spans="1:121">
      <c r="A14" s="269" t="s">
        <v>523</v>
      </c>
      <c r="B14" s="71">
        <f t="shared" si="33"/>
        <v>0</v>
      </c>
      <c r="C14" s="71">
        <f t="shared" si="32"/>
        <v>0</v>
      </c>
      <c r="D14" s="71">
        <f t="shared" si="32"/>
        <v>0</v>
      </c>
      <c r="E14" s="71">
        <f t="shared" si="32"/>
        <v>0</v>
      </c>
      <c r="F14" s="269" t="s">
        <v>296</v>
      </c>
      <c r="G14" s="73"/>
      <c r="H14" s="269" t="s">
        <v>537</v>
      </c>
      <c r="I14" s="87" t="e">
        <f>2*(I13*初始化表!E18+J13*初始化表!F18+K13*初始化表!G18+初始化表!H18/初始化表!H17*(L13*初始化表!H17-1/5*(I13*初始化表!E17+J13*初始化表!F17+K13*初始化表!G17+L13*初始化表!H17)))/((I13*初始化表!E17+J13*初始化表!F17+K13*初始化表!G17+L13*初始化表!H17)*4/5)</f>
        <v>#DIV/0!</v>
      </c>
      <c r="J14" s="269" t="s">
        <v>538</v>
      </c>
      <c r="K14" s="269" t="s">
        <v>539</v>
      </c>
      <c r="L14" s="269" t="s">
        <v>540</v>
      </c>
      <c r="M14" s="85"/>
      <c r="N14" s="269" t="s">
        <v>541</v>
      </c>
      <c r="O14" s="269" t="s">
        <v>513</v>
      </c>
      <c r="P14" s="269" t="s">
        <v>514</v>
      </c>
      <c r="Q14" s="269" t="s">
        <v>515</v>
      </c>
      <c r="R14" s="269" t="s">
        <v>516</v>
      </c>
      <c r="S14" s="121"/>
      <c r="T14" s="120"/>
      <c r="U14" s="269" t="s">
        <v>524</v>
      </c>
      <c r="V14" s="115">
        <f>第3期!AO21</f>
        <v>0</v>
      </c>
      <c r="W14" s="115">
        <f>第3期!AO22</f>
        <v>0</v>
      </c>
      <c r="X14" s="115">
        <f>第3期!AO23</f>
        <v>0</v>
      </c>
      <c r="Y14" s="115">
        <f>第3期!AO24</f>
        <v>0</v>
      </c>
      <c r="Z14" s="74"/>
      <c r="AA14" s="73"/>
      <c r="AB14" s="154" t="s">
        <v>208</v>
      </c>
      <c r="AC14" s="153" t="e">
        <f t="shared" si="31"/>
        <v>#DIV/0!</v>
      </c>
      <c r="AD14" s="153" t="e">
        <f t="shared" si="31"/>
        <v>#DIV/0!</v>
      </c>
      <c r="AE14" s="153" t="e">
        <f t="shared" si="31"/>
        <v>#DIV/0!</v>
      </c>
      <c r="AF14" s="153" t="e">
        <f t="shared" si="31"/>
        <v>#DIV/0!</v>
      </c>
      <c r="AH14" s="425"/>
      <c r="AI14" s="359"/>
      <c r="AJ14" s="359"/>
      <c r="AK14" s="360"/>
      <c r="AL14" s="403">
        <f>W43</f>
        <v>0</v>
      </c>
      <c r="AM14" s="361"/>
      <c r="AN14" s="362"/>
      <c r="AO14" s="360"/>
      <c r="AP14" s="360"/>
      <c r="AQ14" s="369"/>
      <c r="AR14" s="103"/>
      <c r="AS14" s="103">
        <f t="shared" si="27"/>
        <v>0</v>
      </c>
      <c r="AT14" s="103"/>
      <c r="AU14" s="103"/>
      <c r="AV14" s="103"/>
      <c r="AW14" s="103"/>
      <c r="AZ14" s="193"/>
      <c r="BA14" s="196">
        <f t="shared" si="10"/>
        <v>0</v>
      </c>
      <c r="BB14" s="197">
        <f t="shared" si="11"/>
        <v>0</v>
      </c>
      <c r="BC14" s="197">
        <f t="shared" si="12"/>
        <v>0</v>
      </c>
      <c r="BD14" s="197">
        <f t="shared" si="13"/>
        <v>0</v>
      </c>
      <c r="BE14" s="197">
        <f t="shared" si="14"/>
        <v>0</v>
      </c>
      <c r="BF14" s="197">
        <f t="shared" si="15"/>
        <v>0</v>
      </c>
      <c r="BG14" s="197">
        <f t="shared" si="16"/>
        <v>0</v>
      </c>
      <c r="BH14" s="197">
        <f t="shared" si="17"/>
        <v>0</v>
      </c>
      <c r="BI14" s="197">
        <f t="shared" si="18"/>
        <v>0</v>
      </c>
      <c r="BJ14" s="197">
        <f t="shared" si="19"/>
        <v>0</v>
      </c>
      <c r="BK14" s="197">
        <f t="shared" si="20"/>
        <v>0</v>
      </c>
      <c r="BL14" s="197">
        <f t="shared" si="21"/>
        <v>0</v>
      </c>
      <c r="BM14" s="197">
        <f t="shared" si="22"/>
        <v>0</v>
      </c>
      <c r="BN14" s="197">
        <f t="shared" si="23"/>
        <v>0</v>
      </c>
      <c r="BO14" s="197">
        <f t="shared" si="24"/>
        <v>0</v>
      </c>
      <c r="BP14" s="197">
        <f t="shared" si="25"/>
        <v>0</v>
      </c>
      <c r="BQ14" s="197">
        <f t="shared" si="26"/>
        <v>0</v>
      </c>
      <c r="BR14" s="211"/>
      <c r="BS14" s="195">
        <f t="shared" si="0"/>
        <v>0</v>
      </c>
      <c r="BT14" s="201">
        <f t="shared" si="1"/>
        <v>0</v>
      </c>
      <c r="BU14" s="201">
        <f>第3期!AQ116*0.5</f>
        <v>0</v>
      </c>
      <c r="BV14" s="205" t="e">
        <f>AVERAGE(BT39:CI39)*初始化表!B$31</f>
        <v>#DIV/0!</v>
      </c>
      <c r="BW14" s="205" t="e">
        <f>$BT14*(AL116-BW$25)/BW$26*初始化表!B$30</f>
        <v>#DIV/0!</v>
      </c>
      <c r="BX14" s="205" t="e">
        <f>$BT14*(AM116-BX$25)/BX$26*初始化表!B$33</f>
        <v>#DIV/0!</v>
      </c>
      <c r="BY14" s="205" t="e">
        <f>$BT14*(AN116-BY$25)/BY$26*初始化表!B$32</f>
        <v>#DIV/0!</v>
      </c>
      <c r="BZ14" s="205" t="e">
        <f>$BT14*(AP116-BZ$25)/BZ$26*初始化表!B$34</f>
        <v>#DIV/0!</v>
      </c>
      <c r="CA14" s="205" t="e">
        <f>$BT$5*(AW116-CA$25)/CA$26*初始化表!B$36</f>
        <v>#DIV/0!</v>
      </c>
      <c r="CB14" s="205" t="e">
        <f t="shared" si="4"/>
        <v>#DIV/0!</v>
      </c>
      <c r="CC14" s="201">
        <f t="shared" si="5"/>
        <v>0</v>
      </c>
      <c r="CD14" s="229" t="e">
        <f t="shared" si="6"/>
        <v>#DIV/0!</v>
      </c>
      <c r="CE14" s="229">
        <f t="shared" si="7"/>
        <v>0</v>
      </c>
      <c r="CF14" s="229">
        <f t="shared" si="8"/>
        <v>0</v>
      </c>
      <c r="CG14" s="226"/>
      <c r="CH14" s="226"/>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c r="DP14" s="228"/>
      <c r="DQ14" s="228"/>
    </row>
    <row r="15" s="61" customFormat="1" ht="16" customHeight="1" spans="1:121">
      <c r="A15" s="269" t="s">
        <v>524</v>
      </c>
      <c r="B15" s="71">
        <f t="shared" si="33"/>
        <v>0</v>
      </c>
      <c r="C15" s="71">
        <f t="shared" si="32"/>
        <v>0</v>
      </c>
      <c r="D15" s="71">
        <f t="shared" si="32"/>
        <v>0</v>
      </c>
      <c r="E15" s="71">
        <f t="shared" si="32"/>
        <v>0</v>
      </c>
      <c r="F15" s="272" t="e">
        <f>F64</f>
        <v>#DIV/0!</v>
      </c>
      <c r="G15" s="73"/>
      <c r="H15" s="269" t="s">
        <v>542</v>
      </c>
      <c r="I15" s="87" t="e">
        <f>第3期!H17/第3期!N49</f>
        <v>#DIV/0!</v>
      </c>
      <c r="J15" s="87" t="e">
        <f>N49*I14-H17</f>
        <v>#DIV/0!</v>
      </c>
      <c r="K15" s="87" t="e">
        <f>N49*I15-H17</f>
        <v>#DIV/0!</v>
      </c>
      <c r="L15" s="77" t="e">
        <f>C22+I15*(O49-N49)</f>
        <v>#DIV/0!</v>
      </c>
      <c r="M15" s="85"/>
      <c r="N15" s="269" t="s">
        <v>198</v>
      </c>
      <c r="O15" s="71" t="e">
        <f t="shared" ref="O15:R16" si="34">INT((1+O10+IF(V42&gt;V17,(V17-V42)/V17/15,(V17-V42)/V17/10))*V23)</f>
        <v>#DIV/0!</v>
      </c>
      <c r="P15" s="71" t="e">
        <f t="shared" si="34"/>
        <v>#DIV/0!</v>
      </c>
      <c r="Q15" s="71" t="e">
        <f t="shared" si="34"/>
        <v>#DIV/0!</v>
      </c>
      <c r="R15" s="71" t="e">
        <f t="shared" si="34"/>
        <v>#DIV/0!</v>
      </c>
      <c r="S15" s="126"/>
      <c r="T15" s="120"/>
      <c r="U15" s="123"/>
      <c r="V15" s="74"/>
      <c r="W15" s="74"/>
      <c r="X15" s="74"/>
      <c r="Y15" s="74"/>
      <c r="Z15" s="74"/>
      <c r="AA15" s="73"/>
      <c r="AB15" s="399"/>
      <c r="AC15" s="399"/>
      <c r="AD15" s="399"/>
      <c r="AE15" s="399"/>
      <c r="AF15" s="399"/>
      <c r="AG15" s="155"/>
      <c r="AH15" s="73"/>
      <c r="AI15" s="359"/>
      <c r="AJ15" s="359"/>
      <c r="AK15" s="360"/>
      <c r="AL15" s="360">
        <f>X43</f>
        <v>0</v>
      </c>
      <c r="AM15" s="361"/>
      <c r="AN15" s="362"/>
      <c r="AO15" s="360"/>
      <c r="AP15" s="360"/>
      <c r="AQ15" s="369"/>
      <c r="AR15" s="103"/>
      <c r="AS15" s="103">
        <f t="shared" si="27"/>
        <v>0</v>
      </c>
      <c r="AT15" s="103"/>
      <c r="AU15" s="103"/>
      <c r="AV15" s="103"/>
      <c r="AW15" s="103"/>
      <c r="AZ15" s="193"/>
      <c r="BA15" s="196">
        <f t="shared" si="10"/>
        <v>0</v>
      </c>
      <c r="BB15" s="197">
        <f t="shared" si="11"/>
        <v>0</v>
      </c>
      <c r="BC15" s="197">
        <f t="shared" si="12"/>
        <v>0</v>
      </c>
      <c r="BD15" s="197">
        <f t="shared" si="13"/>
        <v>0</v>
      </c>
      <c r="BE15" s="197">
        <f t="shared" si="14"/>
        <v>0</v>
      </c>
      <c r="BF15" s="197">
        <f t="shared" si="15"/>
        <v>0</v>
      </c>
      <c r="BG15" s="197">
        <f t="shared" si="16"/>
        <v>0</v>
      </c>
      <c r="BH15" s="197">
        <f t="shared" si="17"/>
        <v>0</v>
      </c>
      <c r="BI15" s="197">
        <f t="shared" si="18"/>
        <v>0</v>
      </c>
      <c r="BJ15" s="197">
        <f t="shared" si="19"/>
        <v>0</v>
      </c>
      <c r="BK15" s="197">
        <f t="shared" si="20"/>
        <v>0</v>
      </c>
      <c r="BL15" s="197">
        <f t="shared" si="21"/>
        <v>0</v>
      </c>
      <c r="BM15" s="197">
        <f t="shared" si="22"/>
        <v>0</v>
      </c>
      <c r="BN15" s="197">
        <f t="shared" si="23"/>
        <v>0</v>
      </c>
      <c r="BO15" s="197">
        <f t="shared" si="24"/>
        <v>0</v>
      </c>
      <c r="BP15" s="197">
        <f t="shared" si="25"/>
        <v>0</v>
      </c>
      <c r="BQ15" s="197">
        <f t="shared" si="26"/>
        <v>0</v>
      </c>
      <c r="BR15" s="211"/>
      <c r="BS15" s="195">
        <f t="shared" si="0"/>
        <v>0</v>
      </c>
      <c r="BT15" s="201">
        <f t="shared" si="1"/>
        <v>0</v>
      </c>
      <c r="BU15" s="201">
        <f>第3期!AQ117*0.5</f>
        <v>0</v>
      </c>
      <c r="BV15" s="205" t="e">
        <f>AVERAGE(BT40:CI40)*初始化表!B$31</f>
        <v>#DIV/0!</v>
      </c>
      <c r="BW15" s="205" t="e">
        <f>$BT15*(AL117-BW$25)/BW$26*初始化表!B$30</f>
        <v>#DIV/0!</v>
      </c>
      <c r="BX15" s="205" t="e">
        <f>$BT15*(AM117-BX$25)/BX$26*初始化表!B$33</f>
        <v>#DIV/0!</v>
      </c>
      <c r="BY15" s="205" t="e">
        <f>$BT15*(AN117-BY$25)/BY$26*初始化表!B$32</f>
        <v>#DIV/0!</v>
      </c>
      <c r="BZ15" s="205" t="e">
        <f>$BT15*(AP117-BZ$25)/BZ$26*初始化表!B$34</f>
        <v>#DIV/0!</v>
      </c>
      <c r="CA15" s="205" t="e">
        <f>$BT$5*(AW117-CA$25)/CA$26*初始化表!B$36</f>
        <v>#DIV/0!</v>
      </c>
      <c r="CB15" s="205" t="e">
        <f t="shared" si="4"/>
        <v>#DIV/0!</v>
      </c>
      <c r="CC15" s="201">
        <f t="shared" si="5"/>
        <v>0</v>
      </c>
      <c r="CD15" s="229" t="e">
        <f t="shared" si="6"/>
        <v>#DIV/0!</v>
      </c>
      <c r="CE15" s="229">
        <f t="shared" si="7"/>
        <v>0</v>
      </c>
      <c r="CF15" s="229">
        <f t="shared" si="8"/>
        <v>0</v>
      </c>
      <c r="CG15" s="226"/>
      <c r="CH15" s="226"/>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c r="DP15" s="228"/>
      <c r="DQ15" s="228"/>
    </row>
    <row r="16" s="61" customFormat="1" ht="16" customHeight="1" spans="1:121">
      <c r="A16" s="269" t="s">
        <v>298</v>
      </c>
      <c r="B16" s="269" t="s">
        <v>103</v>
      </c>
      <c r="C16" s="269" t="s">
        <v>299</v>
      </c>
      <c r="D16" s="269" t="s">
        <v>104</v>
      </c>
      <c r="E16" s="269" t="s">
        <v>300</v>
      </c>
      <c r="F16" s="269" t="s">
        <v>110</v>
      </c>
      <c r="G16" s="73"/>
      <c r="H16" s="269" t="s">
        <v>543</v>
      </c>
      <c r="I16" s="269" t="s">
        <v>544</v>
      </c>
      <c r="J16" s="269" t="s">
        <v>545</v>
      </c>
      <c r="K16" s="269" t="s">
        <v>546</v>
      </c>
      <c r="L16" s="269" t="s">
        <v>547</v>
      </c>
      <c r="M16" s="85"/>
      <c r="N16" s="269" t="s">
        <v>202</v>
      </c>
      <c r="O16" s="71" t="e">
        <f t="shared" si="34"/>
        <v>#DIV/0!</v>
      </c>
      <c r="P16" s="71" t="e">
        <f t="shared" si="34"/>
        <v>#DIV/0!</v>
      </c>
      <c r="Q16" s="71" t="e">
        <f t="shared" si="34"/>
        <v>#DIV/0!</v>
      </c>
      <c r="R16" s="71" t="e">
        <f t="shared" si="34"/>
        <v>#DIV/0!</v>
      </c>
      <c r="S16" s="126"/>
      <c r="T16" s="120"/>
      <c r="U16" s="269" t="s">
        <v>548</v>
      </c>
      <c r="V16" s="269" t="s">
        <v>513</v>
      </c>
      <c r="W16" s="269" t="s">
        <v>514</v>
      </c>
      <c r="X16" s="269" t="s">
        <v>515</v>
      </c>
      <c r="Y16" s="269" t="s">
        <v>516</v>
      </c>
      <c r="Z16" s="269" t="s">
        <v>549</v>
      </c>
      <c r="AA16" s="73"/>
      <c r="AB16" s="154" t="s">
        <v>550</v>
      </c>
      <c r="AC16" s="154" t="s">
        <v>513</v>
      </c>
      <c r="AD16" s="154" t="s">
        <v>514</v>
      </c>
      <c r="AE16" s="154" t="s">
        <v>515</v>
      </c>
      <c r="AF16" s="154" t="s">
        <v>516</v>
      </c>
      <c r="AG16" s="74"/>
      <c r="AH16" s="73"/>
      <c r="AI16" s="359"/>
      <c r="AJ16" s="359"/>
      <c r="AK16" s="360"/>
      <c r="AL16" s="360">
        <f>Y43</f>
        <v>0</v>
      </c>
      <c r="AM16" s="361"/>
      <c r="AN16" s="362"/>
      <c r="AO16" s="360"/>
      <c r="AP16" s="360"/>
      <c r="AQ16" s="369"/>
      <c r="AR16" s="103">
        <f>SUM(AL13:AL16)</f>
        <v>0</v>
      </c>
      <c r="AS16" s="103">
        <f t="shared" si="27"/>
        <v>0</v>
      </c>
      <c r="AT16" s="103">
        <f>SUMIF(AS13:AS16,"&gt;=0",AS13:AS16)</f>
        <v>0</v>
      </c>
      <c r="AU16" s="103">
        <f>SUM(AO13:AO16)</f>
        <v>0</v>
      </c>
      <c r="AV16" s="103">
        <f>SUM(AP13:AP16)</f>
        <v>0</v>
      </c>
      <c r="AW16" s="103">
        <f>SUM(AQ13:AQ16)</f>
        <v>0</v>
      </c>
      <c r="AZ16" s="193"/>
      <c r="BA16" s="196">
        <f t="shared" si="10"/>
        <v>0</v>
      </c>
      <c r="BB16" s="197">
        <f t="shared" si="11"/>
        <v>0</v>
      </c>
      <c r="BC16" s="197">
        <f t="shared" si="12"/>
        <v>0</v>
      </c>
      <c r="BD16" s="197">
        <f t="shared" si="13"/>
        <v>0</v>
      </c>
      <c r="BE16" s="197">
        <f t="shared" si="14"/>
        <v>0</v>
      </c>
      <c r="BF16" s="197">
        <f t="shared" si="15"/>
        <v>0</v>
      </c>
      <c r="BG16" s="197">
        <f t="shared" si="16"/>
        <v>0</v>
      </c>
      <c r="BH16" s="197">
        <f t="shared" si="17"/>
        <v>0</v>
      </c>
      <c r="BI16" s="197">
        <f t="shared" si="18"/>
        <v>0</v>
      </c>
      <c r="BJ16" s="197">
        <f t="shared" si="19"/>
        <v>0</v>
      </c>
      <c r="BK16" s="197">
        <f t="shared" si="20"/>
        <v>0</v>
      </c>
      <c r="BL16" s="197">
        <f t="shared" si="21"/>
        <v>0</v>
      </c>
      <c r="BM16" s="197">
        <f t="shared" si="22"/>
        <v>0</v>
      </c>
      <c r="BN16" s="197">
        <f t="shared" si="23"/>
        <v>0</v>
      </c>
      <c r="BO16" s="197">
        <f t="shared" si="24"/>
        <v>0</v>
      </c>
      <c r="BP16" s="197">
        <f t="shared" si="25"/>
        <v>0</v>
      </c>
      <c r="BQ16" s="197">
        <f t="shared" si="26"/>
        <v>0</v>
      </c>
      <c r="BR16" s="211"/>
      <c r="BS16" s="195">
        <f t="shared" si="0"/>
        <v>0</v>
      </c>
      <c r="BT16" s="201">
        <f t="shared" si="1"/>
        <v>0</v>
      </c>
      <c r="BU16" s="201">
        <f>第3期!AQ118*0.5</f>
        <v>0</v>
      </c>
      <c r="BV16" s="205" t="e">
        <f>AVERAGE(BT41:CI41)*初始化表!B$31</f>
        <v>#DIV/0!</v>
      </c>
      <c r="BW16" s="205" t="e">
        <f>$BT16*(AL118-BW$25)/BW$26*初始化表!B$30</f>
        <v>#DIV/0!</v>
      </c>
      <c r="BX16" s="205" t="e">
        <f>$BT16*(AM118-BX$25)/BX$26*初始化表!B$33</f>
        <v>#DIV/0!</v>
      </c>
      <c r="BY16" s="205" t="e">
        <f>$BT16*(AN118-BY$25)/BY$26*初始化表!B$32</f>
        <v>#DIV/0!</v>
      </c>
      <c r="BZ16" s="205" t="e">
        <f>$BT16*(AP118-BZ$25)/BZ$26*初始化表!B$34</f>
        <v>#DIV/0!</v>
      </c>
      <c r="CA16" s="205" t="e">
        <f>$BT$5*(AW118-CA$25)/CA$26*初始化表!B$36</f>
        <v>#DIV/0!</v>
      </c>
      <c r="CB16" s="205" t="e">
        <f t="shared" si="4"/>
        <v>#DIV/0!</v>
      </c>
      <c r="CC16" s="201">
        <f t="shared" si="5"/>
        <v>0</v>
      </c>
      <c r="CD16" s="229" t="e">
        <f t="shared" si="6"/>
        <v>#DIV/0!</v>
      </c>
      <c r="CE16" s="229">
        <f t="shared" si="7"/>
        <v>0</v>
      </c>
      <c r="CF16" s="229">
        <f t="shared" si="8"/>
        <v>0</v>
      </c>
      <c r="CG16" s="226"/>
      <c r="CH16" s="226"/>
      <c r="CI16" s="227"/>
      <c r="CJ16" s="228"/>
      <c r="CK16" s="227"/>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c r="DQ16" s="228"/>
    </row>
    <row r="17" s="61" customFormat="1" ht="16" customHeight="1" spans="1:121">
      <c r="A17" s="269" t="s">
        <v>521</v>
      </c>
      <c r="B17" s="71">
        <f>I25</f>
        <v>0</v>
      </c>
      <c r="C17" s="71">
        <f t="shared" ref="C17:E20" si="35">J25</f>
        <v>0</v>
      </c>
      <c r="D17" s="71">
        <f t="shared" si="35"/>
        <v>0</v>
      </c>
      <c r="E17" s="71">
        <f t="shared" si="35"/>
        <v>0</v>
      </c>
      <c r="F17" s="72">
        <f>J6</f>
        <v>0</v>
      </c>
      <c r="G17" s="73"/>
      <c r="H17" s="77">
        <f>第3期!F68</f>
        <v>0</v>
      </c>
      <c r="I17" s="77">
        <f>INT(0.5*H17)</f>
        <v>0</v>
      </c>
      <c r="J17" s="77">
        <f>IF(初始化表!B1=1,INT(3%*H17),INT(3%*H17+0.99))</f>
        <v>0</v>
      </c>
      <c r="K17" s="77">
        <f>INT(0.1*H17)</f>
        <v>0</v>
      </c>
      <c r="L17" s="77">
        <f>H17+B22-C22</f>
        <v>0</v>
      </c>
      <c r="M17" s="85"/>
      <c r="N17" s="269" t="s">
        <v>206</v>
      </c>
      <c r="O17" s="71" t="e">
        <f t="shared" ref="O17:R18" si="36">INT((1+O12+IF(V44&gt;V19,(V19-V44)/V19/20,(V19-V44)/V19/8))*V25)</f>
        <v>#DIV/0!</v>
      </c>
      <c r="P17" s="71" t="e">
        <f t="shared" si="36"/>
        <v>#DIV/0!</v>
      </c>
      <c r="Q17" s="71" t="e">
        <f t="shared" si="36"/>
        <v>#DIV/0!</v>
      </c>
      <c r="R17" s="71" t="e">
        <f t="shared" si="36"/>
        <v>#DIV/0!</v>
      </c>
      <c r="S17" s="126"/>
      <c r="T17" s="120"/>
      <c r="U17" s="269" t="s">
        <v>521</v>
      </c>
      <c r="V17" s="115">
        <f>第3期!AL9</f>
        <v>0</v>
      </c>
      <c r="W17" s="115">
        <f>第3期!AL10</f>
        <v>0</v>
      </c>
      <c r="X17" s="115">
        <f>第3期!AL11</f>
        <v>0</v>
      </c>
      <c r="Y17" s="115">
        <f>第3期!AL12</f>
        <v>0</v>
      </c>
      <c r="Z17" s="398">
        <f>SUM(V17:Y17)</f>
        <v>0</v>
      </c>
      <c r="AA17" s="73"/>
      <c r="AB17" s="154" t="s">
        <v>198</v>
      </c>
      <c r="AC17" s="156" t="e">
        <f>AC11/初始化表!$E$18</f>
        <v>#DIV/0!</v>
      </c>
      <c r="AD17" s="156" t="e">
        <f>AD11/初始化表!$E$18</f>
        <v>#DIV/0!</v>
      </c>
      <c r="AE17" s="156" t="e">
        <f>AE11/初始化表!$E$18</f>
        <v>#DIV/0!</v>
      </c>
      <c r="AF17" s="156" t="e">
        <f>AF11/初始化表!$E$18</f>
        <v>#DIV/0!</v>
      </c>
      <c r="AG17" s="74"/>
      <c r="AH17" s="73"/>
      <c r="AI17" s="359"/>
      <c r="AJ17" s="359"/>
      <c r="AK17" s="360"/>
      <c r="AL17" s="360">
        <f>V44</f>
        <v>0</v>
      </c>
      <c r="AM17" s="361"/>
      <c r="AN17" s="362"/>
      <c r="AO17" s="360"/>
      <c r="AP17" s="360"/>
      <c r="AQ17" s="369"/>
      <c r="AR17" s="103"/>
      <c r="AS17" s="103">
        <f t="shared" si="27"/>
        <v>0</v>
      </c>
      <c r="AT17" s="103"/>
      <c r="AU17" s="103"/>
      <c r="AV17" s="103"/>
      <c r="AW17" s="103"/>
      <c r="AZ17" s="193"/>
      <c r="BA17" s="196">
        <f t="shared" si="10"/>
        <v>0</v>
      </c>
      <c r="BB17" s="197">
        <f t="shared" si="11"/>
        <v>0</v>
      </c>
      <c r="BC17" s="197">
        <f t="shared" si="12"/>
        <v>0</v>
      </c>
      <c r="BD17" s="197">
        <f t="shared" si="13"/>
        <v>0</v>
      </c>
      <c r="BE17" s="197">
        <f t="shared" si="14"/>
        <v>0</v>
      </c>
      <c r="BF17" s="197">
        <f t="shared" si="15"/>
        <v>0</v>
      </c>
      <c r="BG17" s="197">
        <f t="shared" si="16"/>
        <v>0</v>
      </c>
      <c r="BH17" s="197">
        <f t="shared" si="17"/>
        <v>0</v>
      </c>
      <c r="BI17" s="197">
        <f t="shared" si="18"/>
        <v>0</v>
      </c>
      <c r="BJ17" s="197">
        <f t="shared" si="19"/>
        <v>0</v>
      </c>
      <c r="BK17" s="197">
        <f t="shared" si="20"/>
        <v>0</v>
      </c>
      <c r="BL17" s="197">
        <f t="shared" si="21"/>
        <v>0</v>
      </c>
      <c r="BM17" s="197">
        <f t="shared" si="22"/>
        <v>0</v>
      </c>
      <c r="BN17" s="197">
        <f t="shared" si="23"/>
        <v>0</v>
      </c>
      <c r="BO17" s="197">
        <f t="shared" si="24"/>
        <v>0</v>
      </c>
      <c r="BP17" s="197">
        <f t="shared" si="25"/>
        <v>0</v>
      </c>
      <c r="BQ17" s="197">
        <f t="shared" si="26"/>
        <v>0</v>
      </c>
      <c r="BR17" s="211"/>
      <c r="BS17" s="195">
        <f t="shared" si="0"/>
        <v>0</v>
      </c>
      <c r="BT17" s="201">
        <f t="shared" si="1"/>
        <v>0</v>
      </c>
      <c r="BU17" s="201">
        <f>第3期!AQ119*0.5</f>
        <v>0</v>
      </c>
      <c r="BV17" s="205" t="e">
        <f>AVERAGE(BT42:CI42)*初始化表!B$31</f>
        <v>#DIV/0!</v>
      </c>
      <c r="BW17" s="205" t="e">
        <f>$BT17*(AL119-BW$25)/BW$26*初始化表!B$30</f>
        <v>#DIV/0!</v>
      </c>
      <c r="BX17" s="205" t="e">
        <f>$BT17*(AM119-BX$25)/BX$26*初始化表!B$33</f>
        <v>#DIV/0!</v>
      </c>
      <c r="BY17" s="205" t="e">
        <f>$BT17*(AN119-BY$25)/BY$26*初始化表!B$32</f>
        <v>#DIV/0!</v>
      </c>
      <c r="BZ17" s="205" t="e">
        <f>$BT17*(AP119-BZ$25)/BZ$26*初始化表!B$34</f>
        <v>#DIV/0!</v>
      </c>
      <c r="CA17" s="205" t="e">
        <f>$BT$5*(AW119-CA$25)/CA$26*初始化表!B$36</f>
        <v>#DIV/0!</v>
      </c>
      <c r="CB17" s="205" t="e">
        <f t="shared" si="4"/>
        <v>#DIV/0!</v>
      </c>
      <c r="CC17" s="201">
        <f t="shared" si="5"/>
        <v>0</v>
      </c>
      <c r="CD17" s="229" t="e">
        <f t="shared" si="6"/>
        <v>#DIV/0!</v>
      </c>
      <c r="CE17" s="229">
        <f t="shared" si="7"/>
        <v>0</v>
      </c>
      <c r="CF17" s="229">
        <f t="shared" si="8"/>
        <v>0</v>
      </c>
      <c r="CG17" s="226"/>
      <c r="CH17" s="226"/>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c r="DP17" s="228"/>
      <c r="DQ17" s="228"/>
    </row>
    <row r="18" s="61" customFormat="1" ht="16" customHeight="1" spans="1:121">
      <c r="A18" s="269" t="s">
        <v>522</v>
      </c>
      <c r="B18" s="71">
        <f t="shared" ref="B18:B20" si="37">I26</f>
        <v>0</v>
      </c>
      <c r="C18" s="71">
        <f t="shared" si="35"/>
        <v>0</v>
      </c>
      <c r="D18" s="71">
        <f t="shared" si="35"/>
        <v>0</v>
      </c>
      <c r="E18" s="71">
        <f t="shared" si="35"/>
        <v>0</v>
      </c>
      <c r="F18" s="72">
        <f t="shared" ref="F18:F20" si="38">J7</f>
        <v>0</v>
      </c>
      <c r="G18" s="73"/>
      <c r="H18" s="269" t="s">
        <v>551</v>
      </c>
      <c r="I18" s="277"/>
      <c r="J18" s="269" t="s">
        <v>552</v>
      </c>
      <c r="K18" s="90"/>
      <c r="L18" s="74"/>
      <c r="M18" s="85"/>
      <c r="N18" s="269" t="s">
        <v>208</v>
      </c>
      <c r="O18" s="71" t="e">
        <f t="shared" si="36"/>
        <v>#DIV/0!</v>
      </c>
      <c r="P18" s="71" t="e">
        <f t="shared" si="36"/>
        <v>#DIV/0!</v>
      </c>
      <c r="Q18" s="71" t="e">
        <f t="shared" si="36"/>
        <v>#DIV/0!</v>
      </c>
      <c r="R18" s="71" t="e">
        <f t="shared" si="36"/>
        <v>#DIV/0!</v>
      </c>
      <c r="S18" s="126"/>
      <c r="T18" s="127" t="s">
        <v>716</v>
      </c>
      <c r="U18" s="269" t="s">
        <v>522</v>
      </c>
      <c r="V18" s="115">
        <f>第3期!AL13</f>
        <v>0</v>
      </c>
      <c r="W18" s="115">
        <f>第3期!AL14</f>
        <v>0</v>
      </c>
      <c r="X18" s="115">
        <f>第3期!AL15</f>
        <v>0</v>
      </c>
      <c r="Y18" s="115">
        <f>第3期!AL16</f>
        <v>0</v>
      </c>
      <c r="Z18" s="398">
        <f>SUM(V18:Y18)</f>
        <v>0</v>
      </c>
      <c r="AA18" s="73"/>
      <c r="AB18" s="154" t="s">
        <v>202</v>
      </c>
      <c r="AC18" s="156" t="e">
        <f>AC12/初始化表!$F$18</f>
        <v>#DIV/0!</v>
      </c>
      <c r="AD18" s="156" t="e">
        <f>AD12/初始化表!$F$18</f>
        <v>#DIV/0!</v>
      </c>
      <c r="AE18" s="156" t="e">
        <f>AE12/初始化表!$F$18</f>
        <v>#DIV/0!</v>
      </c>
      <c r="AF18" s="156" t="e">
        <f>AF12/初始化表!$F$18</f>
        <v>#DIV/0!</v>
      </c>
      <c r="AG18" s="74"/>
      <c r="AH18" s="73"/>
      <c r="AI18" s="359"/>
      <c r="AJ18" s="359"/>
      <c r="AK18" s="360"/>
      <c r="AL18" s="360">
        <f>W44</f>
        <v>0</v>
      </c>
      <c r="AM18" s="361"/>
      <c r="AN18" s="362"/>
      <c r="AO18" s="360"/>
      <c r="AP18" s="360"/>
      <c r="AQ18" s="369"/>
      <c r="AR18" s="103"/>
      <c r="AS18" s="103">
        <f t="shared" si="27"/>
        <v>0</v>
      </c>
      <c r="AT18" s="103"/>
      <c r="AU18" s="103"/>
      <c r="AV18" s="103"/>
      <c r="AW18" s="103"/>
      <c r="AZ18" s="193"/>
      <c r="BA18" s="196">
        <f t="shared" si="10"/>
        <v>0</v>
      </c>
      <c r="BB18" s="197">
        <f t="shared" si="11"/>
        <v>0</v>
      </c>
      <c r="BC18" s="197">
        <f t="shared" si="12"/>
        <v>0</v>
      </c>
      <c r="BD18" s="197">
        <f t="shared" si="13"/>
        <v>0</v>
      </c>
      <c r="BE18" s="197">
        <f t="shared" si="14"/>
        <v>0</v>
      </c>
      <c r="BF18" s="197">
        <f t="shared" si="15"/>
        <v>0</v>
      </c>
      <c r="BG18" s="197">
        <f t="shared" si="16"/>
        <v>0</v>
      </c>
      <c r="BH18" s="197">
        <f t="shared" si="17"/>
        <v>0</v>
      </c>
      <c r="BI18" s="197">
        <f t="shared" si="18"/>
        <v>0</v>
      </c>
      <c r="BJ18" s="197">
        <f t="shared" si="19"/>
        <v>0</v>
      </c>
      <c r="BK18" s="197">
        <f t="shared" si="20"/>
        <v>0</v>
      </c>
      <c r="BL18" s="197">
        <f t="shared" si="21"/>
        <v>0</v>
      </c>
      <c r="BM18" s="197">
        <f t="shared" si="22"/>
        <v>0</v>
      </c>
      <c r="BN18" s="197">
        <f t="shared" si="23"/>
        <v>0</v>
      </c>
      <c r="BO18" s="197">
        <f t="shared" si="24"/>
        <v>0</v>
      </c>
      <c r="BP18" s="197">
        <f t="shared" si="25"/>
        <v>0</v>
      </c>
      <c r="BQ18" s="197">
        <f t="shared" si="26"/>
        <v>0</v>
      </c>
      <c r="BR18" s="211"/>
      <c r="BS18" s="195">
        <f t="shared" si="0"/>
        <v>0</v>
      </c>
      <c r="BT18" s="201">
        <f t="shared" si="1"/>
        <v>0</v>
      </c>
      <c r="BU18" s="201">
        <f>第3期!AQ120*0.5</f>
        <v>0</v>
      </c>
      <c r="BV18" s="205" t="e">
        <f>AVERAGE(BT43:CI43)*初始化表!B$31</f>
        <v>#DIV/0!</v>
      </c>
      <c r="BW18" s="205" t="e">
        <f>$BT18*(AL120-BW$25)/BW$26*初始化表!B$30</f>
        <v>#DIV/0!</v>
      </c>
      <c r="BX18" s="205" t="e">
        <f>$BT18*(AM120-BX$25)/BX$26*初始化表!B$33</f>
        <v>#DIV/0!</v>
      </c>
      <c r="BY18" s="205" t="e">
        <f>$BT18*(AN120-BY$25)/BY$26*初始化表!B$32</f>
        <v>#DIV/0!</v>
      </c>
      <c r="BZ18" s="205" t="e">
        <f>$BT18*(AP120-BZ$25)/BZ$26*初始化表!B$34</f>
        <v>#DIV/0!</v>
      </c>
      <c r="CA18" s="205" t="e">
        <f>$BT$5*(AW120-CA$25)/CA$26*初始化表!B$36</f>
        <v>#DIV/0!</v>
      </c>
      <c r="CB18" s="205" t="e">
        <f t="shared" si="4"/>
        <v>#DIV/0!</v>
      </c>
      <c r="CC18" s="201">
        <f t="shared" si="5"/>
        <v>0</v>
      </c>
      <c r="CD18" s="229" t="e">
        <f t="shared" si="6"/>
        <v>#DIV/0!</v>
      </c>
      <c r="CE18" s="229">
        <f t="shared" si="7"/>
        <v>0</v>
      </c>
      <c r="CF18" s="229">
        <f t="shared" si="8"/>
        <v>0</v>
      </c>
      <c r="CG18" s="226"/>
      <c r="CH18" s="226"/>
      <c r="CI18" s="227"/>
      <c r="CJ18" s="228"/>
      <c r="CK18" s="227"/>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c r="DP18" s="228"/>
      <c r="DQ18" s="228"/>
    </row>
    <row r="19" s="61" customFormat="1" ht="16" customHeight="1" spans="1:121">
      <c r="A19" s="269" t="s">
        <v>523</v>
      </c>
      <c r="B19" s="71">
        <f t="shared" si="37"/>
        <v>0</v>
      </c>
      <c r="C19" s="71">
        <f t="shared" si="35"/>
        <v>0</v>
      </c>
      <c r="D19" s="71">
        <f t="shared" si="35"/>
        <v>0</v>
      </c>
      <c r="E19" s="71">
        <f t="shared" si="35"/>
        <v>0</v>
      </c>
      <c r="F19" s="72">
        <f t="shared" si="38"/>
        <v>0</v>
      </c>
      <c r="G19" s="73"/>
      <c r="H19" s="270"/>
      <c r="I19" s="269" t="s">
        <v>554</v>
      </c>
      <c r="J19" s="269" t="s">
        <v>555</v>
      </c>
      <c r="K19" s="269" t="s">
        <v>556</v>
      </c>
      <c r="L19" s="91"/>
      <c r="M19" s="85"/>
      <c r="N19" s="269" t="s">
        <v>557</v>
      </c>
      <c r="O19" s="269" t="s">
        <v>513</v>
      </c>
      <c r="P19" s="269" t="s">
        <v>514</v>
      </c>
      <c r="Q19" s="269" t="s">
        <v>515</v>
      </c>
      <c r="R19" s="269" t="s">
        <v>516</v>
      </c>
      <c r="S19" s="121"/>
      <c r="T19" s="127"/>
      <c r="U19" s="269" t="s">
        <v>523</v>
      </c>
      <c r="V19" s="115">
        <f>第3期!AL17</f>
        <v>0</v>
      </c>
      <c r="W19" s="115">
        <f>第3期!AL18</f>
        <v>0</v>
      </c>
      <c r="X19" s="115">
        <f>第3期!AL19</f>
        <v>0</v>
      </c>
      <c r="Y19" s="115">
        <f>第3期!AL20</f>
        <v>0</v>
      </c>
      <c r="Z19" s="398">
        <f>SUM(V19:Y19)</f>
        <v>0</v>
      </c>
      <c r="AA19" s="73"/>
      <c r="AB19" s="154" t="s">
        <v>206</v>
      </c>
      <c r="AC19" s="156" t="e">
        <f>AC13/初始化表!$G$18</f>
        <v>#DIV/0!</v>
      </c>
      <c r="AD19" s="156" t="e">
        <f>AD13/初始化表!$G$18</f>
        <v>#DIV/0!</v>
      </c>
      <c r="AE19" s="156" t="e">
        <f>AE13/初始化表!$G$18</f>
        <v>#DIV/0!</v>
      </c>
      <c r="AF19" s="156" t="e">
        <f>AF13/初始化表!$G$18</f>
        <v>#DIV/0!</v>
      </c>
      <c r="AG19" s="74"/>
      <c r="AH19" s="73"/>
      <c r="AI19" s="359"/>
      <c r="AJ19" s="359"/>
      <c r="AK19" s="360"/>
      <c r="AL19" s="360">
        <f>X44</f>
        <v>0</v>
      </c>
      <c r="AM19" s="361"/>
      <c r="AN19" s="362"/>
      <c r="AO19" s="360"/>
      <c r="AP19" s="360"/>
      <c r="AQ19" s="369"/>
      <c r="AR19" s="103"/>
      <c r="AS19" s="103">
        <f t="shared" si="27"/>
        <v>0</v>
      </c>
      <c r="AT19" s="103"/>
      <c r="AU19" s="103"/>
      <c r="AV19" s="103"/>
      <c r="AW19" s="103"/>
      <c r="AZ19" s="193"/>
      <c r="BA19" s="196">
        <f t="shared" si="10"/>
        <v>0</v>
      </c>
      <c r="BB19" s="197">
        <f t="shared" si="11"/>
        <v>0</v>
      </c>
      <c r="BC19" s="197">
        <f t="shared" si="12"/>
        <v>0</v>
      </c>
      <c r="BD19" s="197">
        <f t="shared" si="13"/>
        <v>0</v>
      </c>
      <c r="BE19" s="197">
        <f t="shared" si="14"/>
        <v>0</v>
      </c>
      <c r="BF19" s="197">
        <f t="shared" si="15"/>
        <v>0</v>
      </c>
      <c r="BG19" s="197">
        <f t="shared" si="16"/>
        <v>0</v>
      </c>
      <c r="BH19" s="197">
        <f t="shared" si="17"/>
        <v>0</v>
      </c>
      <c r="BI19" s="197">
        <f t="shared" si="18"/>
        <v>0</v>
      </c>
      <c r="BJ19" s="197">
        <f t="shared" si="19"/>
        <v>0</v>
      </c>
      <c r="BK19" s="197">
        <f t="shared" si="20"/>
        <v>0</v>
      </c>
      <c r="BL19" s="197">
        <f t="shared" si="21"/>
        <v>0</v>
      </c>
      <c r="BM19" s="197">
        <f t="shared" si="22"/>
        <v>0</v>
      </c>
      <c r="BN19" s="197">
        <f t="shared" si="23"/>
        <v>0</v>
      </c>
      <c r="BO19" s="197">
        <f t="shared" si="24"/>
        <v>0</v>
      </c>
      <c r="BP19" s="197">
        <f t="shared" si="25"/>
        <v>0</v>
      </c>
      <c r="BQ19" s="197">
        <f t="shared" si="26"/>
        <v>0</v>
      </c>
      <c r="BR19" s="211"/>
      <c r="BS19" s="195">
        <f t="shared" si="0"/>
        <v>0</v>
      </c>
      <c r="BT19" s="201">
        <f t="shared" si="1"/>
        <v>0</v>
      </c>
      <c r="BU19" s="201">
        <f>第3期!AQ121*0.5</f>
        <v>0</v>
      </c>
      <c r="BV19" s="205" t="e">
        <f>AVERAGE(BT44:CI44)*初始化表!B$31</f>
        <v>#DIV/0!</v>
      </c>
      <c r="BW19" s="205" t="e">
        <f>$BT19*(AL121-BW$25)/BW$26*初始化表!B$30</f>
        <v>#DIV/0!</v>
      </c>
      <c r="BX19" s="205" t="e">
        <f>$BT19*(AM121-BX$25)/BX$26*初始化表!B$33</f>
        <v>#DIV/0!</v>
      </c>
      <c r="BY19" s="205" t="e">
        <f>$BT19*(AN121-BY$25)/BY$26*初始化表!B$32</f>
        <v>#DIV/0!</v>
      </c>
      <c r="BZ19" s="205" t="e">
        <f>$BT19*(AP121-BZ$25)/BZ$26*初始化表!B$34</f>
        <v>#DIV/0!</v>
      </c>
      <c r="CA19" s="205" t="e">
        <f>$BT$5*(AW121-CA$25)/CA$26*初始化表!B$36</f>
        <v>#DIV/0!</v>
      </c>
      <c r="CB19" s="205" t="e">
        <f t="shared" si="4"/>
        <v>#DIV/0!</v>
      </c>
      <c r="CC19" s="201">
        <f t="shared" si="5"/>
        <v>0</v>
      </c>
      <c r="CD19" s="229" t="e">
        <f t="shared" si="6"/>
        <v>#DIV/0!</v>
      </c>
      <c r="CE19" s="229">
        <f t="shared" si="7"/>
        <v>0</v>
      </c>
      <c r="CF19" s="229">
        <f t="shared" si="8"/>
        <v>0</v>
      </c>
      <c r="CG19" s="226"/>
      <c r="CH19" s="226"/>
      <c r="CI19" s="228"/>
      <c r="CJ19" s="228"/>
      <c r="CK19" s="228"/>
      <c r="CL19" s="228"/>
      <c r="CM19" s="228"/>
      <c r="CN19" s="228"/>
      <c r="CO19" s="228"/>
      <c r="CP19" s="228"/>
      <c r="CQ19" s="228"/>
      <c r="CR19" s="228"/>
      <c r="CS19" s="228"/>
      <c r="CT19" s="228"/>
      <c r="CU19" s="228"/>
      <c r="CV19" s="228"/>
      <c r="CW19" s="228"/>
      <c r="CX19" s="228"/>
      <c r="CY19" s="228"/>
      <c r="CZ19" s="228"/>
      <c r="DA19" s="228"/>
      <c r="DB19" s="228"/>
      <c r="DC19" s="228"/>
      <c r="DD19" s="228"/>
      <c r="DE19" s="228"/>
      <c r="DF19" s="228"/>
      <c r="DG19" s="228"/>
      <c r="DH19" s="228"/>
      <c r="DI19" s="228"/>
      <c r="DJ19" s="228"/>
      <c r="DK19" s="228"/>
      <c r="DL19" s="228"/>
      <c r="DM19" s="228"/>
      <c r="DN19" s="228"/>
      <c r="DO19" s="228"/>
      <c r="DP19" s="228"/>
      <c r="DQ19" s="228"/>
    </row>
    <row r="20" s="61" customFormat="1" ht="16" customHeight="1" spans="1:121">
      <c r="A20" s="269" t="s">
        <v>524</v>
      </c>
      <c r="B20" s="71">
        <f t="shared" si="37"/>
        <v>0</v>
      </c>
      <c r="C20" s="71">
        <f t="shared" si="35"/>
        <v>0</v>
      </c>
      <c r="D20" s="71">
        <f t="shared" si="35"/>
        <v>0</v>
      </c>
      <c r="E20" s="71">
        <f t="shared" si="35"/>
        <v>0</v>
      </c>
      <c r="F20" s="72">
        <f t="shared" si="38"/>
        <v>0</v>
      </c>
      <c r="G20" s="73"/>
      <c r="H20" s="269" t="s">
        <v>558</v>
      </c>
      <c r="I20" s="92" t="e">
        <f>(H17-K18)/N49</f>
        <v>#DIV/0!</v>
      </c>
      <c r="J20" s="92" t="e">
        <f>(H17-K18+I17/4)/N49</f>
        <v>#DIV/0!</v>
      </c>
      <c r="K20" s="92" t="e">
        <f>(H17-K18+I18/4)/N49</f>
        <v>#DIV/0!</v>
      </c>
      <c r="L20" s="91"/>
      <c r="M20" s="85"/>
      <c r="N20" s="269" t="s">
        <v>198</v>
      </c>
      <c r="O20" s="93" t="e">
        <f>O15</f>
        <v>#DIV/0!</v>
      </c>
      <c r="P20" s="93" t="e">
        <f t="shared" ref="P20:R20" si="39">P15</f>
        <v>#DIV/0!</v>
      </c>
      <c r="Q20" s="93" t="e">
        <f t="shared" si="39"/>
        <v>#DIV/0!</v>
      </c>
      <c r="R20" s="93" t="e">
        <f t="shared" si="39"/>
        <v>#DIV/0!</v>
      </c>
      <c r="S20" s="128"/>
      <c r="T20" s="395" t="e">
        <f>MAX(AC23,AD23,AE23,AF23)-MIN(AC23,AD23,AE23,AF23)</f>
        <v>#DIV/0!</v>
      </c>
      <c r="U20" s="269" t="s">
        <v>524</v>
      </c>
      <c r="V20" s="115">
        <f>第3期!AL21</f>
        <v>0</v>
      </c>
      <c r="W20" s="115">
        <f>第3期!AL22</f>
        <v>0</v>
      </c>
      <c r="X20" s="115">
        <f>第3期!AL23</f>
        <v>0</v>
      </c>
      <c r="Y20" s="115">
        <f>第3期!AL24</f>
        <v>0</v>
      </c>
      <c r="Z20" s="398">
        <f>SUM(V20:Y20)</f>
        <v>0</v>
      </c>
      <c r="AA20" s="73"/>
      <c r="AB20" s="154" t="s">
        <v>208</v>
      </c>
      <c r="AC20" s="156" t="e">
        <f>AC14/初始化表!$H$18</f>
        <v>#DIV/0!</v>
      </c>
      <c r="AD20" s="156" t="e">
        <f>AD14/初始化表!$H$18</f>
        <v>#DIV/0!</v>
      </c>
      <c r="AE20" s="156" t="e">
        <f>AE14/初始化表!$H$18</f>
        <v>#DIV/0!</v>
      </c>
      <c r="AF20" s="156" t="e">
        <f>AF14/初始化表!$H$18</f>
        <v>#DIV/0!</v>
      </c>
      <c r="AG20" s="74"/>
      <c r="AH20" s="73"/>
      <c r="AI20" s="359"/>
      <c r="AJ20" s="359"/>
      <c r="AK20" s="360"/>
      <c r="AL20" s="360">
        <f>Y44</f>
        <v>0</v>
      </c>
      <c r="AM20" s="361"/>
      <c r="AN20" s="362"/>
      <c r="AO20" s="360"/>
      <c r="AP20" s="360"/>
      <c r="AQ20" s="369"/>
      <c r="AR20" s="103">
        <f>SUM(AL17:AL20)</f>
        <v>0</v>
      </c>
      <c r="AS20" s="103">
        <f t="shared" si="27"/>
        <v>0</v>
      </c>
      <c r="AT20" s="103">
        <f>SUMIF(AS17:AS20,"&gt;=0",AS17:AS20)</f>
        <v>0</v>
      </c>
      <c r="AU20" s="103">
        <f>SUM(AO17:AO20)</f>
        <v>0</v>
      </c>
      <c r="AV20" s="103">
        <f>SUM(AP17:AP20)</f>
        <v>0</v>
      </c>
      <c r="AW20" s="103">
        <f>SUM(AQ17:AQ20)</f>
        <v>0</v>
      </c>
      <c r="AZ20" s="193"/>
      <c r="BA20" s="196">
        <f t="shared" si="10"/>
        <v>0</v>
      </c>
      <c r="BB20" s="197">
        <f t="shared" si="11"/>
        <v>0</v>
      </c>
      <c r="BC20" s="197">
        <f t="shared" si="12"/>
        <v>0</v>
      </c>
      <c r="BD20" s="197">
        <f t="shared" si="13"/>
        <v>0</v>
      </c>
      <c r="BE20" s="197">
        <f t="shared" si="14"/>
        <v>0</v>
      </c>
      <c r="BF20" s="197">
        <f t="shared" si="15"/>
        <v>0</v>
      </c>
      <c r="BG20" s="197">
        <f t="shared" si="16"/>
        <v>0</v>
      </c>
      <c r="BH20" s="197">
        <f t="shared" si="17"/>
        <v>0</v>
      </c>
      <c r="BI20" s="197">
        <f t="shared" si="18"/>
        <v>0</v>
      </c>
      <c r="BJ20" s="197">
        <f t="shared" si="19"/>
        <v>0</v>
      </c>
      <c r="BK20" s="197">
        <f t="shared" si="20"/>
        <v>0</v>
      </c>
      <c r="BL20" s="197">
        <f t="shared" si="21"/>
        <v>0</v>
      </c>
      <c r="BM20" s="197">
        <f t="shared" si="22"/>
        <v>0</v>
      </c>
      <c r="BN20" s="197">
        <f t="shared" si="23"/>
        <v>0</v>
      </c>
      <c r="BO20" s="197">
        <f t="shared" si="24"/>
        <v>0</v>
      </c>
      <c r="BP20" s="197">
        <f t="shared" si="25"/>
        <v>0</v>
      </c>
      <c r="BQ20" s="197">
        <f t="shared" si="26"/>
        <v>0</v>
      </c>
      <c r="BR20" s="211"/>
      <c r="BS20" s="195">
        <f t="shared" si="0"/>
        <v>0</v>
      </c>
      <c r="BT20" s="201">
        <f t="shared" si="1"/>
        <v>0</v>
      </c>
      <c r="BU20" s="201">
        <f>第3期!AQ122*0.5</f>
        <v>0</v>
      </c>
      <c r="BV20" s="205" t="e">
        <f>AVERAGE(BT45:CI45)*初始化表!B$31</f>
        <v>#DIV/0!</v>
      </c>
      <c r="BW20" s="205" t="e">
        <f>$BT20*(AL122-BW$25)/BW$26*初始化表!B$30</f>
        <v>#DIV/0!</v>
      </c>
      <c r="BX20" s="205" t="e">
        <f>$BT20*(AM122-BX$25)/BX$26*初始化表!B$33</f>
        <v>#DIV/0!</v>
      </c>
      <c r="BY20" s="205" t="e">
        <f>$BT20*(AN122-BY$25)/BY$26*初始化表!B$32</f>
        <v>#DIV/0!</v>
      </c>
      <c r="BZ20" s="205" t="e">
        <f>$BT20*(AP122-BZ$25)/BZ$26*初始化表!B$34</f>
        <v>#DIV/0!</v>
      </c>
      <c r="CA20" s="205" t="e">
        <f>$BT$5*(AW122-CA$25)/CA$26*初始化表!B$36</f>
        <v>#DIV/0!</v>
      </c>
      <c r="CB20" s="205" t="e">
        <f t="shared" si="4"/>
        <v>#DIV/0!</v>
      </c>
      <c r="CC20" s="201">
        <f t="shared" si="5"/>
        <v>0</v>
      </c>
      <c r="CD20" s="229" t="e">
        <f t="shared" si="6"/>
        <v>#DIV/0!</v>
      </c>
      <c r="CE20" s="229">
        <f t="shared" si="7"/>
        <v>0</v>
      </c>
      <c r="CF20" s="229">
        <f t="shared" si="8"/>
        <v>0</v>
      </c>
      <c r="CG20" s="226"/>
      <c r="CH20" s="226"/>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c r="DP20" s="228"/>
      <c r="DQ20" s="228"/>
    </row>
    <row r="21" s="61" customFormat="1" ht="16" customHeight="1" spans="1:121">
      <c r="A21" s="269" t="s">
        <v>303</v>
      </c>
      <c r="B21" s="269" t="s">
        <v>304</v>
      </c>
      <c r="C21" s="269" t="s">
        <v>305</v>
      </c>
      <c r="D21" s="269" t="s">
        <v>306</v>
      </c>
      <c r="E21" s="269" t="s">
        <v>307</v>
      </c>
      <c r="F21" s="270"/>
      <c r="G21" s="73"/>
      <c r="H21" s="269" t="s">
        <v>559</v>
      </c>
      <c r="I21" s="92" t="e">
        <f>(L17-ROUND(L17*0.03,0))/O49</f>
        <v>#DIV/0!</v>
      </c>
      <c r="J21" s="92" t="e">
        <f>(L17-ROUND(L17*0.03,0)+ROUNDDOWN(L17/2,0)/4)/O49</f>
        <v>#DIV/0!</v>
      </c>
      <c r="K21" s="269" t="s">
        <v>235</v>
      </c>
      <c r="L21" s="94" t="e">
        <f>初始化表!I20</f>
        <v>#DIV/0!</v>
      </c>
      <c r="M21" s="85"/>
      <c r="N21" s="269" t="s">
        <v>202</v>
      </c>
      <c r="O21" s="93" t="e">
        <f t="shared" ref="O21:R23" si="40">O16</f>
        <v>#DIV/0!</v>
      </c>
      <c r="P21" s="93" t="e">
        <f t="shared" si="40"/>
        <v>#DIV/0!</v>
      </c>
      <c r="Q21" s="93" t="e">
        <f t="shared" si="40"/>
        <v>#DIV/0!</v>
      </c>
      <c r="R21" s="93" t="e">
        <f t="shared" si="40"/>
        <v>#DIV/0!</v>
      </c>
      <c r="S21" s="128"/>
      <c r="T21" s="395" t="e">
        <f t="shared" ref="T21:T23" si="41">MAX(AC24,AD24,AE24,AF24)-MIN(AC24,AD24,AE24,AF24)</f>
        <v>#DIV/0!</v>
      </c>
      <c r="U21" s="396"/>
      <c r="V21" s="90"/>
      <c r="W21" s="90"/>
      <c r="X21" s="90"/>
      <c r="Y21" s="90"/>
      <c r="Z21" s="90"/>
      <c r="AA21" s="73"/>
      <c r="AB21" s="399"/>
      <c r="AC21" s="399"/>
      <c r="AD21" s="399"/>
      <c r="AE21" s="399"/>
      <c r="AF21" s="399"/>
      <c r="AG21" s="155"/>
      <c r="AH21" s="73"/>
      <c r="AI21" s="359"/>
      <c r="AJ21" s="359"/>
      <c r="AK21" s="360"/>
      <c r="AL21" s="360">
        <f>V45</f>
        <v>0</v>
      </c>
      <c r="AM21" s="361"/>
      <c r="AN21" s="362"/>
      <c r="AO21" s="360"/>
      <c r="AP21" s="360"/>
      <c r="AQ21" s="369"/>
      <c r="AR21" s="103"/>
      <c r="AS21" s="103">
        <f t="shared" si="27"/>
        <v>0</v>
      </c>
      <c r="AT21" s="103"/>
      <c r="AU21" s="103"/>
      <c r="AV21" s="103"/>
      <c r="AW21" s="103"/>
      <c r="AZ21" s="193"/>
      <c r="BA21" s="196">
        <f t="shared" si="10"/>
        <v>0</v>
      </c>
      <c r="BB21" s="197">
        <f t="shared" si="11"/>
        <v>0</v>
      </c>
      <c r="BC21" s="197">
        <f t="shared" si="12"/>
        <v>0</v>
      </c>
      <c r="BD21" s="197">
        <f t="shared" si="13"/>
        <v>0</v>
      </c>
      <c r="BE21" s="197">
        <f t="shared" si="14"/>
        <v>0</v>
      </c>
      <c r="BF21" s="197">
        <f t="shared" si="15"/>
        <v>0</v>
      </c>
      <c r="BG21" s="197">
        <f t="shared" si="16"/>
        <v>0</v>
      </c>
      <c r="BH21" s="197">
        <f t="shared" si="17"/>
        <v>0</v>
      </c>
      <c r="BI21" s="197">
        <f t="shared" si="18"/>
        <v>0</v>
      </c>
      <c r="BJ21" s="197">
        <f t="shared" si="19"/>
        <v>0</v>
      </c>
      <c r="BK21" s="197">
        <f t="shared" si="20"/>
        <v>0</v>
      </c>
      <c r="BL21" s="197">
        <f t="shared" si="21"/>
        <v>0</v>
      </c>
      <c r="BM21" s="197">
        <f t="shared" si="22"/>
        <v>0</v>
      </c>
      <c r="BN21" s="197">
        <f t="shared" si="23"/>
        <v>0</v>
      </c>
      <c r="BO21" s="197">
        <f t="shared" si="24"/>
        <v>0</v>
      </c>
      <c r="BP21" s="197">
        <f t="shared" si="25"/>
        <v>0</v>
      </c>
      <c r="BQ21" s="197">
        <f t="shared" si="26"/>
        <v>0</v>
      </c>
      <c r="BR21" s="211"/>
      <c r="BS21" s="195">
        <f t="shared" si="0"/>
        <v>0</v>
      </c>
      <c r="BT21" s="201">
        <f t="shared" si="1"/>
        <v>0</v>
      </c>
      <c r="BU21" s="201">
        <f>第3期!AQ123*0.5</f>
        <v>0</v>
      </c>
      <c r="BV21" s="205" t="e">
        <f>AVERAGE(BT46:CI46)*初始化表!B$31</f>
        <v>#DIV/0!</v>
      </c>
      <c r="BW21" s="205" t="e">
        <f>$BT21*(AL123-BW$25)/BW$26*初始化表!B$30</f>
        <v>#DIV/0!</v>
      </c>
      <c r="BX21" s="205" t="e">
        <f>$BT21*(AM123-BX$25)/BX$26*初始化表!B$33</f>
        <v>#DIV/0!</v>
      </c>
      <c r="BY21" s="205" t="e">
        <f>$BT21*(AN123-BY$25)/BY$26*初始化表!B$32</f>
        <v>#DIV/0!</v>
      </c>
      <c r="BZ21" s="205" t="e">
        <f>$BT21*(AP123-BZ$25)/BZ$26*初始化表!B$34</f>
        <v>#DIV/0!</v>
      </c>
      <c r="CA21" s="205" t="e">
        <f>$BT$5*(AW123-CA$25)/CA$26*初始化表!B$36</f>
        <v>#DIV/0!</v>
      </c>
      <c r="CB21" s="205" t="e">
        <f t="shared" si="4"/>
        <v>#DIV/0!</v>
      </c>
      <c r="CC21" s="201">
        <f t="shared" si="5"/>
        <v>0</v>
      </c>
      <c r="CD21" s="229" t="e">
        <f t="shared" si="6"/>
        <v>#DIV/0!</v>
      </c>
      <c r="CE21" s="229">
        <f t="shared" si="7"/>
        <v>0</v>
      </c>
      <c r="CF21" s="229">
        <f t="shared" si="8"/>
        <v>0</v>
      </c>
      <c r="CG21" s="226"/>
      <c r="CH21" s="226"/>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c r="DP21" s="228"/>
      <c r="DQ21" s="228"/>
    </row>
    <row r="22" s="61" customFormat="1" ht="16" customHeight="1" spans="1:121">
      <c r="A22" s="270"/>
      <c r="B22" s="77">
        <f>I18</f>
        <v>0</v>
      </c>
      <c r="C22" s="77">
        <f>K18</f>
        <v>0</v>
      </c>
      <c r="D22" s="72">
        <f>R49</f>
        <v>0</v>
      </c>
      <c r="E22" s="72">
        <f>K43</f>
        <v>0</v>
      </c>
      <c r="F22" s="270"/>
      <c r="G22" s="73"/>
      <c r="H22" s="78" t="s">
        <v>560</v>
      </c>
      <c r="I22" s="95" t="e">
        <f>(M25*初始化表!B4+SUM(V5:Z5)-SUM(V11:Y11)-Z17)/Z17</f>
        <v>#DIV/0!</v>
      </c>
      <c r="J22" s="95" t="e">
        <f>(M26*初始化表!B4+SUM(V6:Z6)-SUM(V12:Y12)-Z18)/Z18</f>
        <v>#DIV/0!</v>
      </c>
      <c r="K22" s="95" t="e">
        <f>(M27*初始化表!B4+SUM(V7:Z7)-SUM(V13:Y13)-Z19)/Z19</f>
        <v>#DIV/0!</v>
      </c>
      <c r="L22" s="95" t="e">
        <f>(M28*初始化表!B4+SUM(V8:Z8)-SUM(V14:Y14)-Z20)/Z20</f>
        <v>#DIV/0!</v>
      </c>
      <c r="M22" s="85"/>
      <c r="N22" s="269" t="s">
        <v>206</v>
      </c>
      <c r="O22" s="93" t="e">
        <f t="shared" si="40"/>
        <v>#DIV/0!</v>
      </c>
      <c r="P22" s="93" t="e">
        <f t="shared" si="40"/>
        <v>#DIV/0!</v>
      </c>
      <c r="Q22" s="93" t="e">
        <f t="shared" si="40"/>
        <v>#DIV/0!</v>
      </c>
      <c r="R22" s="93" t="e">
        <f t="shared" si="40"/>
        <v>#DIV/0!</v>
      </c>
      <c r="S22" s="128"/>
      <c r="T22" s="395" t="e">
        <f t="shared" si="41"/>
        <v>#DIV/0!</v>
      </c>
      <c r="U22" s="269" t="s">
        <v>561</v>
      </c>
      <c r="V22" s="269" t="s">
        <v>513</v>
      </c>
      <c r="W22" s="269" t="s">
        <v>514</v>
      </c>
      <c r="X22" s="269" t="s">
        <v>515</v>
      </c>
      <c r="Y22" s="269" t="s">
        <v>516</v>
      </c>
      <c r="Z22" s="269" t="s">
        <v>276</v>
      </c>
      <c r="AA22" s="73"/>
      <c r="AB22" s="151" t="s">
        <v>562</v>
      </c>
      <c r="AC22" s="151" t="s">
        <v>459</v>
      </c>
      <c r="AD22" s="151" t="s">
        <v>460</v>
      </c>
      <c r="AE22" s="151" t="s">
        <v>461</v>
      </c>
      <c r="AF22" s="151" t="s">
        <v>462</v>
      </c>
      <c r="AG22" s="74"/>
      <c r="AH22" s="73"/>
      <c r="AI22" s="359"/>
      <c r="AJ22" s="359"/>
      <c r="AK22" s="360"/>
      <c r="AL22" s="360">
        <f>W45</f>
        <v>0</v>
      </c>
      <c r="AM22" s="361"/>
      <c r="AN22" s="362"/>
      <c r="AO22" s="360"/>
      <c r="AP22" s="360"/>
      <c r="AQ22" s="369"/>
      <c r="AR22" s="103"/>
      <c r="AS22" s="103">
        <f t="shared" si="27"/>
        <v>0</v>
      </c>
      <c r="AT22" s="103"/>
      <c r="AU22" s="103"/>
      <c r="AV22" s="103"/>
      <c r="AW22" s="103"/>
      <c r="AZ22" s="193"/>
      <c r="BA22" s="196">
        <f t="shared" si="10"/>
        <v>0</v>
      </c>
      <c r="BB22" s="197">
        <f t="shared" si="11"/>
        <v>0</v>
      </c>
      <c r="BC22" s="197">
        <f t="shared" si="12"/>
        <v>0</v>
      </c>
      <c r="BD22" s="197">
        <f t="shared" si="13"/>
        <v>0</v>
      </c>
      <c r="BE22" s="197">
        <f t="shared" si="14"/>
        <v>0</v>
      </c>
      <c r="BF22" s="197">
        <f t="shared" si="15"/>
        <v>0</v>
      </c>
      <c r="BG22" s="197">
        <f t="shared" si="16"/>
        <v>0</v>
      </c>
      <c r="BH22" s="197">
        <f t="shared" si="17"/>
        <v>0</v>
      </c>
      <c r="BI22" s="197">
        <f t="shared" si="18"/>
        <v>0</v>
      </c>
      <c r="BJ22" s="197">
        <f t="shared" si="19"/>
        <v>0</v>
      </c>
      <c r="BK22" s="197">
        <f t="shared" si="20"/>
        <v>0</v>
      </c>
      <c r="BL22" s="197">
        <f t="shared" si="21"/>
        <v>0</v>
      </c>
      <c r="BM22" s="197">
        <f t="shared" si="22"/>
        <v>0</v>
      </c>
      <c r="BN22" s="197">
        <f t="shared" si="23"/>
        <v>0</v>
      </c>
      <c r="BO22" s="197">
        <f t="shared" si="24"/>
        <v>0</v>
      </c>
      <c r="BP22" s="197">
        <f t="shared" si="25"/>
        <v>0</v>
      </c>
      <c r="BQ22" s="197">
        <f t="shared" si="26"/>
        <v>0</v>
      </c>
      <c r="BR22" s="211"/>
      <c r="BS22" s="195">
        <f t="shared" si="0"/>
        <v>0</v>
      </c>
      <c r="BT22" s="201">
        <f t="shared" si="1"/>
        <v>0</v>
      </c>
      <c r="BU22" s="201">
        <f>第3期!AQ124*0.5</f>
        <v>0</v>
      </c>
      <c r="BV22" s="205" t="e">
        <f>AVERAGE(BT47:CI47)*初始化表!B$31</f>
        <v>#DIV/0!</v>
      </c>
      <c r="BW22" s="205" t="e">
        <f>$BT22*(AL124-BW$25)/BW$26*初始化表!B$30</f>
        <v>#DIV/0!</v>
      </c>
      <c r="BX22" s="205" t="e">
        <f>$BT22*(AM124-BX$25)/BX$26*初始化表!B$33</f>
        <v>#DIV/0!</v>
      </c>
      <c r="BY22" s="205" t="e">
        <f>$BT22*(AN124-BY$25)/BY$26*初始化表!B$32</f>
        <v>#DIV/0!</v>
      </c>
      <c r="BZ22" s="205" t="e">
        <f>$BT22*(AP124-BZ$25)/BZ$26*初始化表!B$34</f>
        <v>#DIV/0!</v>
      </c>
      <c r="CA22" s="205" t="e">
        <f>$BT$5*(AW124-CA$25)/CA$26*初始化表!B$36</f>
        <v>#DIV/0!</v>
      </c>
      <c r="CB22" s="205" t="e">
        <f t="shared" si="4"/>
        <v>#DIV/0!</v>
      </c>
      <c r="CC22" s="201">
        <f t="shared" si="5"/>
        <v>0</v>
      </c>
      <c r="CD22" s="229" t="e">
        <f t="shared" si="6"/>
        <v>#DIV/0!</v>
      </c>
      <c r="CE22" s="229">
        <f t="shared" si="7"/>
        <v>0</v>
      </c>
      <c r="CF22" s="229">
        <f t="shared" si="8"/>
        <v>0</v>
      </c>
      <c r="CG22" s="226"/>
      <c r="CH22" s="226"/>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c r="DP22" s="228"/>
      <c r="DQ22" s="228"/>
    </row>
    <row r="23" s="61" customFormat="1" ht="16" customHeight="1" spans="1:121">
      <c r="A23" s="269" t="s">
        <v>308</v>
      </c>
      <c r="B23" s="269" t="s">
        <v>309</v>
      </c>
      <c r="C23" s="269" t="s">
        <v>310</v>
      </c>
      <c r="D23" s="269" t="s">
        <v>311</v>
      </c>
      <c r="E23" s="269" t="s">
        <v>312</v>
      </c>
      <c r="F23" s="269" t="s">
        <v>313</v>
      </c>
      <c r="G23" s="73"/>
      <c r="H23" s="269" t="s">
        <v>298</v>
      </c>
      <c r="I23" s="270"/>
      <c r="J23" s="270"/>
      <c r="K23" s="270"/>
      <c r="L23" s="270"/>
      <c r="M23" s="289" t="s">
        <v>563</v>
      </c>
      <c r="N23" s="269" t="s">
        <v>208</v>
      </c>
      <c r="O23" s="93" t="e">
        <f t="shared" si="40"/>
        <v>#DIV/0!</v>
      </c>
      <c r="P23" s="93" t="e">
        <f t="shared" si="40"/>
        <v>#DIV/0!</v>
      </c>
      <c r="Q23" s="93" t="e">
        <f t="shared" si="40"/>
        <v>#DIV/0!</v>
      </c>
      <c r="R23" s="93" t="e">
        <f t="shared" si="40"/>
        <v>#DIV/0!</v>
      </c>
      <c r="S23" s="128"/>
      <c r="T23" s="395" t="e">
        <f t="shared" si="41"/>
        <v>#DIV/0!</v>
      </c>
      <c r="U23" s="269" t="s">
        <v>521</v>
      </c>
      <c r="V23" s="115" t="e">
        <f>第3期!B6</f>
        <v>#DIV/0!</v>
      </c>
      <c r="W23" s="115" t="e">
        <f>第3期!C6</f>
        <v>#DIV/0!</v>
      </c>
      <c r="X23" s="115" t="e">
        <f>第3期!D6</f>
        <v>#DIV/0!</v>
      </c>
      <c r="Y23" s="115" t="e">
        <f>第3期!E6</f>
        <v>#DIV/0!</v>
      </c>
      <c r="Z23" s="102" t="e">
        <f>第3期!F6</f>
        <v>#DIV/0!</v>
      </c>
      <c r="AA23" s="73"/>
      <c r="AB23" s="151" t="s">
        <v>464</v>
      </c>
      <c r="AC23" s="157" t="e">
        <f>AC11/初始化表!$E$17</f>
        <v>#DIV/0!</v>
      </c>
      <c r="AD23" s="157" t="e">
        <f>AD11/初始化表!$E$17</f>
        <v>#DIV/0!</v>
      </c>
      <c r="AE23" s="157" t="e">
        <f>AE11/初始化表!$E$17</f>
        <v>#DIV/0!</v>
      </c>
      <c r="AF23" s="157" t="e">
        <f>AF11/初始化表!$E$17</f>
        <v>#DIV/0!</v>
      </c>
      <c r="AG23" s="74"/>
      <c r="AH23" s="73"/>
      <c r="AI23" s="359"/>
      <c r="AJ23" s="359"/>
      <c r="AK23" s="360"/>
      <c r="AL23" s="360">
        <f>X45</f>
        <v>0</v>
      </c>
      <c r="AM23" s="361"/>
      <c r="AN23" s="362"/>
      <c r="AO23" s="360"/>
      <c r="AP23" s="360"/>
      <c r="AQ23" s="369"/>
      <c r="AR23" s="103"/>
      <c r="AS23" s="103">
        <f t="shared" si="27"/>
        <v>0</v>
      </c>
      <c r="AT23" s="103"/>
      <c r="AU23" s="103"/>
      <c r="AV23" s="103"/>
      <c r="AW23" s="103"/>
      <c r="AZ23" s="193"/>
      <c r="BA23" s="196">
        <f t="shared" si="10"/>
        <v>0</v>
      </c>
      <c r="BB23" s="197">
        <f t="shared" si="11"/>
        <v>0</v>
      </c>
      <c r="BC23" s="197">
        <f t="shared" si="12"/>
        <v>0</v>
      </c>
      <c r="BD23" s="197">
        <f t="shared" si="13"/>
        <v>0</v>
      </c>
      <c r="BE23" s="197">
        <f t="shared" si="14"/>
        <v>0</v>
      </c>
      <c r="BF23" s="197">
        <f t="shared" si="15"/>
        <v>0</v>
      </c>
      <c r="BG23" s="197">
        <f t="shared" si="16"/>
        <v>0</v>
      </c>
      <c r="BH23" s="197">
        <f t="shared" si="17"/>
        <v>0</v>
      </c>
      <c r="BI23" s="197">
        <f t="shared" si="18"/>
        <v>0</v>
      </c>
      <c r="BJ23" s="197">
        <f t="shared" si="19"/>
        <v>0</v>
      </c>
      <c r="BK23" s="197">
        <f t="shared" si="20"/>
        <v>0</v>
      </c>
      <c r="BL23" s="197">
        <f t="shared" si="21"/>
        <v>0</v>
      </c>
      <c r="BM23" s="197">
        <f t="shared" si="22"/>
        <v>0</v>
      </c>
      <c r="BN23" s="197">
        <f t="shared" si="23"/>
        <v>0</v>
      </c>
      <c r="BO23" s="197">
        <f t="shared" si="24"/>
        <v>0</v>
      </c>
      <c r="BP23" s="197">
        <f t="shared" si="25"/>
        <v>0</v>
      </c>
      <c r="BQ23" s="197">
        <f t="shared" si="26"/>
        <v>0</v>
      </c>
      <c r="BR23" s="211"/>
      <c r="BS23" s="195">
        <f t="shared" si="0"/>
        <v>0</v>
      </c>
      <c r="BT23" s="201">
        <f t="shared" si="1"/>
        <v>0</v>
      </c>
      <c r="BU23" s="201">
        <f>第3期!AQ125*0.5</f>
        <v>0</v>
      </c>
      <c r="BV23" s="205" t="e">
        <f>AVERAGE(BT48:CI48)*初始化表!B$31</f>
        <v>#DIV/0!</v>
      </c>
      <c r="BW23" s="205" t="e">
        <f>$BT23*(AL125-BW$25)/BW$26*初始化表!B$30</f>
        <v>#DIV/0!</v>
      </c>
      <c r="BX23" s="205" t="e">
        <f>$BT23*(AM125-BX$25)/BX$26*初始化表!B$33</f>
        <v>#DIV/0!</v>
      </c>
      <c r="BY23" s="205" t="e">
        <f>$BT23*(AN125-BY$25)/BY$26*初始化表!B$32</f>
        <v>#DIV/0!</v>
      </c>
      <c r="BZ23" s="205" t="e">
        <f>$BT23*(AP125-BZ$25)/BZ$26*初始化表!B$34</f>
        <v>#DIV/0!</v>
      </c>
      <c r="CA23" s="205" t="e">
        <f>$BT$5*(AW125-CA$25)/CA$26*初始化表!B$36</f>
        <v>#DIV/0!</v>
      </c>
      <c r="CB23" s="205" t="e">
        <f t="shared" si="4"/>
        <v>#DIV/0!</v>
      </c>
      <c r="CC23" s="201">
        <f t="shared" si="5"/>
        <v>0</v>
      </c>
      <c r="CD23" s="229" t="e">
        <f t="shared" si="6"/>
        <v>#DIV/0!</v>
      </c>
      <c r="CE23" s="229">
        <f t="shared" si="7"/>
        <v>0</v>
      </c>
      <c r="CF23" s="229">
        <f t="shared" si="8"/>
        <v>0</v>
      </c>
      <c r="CG23" s="226"/>
      <c r="CH23" s="226"/>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c r="DP23" s="228"/>
      <c r="DQ23" s="228"/>
    </row>
    <row r="24" s="61" customFormat="1" ht="16" customHeight="1" spans="1:121">
      <c r="A24" s="270"/>
      <c r="B24" s="72">
        <f>Q33</f>
        <v>0</v>
      </c>
      <c r="C24" s="72">
        <f>R35</f>
        <v>0</v>
      </c>
      <c r="D24" s="72">
        <f>O37</f>
        <v>0</v>
      </c>
      <c r="E24" s="72" t="e">
        <f>-C63</f>
        <v>#DIV/0!</v>
      </c>
      <c r="F24" s="77">
        <f>R45</f>
        <v>1</v>
      </c>
      <c r="G24" s="73"/>
      <c r="H24" s="270"/>
      <c r="I24" s="269" t="s">
        <v>103</v>
      </c>
      <c r="J24" s="269" t="s">
        <v>299</v>
      </c>
      <c r="K24" s="269" t="s">
        <v>104</v>
      </c>
      <c r="L24" s="269" t="s">
        <v>300</v>
      </c>
      <c r="M24" s="289"/>
      <c r="N24" s="269" t="s">
        <v>564</v>
      </c>
      <c r="O24" s="269" t="s">
        <v>565</v>
      </c>
      <c r="P24" s="269" t="s">
        <v>566</v>
      </c>
      <c r="Q24" s="269" t="s">
        <v>567</v>
      </c>
      <c r="R24" s="269" t="s">
        <v>568</v>
      </c>
      <c r="S24" s="121"/>
      <c r="T24" s="120"/>
      <c r="U24" s="269" t="s">
        <v>522</v>
      </c>
      <c r="V24" s="115" t="e">
        <f>第3期!B7</f>
        <v>#DIV/0!</v>
      </c>
      <c r="W24" s="115" t="e">
        <f>第3期!C7</f>
        <v>#DIV/0!</v>
      </c>
      <c r="X24" s="115" t="e">
        <f>第3期!D7</f>
        <v>#DIV/0!</v>
      </c>
      <c r="Y24" s="115" t="e">
        <f>第3期!E7</f>
        <v>#DIV/0!</v>
      </c>
      <c r="Z24" s="102" t="e">
        <f>第3期!F7</f>
        <v>#DIV/0!</v>
      </c>
      <c r="AA24" s="73"/>
      <c r="AB24" s="151" t="s">
        <v>465</v>
      </c>
      <c r="AC24" s="157" t="e">
        <f>AC12/初始化表!$F$17</f>
        <v>#DIV/0!</v>
      </c>
      <c r="AD24" s="157" t="e">
        <f>AD12/初始化表!$F$17</f>
        <v>#DIV/0!</v>
      </c>
      <c r="AE24" s="157" t="e">
        <f>AE12/初始化表!$F$17</f>
        <v>#DIV/0!</v>
      </c>
      <c r="AF24" s="157" t="e">
        <f>AF12/初始化表!$F$17</f>
        <v>#DIV/0!</v>
      </c>
      <c r="AG24" s="74"/>
      <c r="AH24" s="73"/>
      <c r="AI24" s="359"/>
      <c r="AJ24" s="359"/>
      <c r="AK24" s="360"/>
      <c r="AL24" s="360">
        <f>Y45</f>
        <v>0</v>
      </c>
      <c r="AM24" s="361"/>
      <c r="AN24" s="362"/>
      <c r="AO24" s="360"/>
      <c r="AP24" s="360"/>
      <c r="AQ24" s="369"/>
      <c r="AR24" s="103">
        <f>SUM(AL21:AL24)</f>
        <v>0</v>
      </c>
      <c r="AS24" s="103">
        <f t="shared" si="27"/>
        <v>0</v>
      </c>
      <c r="AT24" s="103">
        <f>SUMIF(AS21:AS24,"&gt;=0",AS21:AS24)</f>
        <v>0</v>
      </c>
      <c r="AU24" s="103">
        <f>SUM(AO21:AO24)</f>
        <v>0</v>
      </c>
      <c r="AV24" s="103">
        <f>SUM(AP21:AP24)</f>
        <v>0</v>
      </c>
      <c r="AW24" s="103">
        <f>SUM(AQ21:AQ24)</f>
        <v>0</v>
      </c>
      <c r="AZ24" s="193"/>
      <c r="BA24" s="196">
        <f t="shared" si="10"/>
        <v>0</v>
      </c>
      <c r="BB24" s="197">
        <f t="shared" si="11"/>
        <v>0</v>
      </c>
      <c r="BC24" s="197">
        <f t="shared" si="12"/>
        <v>0</v>
      </c>
      <c r="BD24" s="197">
        <f t="shared" si="13"/>
        <v>0</v>
      </c>
      <c r="BE24" s="197">
        <f t="shared" si="14"/>
        <v>0</v>
      </c>
      <c r="BF24" s="197">
        <f t="shared" si="15"/>
        <v>0</v>
      </c>
      <c r="BG24" s="197">
        <f t="shared" si="16"/>
        <v>0</v>
      </c>
      <c r="BH24" s="197">
        <f t="shared" si="17"/>
        <v>0</v>
      </c>
      <c r="BI24" s="197">
        <f t="shared" si="18"/>
        <v>0</v>
      </c>
      <c r="BJ24" s="197">
        <f t="shared" si="19"/>
        <v>0</v>
      </c>
      <c r="BK24" s="197">
        <f t="shared" si="20"/>
        <v>0</v>
      </c>
      <c r="BL24" s="197">
        <f t="shared" si="21"/>
        <v>0</v>
      </c>
      <c r="BM24" s="197">
        <f t="shared" si="22"/>
        <v>0</v>
      </c>
      <c r="BN24" s="197">
        <f t="shared" si="23"/>
        <v>0</v>
      </c>
      <c r="BO24" s="197">
        <f t="shared" si="24"/>
        <v>0</v>
      </c>
      <c r="BP24" s="197">
        <f t="shared" si="25"/>
        <v>0</v>
      </c>
      <c r="BQ24" s="197">
        <f t="shared" si="26"/>
        <v>0</v>
      </c>
      <c r="BR24" s="211"/>
      <c r="BS24" s="195">
        <f t="shared" si="0"/>
        <v>0</v>
      </c>
      <c r="BT24" s="201">
        <f t="shared" si="1"/>
        <v>0</v>
      </c>
      <c r="BU24" s="201">
        <f>第3期!AQ126*0.5</f>
        <v>0</v>
      </c>
      <c r="BV24" s="205" t="e">
        <f>AVERAGE(BT49:CI49)*初始化表!B$31</f>
        <v>#DIV/0!</v>
      </c>
      <c r="BW24" s="205" t="e">
        <f>$BT24*(AL126-BW$25)/BW$26*初始化表!B$30</f>
        <v>#DIV/0!</v>
      </c>
      <c r="BX24" s="205" t="e">
        <f>$BT24*(AM126-BX$25)/BX$26*初始化表!B$33</f>
        <v>#DIV/0!</v>
      </c>
      <c r="BY24" s="205" t="e">
        <f>$BT24*(AN126-BY$25)/BY$26*初始化表!B$32</f>
        <v>#DIV/0!</v>
      </c>
      <c r="BZ24" s="205" t="e">
        <f>$BT24*(AP126-BZ$25)/BZ$26*初始化表!B$34</f>
        <v>#DIV/0!</v>
      </c>
      <c r="CA24" s="205" t="e">
        <f>$BT$5*(AW126-CA$25)/CA$26*初始化表!B$36</f>
        <v>#DIV/0!</v>
      </c>
      <c r="CB24" s="205" t="e">
        <f t="shared" si="4"/>
        <v>#DIV/0!</v>
      </c>
      <c r="CC24" s="201">
        <f t="shared" si="5"/>
        <v>0</v>
      </c>
      <c r="CD24" s="229" t="e">
        <f t="shared" si="6"/>
        <v>#DIV/0!</v>
      </c>
      <c r="CE24" s="229">
        <f t="shared" si="7"/>
        <v>0</v>
      </c>
      <c r="CF24" s="229">
        <f t="shared" si="8"/>
        <v>0</v>
      </c>
      <c r="CG24" s="226"/>
      <c r="CH24" s="226"/>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c r="DP24" s="228"/>
      <c r="DQ24" s="228"/>
    </row>
    <row r="25" s="61" customFormat="1" ht="16" customHeight="1" spans="1:121">
      <c r="A25" s="90"/>
      <c r="B25" s="90"/>
      <c r="C25" s="90"/>
      <c r="D25" s="90"/>
      <c r="E25" s="90"/>
      <c r="F25" s="90"/>
      <c r="G25" s="73"/>
      <c r="H25" s="269" t="s">
        <v>521</v>
      </c>
      <c r="I25" s="280"/>
      <c r="J25" s="97"/>
      <c r="K25" s="97"/>
      <c r="L25" s="97"/>
      <c r="M25" s="98">
        <f>I25+J25+K25+L25</f>
        <v>0</v>
      </c>
      <c r="N25" s="269" t="s">
        <v>276</v>
      </c>
      <c r="O25" s="83" t="e">
        <f>INT(SUMPRODUCT(V42:Y42,B6:E6)*O6/1000+0.5)*1000</f>
        <v>#DIV/0!</v>
      </c>
      <c r="P25" s="83" t="e">
        <f>INT(SUMPRODUCT(V43:Y43,B7:E7)*P6/1000+0.5)*1000</f>
        <v>#DIV/0!</v>
      </c>
      <c r="Q25" s="83" t="e">
        <f>INT(SUMPRODUCT(V44:Y44,B8:E8)*Q6/1000+0.5)*1000</f>
        <v>#DIV/0!</v>
      </c>
      <c r="R25" s="83" t="e">
        <f>INT(SUMPRODUCT(V45:Y45,B9:E9)*R6/1000+0.5)*1000</f>
        <v>#DIV/0!</v>
      </c>
      <c r="S25" s="131"/>
      <c r="T25" s="120"/>
      <c r="U25" s="269" t="s">
        <v>523</v>
      </c>
      <c r="V25" s="115" t="e">
        <f>第3期!B8</f>
        <v>#DIV/0!</v>
      </c>
      <c r="W25" s="115" t="e">
        <f>第3期!C8</f>
        <v>#DIV/0!</v>
      </c>
      <c r="X25" s="115" t="e">
        <f>第3期!D8</f>
        <v>#DIV/0!</v>
      </c>
      <c r="Y25" s="115" t="e">
        <f>第3期!E8</f>
        <v>#DIV/0!</v>
      </c>
      <c r="Z25" s="102" t="e">
        <f>第3期!F8</f>
        <v>#DIV/0!</v>
      </c>
      <c r="AA25" s="73"/>
      <c r="AB25" s="151" t="s">
        <v>466</v>
      </c>
      <c r="AC25" s="157" t="e">
        <f>AC13/初始化表!$G$17</f>
        <v>#DIV/0!</v>
      </c>
      <c r="AD25" s="157" t="e">
        <f>AD13/初始化表!$G$17</f>
        <v>#DIV/0!</v>
      </c>
      <c r="AE25" s="157" t="e">
        <f>AE13/初始化表!$G$17</f>
        <v>#DIV/0!</v>
      </c>
      <c r="AF25" s="157" t="e">
        <f>AF13/初始化表!$G$17</f>
        <v>#DIV/0!</v>
      </c>
      <c r="AG25" s="74"/>
      <c r="AH25" s="73"/>
      <c r="AI25" s="363"/>
      <c r="AJ25" s="363"/>
      <c r="AK25" s="363"/>
      <c r="AL25" s="363"/>
      <c r="AM25" s="363"/>
      <c r="AN25" s="363"/>
      <c r="AO25" s="370"/>
      <c r="AP25" s="370"/>
      <c r="AQ25" s="371"/>
      <c r="AR25" s="103"/>
      <c r="AS25" s="103"/>
      <c r="AT25" s="103"/>
      <c r="AU25" s="189">
        <f>(AU12*初始化表!E17+AU16*初始化表!F17+AU20*初始化表!G17+AU24*初始化表!H17)/1300</f>
        <v>0</v>
      </c>
      <c r="AV25" s="189">
        <f>(AV12*初始化表!E17+AV16*初始化表!F17+AV20*初始化表!G17+AV24*初始化表!H17)/1300</f>
        <v>0</v>
      </c>
      <c r="AW25" s="189">
        <f>(AW12*初始化表!E17+AW16*初始化表!F17+AW20*初始化表!G17+AW24*初始化表!H17)/1300</f>
        <v>0</v>
      </c>
      <c r="AZ25" s="193"/>
      <c r="BA25" s="196">
        <f t="shared" si="10"/>
        <v>0</v>
      </c>
      <c r="BB25" s="197">
        <f t="shared" si="11"/>
        <v>0</v>
      </c>
      <c r="BC25" s="197">
        <f t="shared" si="12"/>
        <v>0</v>
      </c>
      <c r="BD25" s="197">
        <f t="shared" si="13"/>
        <v>0</v>
      </c>
      <c r="BE25" s="197">
        <f t="shared" si="14"/>
        <v>0</v>
      </c>
      <c r="BF25" s="197">
        <f t="shared" si="15"/>
        <v>0</v>
      </c>
      <c r="BG25" s="197">
        <f t="shared" si="16"/>
        <v>0</v>
      </c>
      <c r="BH25" s="197">
        <f t="shared" si="17"/>
        <v>0</v>
      </c>
      <c r="BI25" s="197">
        <f t="shared" si="18"/>
        <v>0</v>
      </c>
      <c r="BJ25" s="197">
        <f t="shared" si="19"/>
        <v>0</v>
      </c>
      <c r="BK25" s="197">
        <f t="shared" si="20"/>
        <v>0</v>
      </c>
      <c r="BL25" s="197">
        <f t="shared" si="21"/>
        <v>0</v>
      </c>
      <c r="BM25" s="197">
        <f t="shared" si="22"/>
        <v>0</v>
      </c>
      <c r="BN25" s="197">
        <f t="shared" si="23"/>
        <v>0</v>
      </c>
      <c r="BO25" s="197">
        <f t="shared" si="24"/>
        <v>0</v>
      </c>
      <c r="BP25" s="197">
        <f t="shared" si="25"/>
        <v>0</v>
      </c>
      <c r="BQ25" s="197">
        <f t="shared" si="26"/>
        <v>0</v>
      </c>
      <c r="BR25" s="211"/>
      <c r="BS25" s="194" t="s">
        <v>569</v>
      </c>
      <c r="BT25" s="208"/>
      <c r="BU25" s="208"/>
      <c r="BV25" s="208"/>
      <c r="BW25" s="201" t="e">
        <f>SUM(AL107:AL126)/初始化表!$B5</f>
        <v>#DIV/0!</v>
      </c>
      <c r="BX25" s="201" t="e">
        <f>SUM(AM107:AM126)/初始化表!$B5</f>
        <v>#DIV/0!</v>
      </c>
      <c r="BY25" s="201" t="e">
        <f>SUM(AN107:AN126)/初始化表!$B5</f>
        <v>#DIV/0!</v>
      </c>
      <c r="BZ25" s="201" t="e">
        <f>SUM(AP107:AP126)/初始化表!$B5</f>
        <v>#DIV/0!</v>
      </c>
      <c r="CA25" s="201" t="e">
        <f>SUM(AW107:AW126)/初始化表!$B5</f>
        <v>#DIV/0!</v>
      </c>
      <c r="CB25" s="208"/>
      <c r="CC25" s="208"/>
      <c r="CD25" s="208"/>
      <c r="CE25" s="208"/>
      <c r="CF25" s="208"/>
      <c r="CG25" s="203"/>
      <c r="CH25" s="203"/>
      <c r="CI25" s="203"/>
      <c r="CJ25" s="226"/>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row>
    <row r="26" s="61" customFormat="1" ht="16" customHeight="1" spans="1:121">
      <c r="A26" s="269" t="s">
        <v>422</v>
      </c>
      <c r="B26" s="270"/>
      <c r="C26" s="270"/>
      <c r="D26" s="270"/>
      <c r="E26" s="270"/>
      <c r="F26" s="270"/>
      <c r="G26" s="73"/>
      <c r="H26" s="269" t="s">
        <v>522</v>
      </c>
      <c r="I26" s="280"/>
      <c r="J26" s="97"/>
      <c r="K26" s="97"/>
      <c r="L26" s="97"/>
      <c r="M26" s="98">
        <f t="shared" ref="M26:M28" si="42">I26+J26+K26+L26</f>
        <v>0</v>
      </c>
      <c r="N26" s="269" t="s">
        <v>280</v>
      </c>
      <c r="O26" s="83" t="e">
        <f>INT(SUMPRODUCT(V42:V45,B6:B9)*O8/1000+0.5)*1000</f>
        <v>#DIV/0!</v>
      </c>
      <c r="P26" s="83" t="e">
        <f>INT(SUMPRODUCT(W42:W45,C6:C9)*P8/1000+0.5)*1000</f>
        <v>#DIV/0!</v>
      </c>
      <c r="Q26" s="83" t="e">
        <f>INT(SUMPRODUCT(X42:X45,D6:D9)*Q8/1000+0.5)*1000</f>
        <v>#DIV/0!</v>
      </c>
      <c r="R26" s="83" t="e">
        <f>INT(SUMPRODUCT(Y42:Y45,E6:E9)*R8/1000+0.5)*1000</f>
        <v>#DIV/0!</v>
      </c>
      <c r="S26" s="131"/>
      <c r="T26" s="120"/>
      <c r="U26" s="269" t="s">
        <v>524</v>
      </c>
      <c r="V26" s="115" t="e">
        <f>第3期!B9</f>
        <v>#DIV/0!</v>
      </c>
      <c r="W26" s="115" t="e">
        <f>第3期!C9</f>
        <v>#DIV/0!</v>
      </c>
      <c r="X26" s="115" t="e">
        <f>第3期!D9</f>
        <v>#DIV/0!</v>
      </c>
      <c r="Y26" s="115" t="e">
        <f>第3期!E9</f>
        <v>#DIV/0!</v>
      </c>
      <c r="Z26" s="102" t="e">
        <f>第3期!F9</f>
        <v>#DIV/0!</v>
      </c>
      <c r="AA26" s="73"/>
      <c r="AB26" s="151" t="s">
        <v>468</v>
      </c>
      <c r="AC26" s="157" t="e">
        <f>AC14/初始化表!$H$17</f>
        <v>#DIV/0!</v>
      </c>
      <c r="AD26" s="157" t="e">
        <f>AD14/初始化表!$H$17</f>
        <v>#DIV/0!</v>
      </c>
      <c r="AE26" s="157" t="e">
        <f>AE14/初始化表!$H$17</f>
        <v>#DIV/0!</v>
      </c>
      <c r="AF26" s="157" t="e">
        <f>AF14/初始化表!$H$17</f>
        <v>#DIV/0!</v>
      </c>
      <c r="AG26" s="74"/>
      <c r="AH26" s="73"/>
      <c r="AI26" s="359"/>
      <c r="AJ26" s="426">
        <f>I56</f>
        <v>0</v>
      </c>
      <c r="AK26" s="364"/>
      <c r="AL26" s="364"/>
      <c r="AM26" s="360"/>
      <c r="AN26" s="365">
        <f>O43</f>
        <v>0.95</v>
      </c>
      <c r="AO26" s="370"/>
      <c r="AP26" s="370"/>
      <c r="AQ26" s="371"/>
      <c r="AR26" s="103"/>
      <c r="AS26" s="190" t="s">
        <v>449</v>
      </c>
      <c r="AT26" s="189">
        <f>(SUM(AM9:AM12)*初始化表!E17+SUM(AM13:AM16)*初始化表!F17+SUM(AM17:AM20)*初始化表!G17+SUM(AM21:AM24)*初始化表!H17)/1300</f>
        <v>0</v>
      </c>
      <c r="AU26" s="103"/>
      <c r="AV26" s="103"/>
      <c r="AW26" s="103"/>
      <c r="AZ26" s="193"/>
      <c r="BA26" s="196">
        <f t="shared" si="10"/>
        <v>0</v>
      </c>
      <c r="BB26" s="197">
        <f t="shared" si="11"/>
        <v>0</v>
      </c>
      <c r="BC26" s="197">
        <f t="shared" si="12"/>
        <v>0</v>
      </c>
      <c r="BD26" s="197">
        <f t="shared" si="13"/>
        <v>0</v>
      </c>
      <c r="BE26" s="197">
        <f t="shared" si="14"/>
        <v>0</v>
      </c>
      <c r="BF26" s="197">
        <f t="shared" si="15"/>
        <v>0</v>
      </c>
      <c r="BG26" s="197">
        <f t="shared" si="16"/>
        <v>0</v>
      </c>
      <c r="BH26" s="197">
        <f t="shared" si="17"/>
        <v>0</v>
      </c>
      <c r="BI26" s="197">
        <f t="shared" si="18"/>
        <v>0</v>
      </c>
      <c r="BJ26" s="197">
        <f t="shared" si="19"/>
        <v>0</v>
      </c>
      <c r="BK26" s="197">
        <f t="shared" si="20"/>
        <v>0</v>
      </c>
      <c r="BL26" s="197">
        <f t="shared" si="21"/>
        <v>0</v>
      </c>
      <c r="BM26" s="197">
        <f t="shared" si="22"/>
        <v>0</v>
      </c>
      <c r="BN26" s="197">
        <f t="shared" si="23"/>
        <v>0</v>
      </c>
      <c r="BO26" s="197">
        <f t="shared" si="24"/>
        <v>0</v>
      </c>
      <c r="BP26" s="197">
        <f t="shared" si="25"/>
        <v>0</v>
      </c>
      <c r="BQ26" s="197">
        <f t="shared" si="26"/>
        <v>0</v>
      </c>
      <c r="BR26" s="211"/>
      <c r="BS26" s="374" t="s">
        <v>570</v>
      </c>
      <c r="BT26" s="203"/>
      <c r="BU26" s="203"/>
      <c r="BV26" s="203"/>
      <c r="BW26" s="222" t="e">
        <f>STDEV.P(AL107:AL126)</f>
        <v>#DIV/0!</v>
      </c>
      <c r="BX26" s="222" t="e">
        <f>STDEV.P(AM107:AM126)</f>
        <v>#DIV/0!</v>
      </c>
      <c r="BY26" s="222" t="e">
        <f>STDEV.P(AN107:AN126)</f>
        <v>#DIV/0!</v>
      </c>
      <c r="BZ26" s="222" t="e">
        <f>STDEV.P(AP107:AP126)</f>
        <v>#DIV/0!</v>
      </c>
      <c r="CA26" s="375" t="e">
        <f>STDEV.P(AW107:AW126)</f>
        <v>#DIV/0!</v>
      </c>
      <c r="CB26" s="203"/>
      <c r="CC26" s="203"/>
      <c r="CD26" s="203"/>
      <c r="CE26" s="203"/>
      <c r="CF26" s="203"/>
      <c r="CG26" s="203"/>
      <c r="CH26" s="203"/>
      <c r="CI26" s="203"/>
      <c r="CJ26" s="226"/>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row>
    <row r="27" s="61" customFormat="1" ht="16" customHeight="1" spans="1:121">
      <c r="A27" s="269" t="s">
        <v>571</v>
      </c>
      <c r="B27" s="270"/>
      <c r="C27" s="269" t="s">
        <v>572</v>
      </c>
      <c r="D27" s="269" t="s">
        <v>573</v>
      </c>
      <c r="E27" s="269" t="s">
        <v>574</v>
      </c>
      <c r="F27" s="269" t="s">
        <v>575</v>
      </c>
      <c r="G27" s="73"/>
      <c r="H27" s="269" t="s">
        <v>523</v>
      </c>
      <c r="I27" s="97"/>
      <c r="J27" s="97"/>
      <c r="K27" s="280"/>
      <c r="L27" s="280"/>
      <c r="M27" s="98">
        <f t="shared" si="42"/>
        <v>0</v>
      </c>
      <c r="N27" s="269" t="s">
        <v>576</v>
      </c>
      <c r="O27" s="269" t="s">
        <v>565</v>
      </c>
      <c r="P27" s="269" t="s">
        <v>566</v>
      </c>
      <c r="Q27" s="269" t="s">
        <v>567</v>
      </c>
      <c r="R27" s="269" t="s">
        <v>568</v>
      </c>
      <c r="S27" s="121"/>
      <c r="T27" s="120"/>
      <c r="U27" s="269" t="s">
        <v>280</v>
      </c>
      <c r="V27" s="102" t="e">
        <f>第3期!B10</f>
        <v>#DIV/0!</v>
      </c>
      <c r="W27" s="102" t="e">
        <f>第3期!C10</f>
        <v>#DIV/0!</v>
      </c>
      <c r="X27" s="102" t="e">
        <f>第3期!D10</f>
        <v>#DIV/0!</v>
      </c>
      <c r="Y27" s="102" t="e">
        <f>第3期!E10</f>
        <v>#DIV/0!</v>
      </c>
      <c r="Z27" s="115"/>
      <c r="AA27" s="73"/>
      <c r="AB27" s="399"/>
      <c r="AC27" s="399"/>
      <c r="AD27" s="399"/>
      <c r="AE27" s="399"/>
      <c r="AF27" s="399"/>
      <c r="AG27" s="155"/>
      <c r="AH27" s="73"/>
      <c r="AI27" s="359"/>
      <c r="AJ27" s="427">
        <f>J56</f>
        <v>0</v>
      </c>
      <c r="AK27" s="364"/>
      <c r="AL27" s="364"/>
      <c r="AM27" s="360"/>
      <c r="AN27" s="365">
        <f>P43</f>
        <v>0.95</v>
      </c>
      <c r="AO27" s="370"/>
      <c r="AP27" s="370"/>
      <c r="AQ27" s="371"/>
      <c r="AR27" s="103"/>
      <c r="AS27" s="190" t="s">
        <v>453</v>
      </c>
      <c r="AT27" s="189">
        <f>(AR12*初始化表!E17+AR16*初始化表!F17+AR20*初始化表!G17+AR24*初始化表!H17)/1300</f>
        <v>0</v>
      </c>
      <c r="AU27" s="103"/>
      <c r="AV27" s="103"/>
      <c r="AW27" s="103"/>
      <c r="AZ27" s="193"/>
      <c r="BA27" s="194" t="s">
        <v>577</v>
      </c>
      <c r="BB27" s="198">
        <f t="shared" ref="BB27:BQ27" si="43">INT(SUMPRODUCT(AJ37:AJ56,AJ61:AJ80))</f>
        <v>0</v>
      </c>
      <c r="BC27" s="198">
        <f t="shared" si="43"/>
        <v>0</v>
      </c>
      <c r="BD27" s="198">
        <f t="shared" si="43"/>
        <v>0</v>
      </c>
      <c r="BE27" s="198">
        <f t="shared" si="43"/>
        <v>0</v>
      </c>
      <c r="BF27" s="198">
        <f t="shared" si="43"/>
        <v>0</v>
      </c>
      <c r="BG27" s="198">
        <f t="shared" si="43"/>
        <v>0</v>
      </c>
      <c r="BH27" s="198">
        <f t="shared" si="43"/>
        <v>0</v>
      </c>
      <c r="BI27" s="198">
        <f t="shared" si="43"/>
        <v>0</v>
      </c>
      <c r="BJ27" s="198">
        <f t="shared" si="43"/>
        <v>0</v>
      </c>
      <c r="BK27" s="198">
        <f t="shared" si="43"/>
        <v>0</v>
      </c>
      <c r="BL27" s="198">
        <f t="shared" si="43"/>
        <v>0</v>
      </c>
      <c r="BM27" s="198">
        <f t="shared" si="43"/>
        <v>0</v>
      </c>
      <c r="BN27" s="198">
        <f t="shared" si="43"/>
        <v>0</v>
      </c>
      <c r="BO27" s="198">
        <f t="shared" si="43"/>
        <v>0</v>
      </c>
      <c r="BP27" s="198">
        <f t="shared" si="43"/>
        <v>0</v>
      </c>
      <c r="BQ27" s="198">
        <f t="shared" si="43"/>
        <v>0</v>
      </c>
      <c r="BR27" s="211"/>
      <c r="BS27" s="322" t="s">
        <v>578</v>
      </c>
      <c r="BT27" s="322"/>
      <c r="BU27" s="322"/>
      <c r="BV27" s="322"/>
      <c r="BW27" s="407" t="e">
        <f>100000/BW26*初始化表!B30</f>
        <v>#DIV/0!</v>
      </c>
      <c r="BX27" s="407" t="e">
        <f>100000/BX26*初始化表!B33</f>
        <v>#DIV/0!</v>
      </c>
      <c r="BY27" s="407" t="e">
        <f>100000/BY26*初始化表!B32</f>
        <v>#DIV/0!</v>
      </c>
      <c r="BZ27" s="407" t="e">
        <f>100000/BZ26*初始化表!B34</f>
        <v>#DIV/0!</v>
      </c>
      <c r="CA27" s="211"/>
      <c r="CB27" s="211"/>
      <c r="CC27" s="211"/>
      <c r="CD27" s="211"/>
      <c r="CE27" s="211"/>
      <c r="CF27" s="211"/>
      <c r="CG27" s="211"/>
      <c r="CH27" s="211"/>
      <c r="CI27" s="211"/>
      <c r="CJ27" s="226"/>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row>
    <row r="28" s="61" customFormat="1" ht="16" customHeight="1" spans="1:121">
      <c r="A28" s="269" t="s">
        <v>361</v>
      </c>
      <c r="B28" s="270"/>
      <c r="C28" s="79" t="e">
        <f>第3期!F64</f>
        <v>#DIV/0!</v>
      </c>
      <c r="D28" s="79"/>
      <c r="E28" s="79"/>
      <c r="F28" s="79"/>
      <c r="G28" s="73"/>
      <c r="H28" s="269" t="s">
        <v>524</v>
      </c>
      <c r="I28" s="97"/>
      <c r="J28" s="97"/>
      <c r="K28" s="280"/>
      <c r="L28" s="280"/>
      <c r="M28" s="98">
        <f t="shared" si="42"/>
        <v>0</v>
      </c>
      <c r="N28" s="269" t="s">
        <v>276</v>
      </c>
      <c r="O28" s="93" t="e">
        <v>#DIV/0!</v>
      </c>
      <c r="P28" s="93" t="e">
        <v>#DIV/0!</v>
      </c>
      <c r="Q28" s="93" t="e">
        <v>#DIV/0!</v>
      </c>
      <c r="R28" s="93" t="e">
        <v>#DIV/0!</v>
      </c>
      <c r="S28" s="131"/>
      <c r="T28" s="120"/>
      <c r="U28" s="123"/>
      <c r="V28" s="74"/>
      <c r="W28" s="74"/>
      <c r="X28" s="74"/>
      <c r="Y28" s="74"/>
      <c r="Z28" s="74"/>
      <c r="AA28" s="73"/>
      <c r="AB28" s="154" t="s">
        <v>579</v>
      </c>
      <c r="AC28" s="154" t="s">
        <v>513</v>
      </c>
      <c r="AD28" s="154" t="s">
        <v>514</v>
      </c>
      <c r="AE28" s="154" t="s">
        <v>515</v>
      </c>
      <c r="AF28" s="154" t="s">
        <v>516</v>
      </c>
      <c r="AG28" s="74"/>
      <c r="AH28" s="73"/>
      <c r="AI28" s="359"/>
      <c r="AJ28" s="427">
        <f>K56</f>
        <v>0</v>
      </c>
      <c r="AK28" s="364"/>
      <c r="AL28" s="364"/>
      <c r="AM28" s="360"/>
      <c r="AN28" s="365">
        <f>Q43</f>
        <v>0.95</v>
      </c>
      <c r="AO28" s="370"/>
      <c r="AP28" s="370"/>
      <c r="AQ28" s="371"/>
      <c r="AR28" s="103"/>
      <c r="AS28" s="190" t="s">
        <v>454</v>
      </c>
      <c r="AT28" s="189">
        <f>(AT12*初始化表!E17+AT16*初始化表!F17+AT20*初始化表!G17+AT24*初始化表!H17)/1300</f>
        <v>0</v>
      </c>
      <c r="AU28" s="103"/>
      <c r="AV28" s="190" t="s">
        <v>580</v>
      </c>
      <c r="AW28" s="189">
        <f>(SUM(I25:L25)*初始化表!E17+SUM(I26:L26)*初始化表!F17+SUM(I27:L27)*初始化表!G17+SUM(I28:L28)*初始化表!H17)/1300</f>
        <v>0</v>
      </c>
      <c r="AZ28" s="193"/>
      <c r="BA28" s="194" t="s">
        <v>581</v>
      </c>
      <c r="BB28" s="199">
        <f>IF(ISERROR(AM9/AN9),0,AM9/AN9)</f>
        <v>0</v>
      </c>
      <c r="BC28" s="199">
        <f>IF(ISERROR($AM$10/$AN$10),0,$AM$10/$AN$10)</f>
        <v>0</v>
      </c>
      <c r="BD28" s="199">
        <f>IF(ISERROR($AM$11/$AN$11),0,$AM$11/$AN$11)</f>
        <v>0</v>
      </c>
      <c r="BE28" s="199">
        <f>IF(ISERROR($AM$12/$AN$12),0,$AM$12/$AN$12)</f>
        <v>0</v>
      </c>
      <c r="BF28" s="199">
        <f>IF(ISERROR($AM$13/$AN$13),0,$AM$13/$AN$13)</f>
        <v>0</v>
      </c>
      <c r="BG28" s="199">
        <f>IF(ISERROR($AM$14/$AN$14),0,$AM$14/$AN$14)</f>
        <v>0</v>
      </c>
      <c r="BH28" s="199">
        <f>IF(ISERROR($AM$15/$AN$15),0,$AM$15/$AN$15)</f>
        <v>0</v>
      </c>
      <c r="BI28" s="199">
        <f>IF(ISERROR($AM$16/$AN$16),0,$AM$16/$AN$16)</f>
        <v>0</v>
      </c>
      <c r="BJ28" s="199">
        <f>IF(ISERROR($AM$17/$AN$17),0,$AM$17/$AN$17)</f>
        <v>0</v>
      </c>
      <c r="BK28" s="199">
        <f>IF(ISERROR($AM$18/$AN$18),0,$AM$18/$AN$18)</f>
        <v>0</v>
      </c>
      <c r="BL28" s="199">
        <f>IF(ISERROR($AM$19/$AN$19),0,$AM$19/$AN$19)</f>
        <v>0</v>
      </c>
      <c r="BM28" s="199">
        <f>IF(ISERROR($AM$20/$AN$20),0,$AM$20/$AN$20)</f>
        <v>0</v>
      </c>
      <c r="BN28" s="199">
        <f>IF(ISERROR($AM$21/$AN$21),0,$AM$21/$AN$21)</f>
        <v>0</v>
      </c>
      <c r="BO28" s="199">
        <f>IF(ISERROR($AM$22/$AN$22),0,$AM$22/$AN$22)</f>
        <v>0</v>
      </c>
      <c r="BP28" s="199">
        <f>IF(ISERROR($AM$23/$AN$23),0,$AM$23/$AN$23)</f>
        <v>0</v>
      </c>
      <c r="BQ28" s="199">
        <f>IF(ISERROR($AM$24/$AN$24),0,$AM$24/$AN$24)</f>
        <v>0</v>
      </c>
      <c r="BR28" s="211"/>
      <c r="BS28" s="194" t="s">
        <v>37</v>
      </c>
      <c r="BT28" s="194" t="s">
        <v>521</v>
      </c>
      <c r="BU28" s="195"/>
      <c r="BV28" s="195"/>
      <c r="BW28" s="195"/>
      <c r="BX28" s="194" t="s">
        <v>522</v>
      </c>
      <c r="BY28" s="195"/>
      <c r="BZ28" s="195"/>
      <c r="CA28" s="195"/>
      <c r="CB28" s="194" t="s">
        <v>523</v>
      </c>
      <c r="CC28" s="195"/>
      <c r="CD28" s="195"/>
      <c r="CE28" s="195"/>
      <c r="CF28" s="194" t="s">
        <v>524</v>
      </c>
      <c r="CG28" s="195"/>
      <c r="CH28" s="195"/>
      <c r="CI28" s="195"/>
      <c r="CJ28" s="226"/>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row>
    <row r="29" s="61" customFormat="1" ht="16" customHeight="1" spans="1:121">
      <c r="A29" s="269" t="s">
        <v>309</v>
      </c>
      <c r="B29" s="270"/>
      <c r="C29" s="77">
        <f>B24</f>
        <v>0</v>
      </c>
      <c r="D29" s="79"/>
      <c r="E29" s="79"/>
      <c r="F29" s="79" t="e">
        <f>C28+C29</f>
        <v>#DIV/0!</v>
      </c>
      <c r="G29" s="73"/>
      <c r="H29" s="354" t="s">
        <v>582</v>
      </c>
      <c r="I29" s="81">
        <f>(H17-C22+初始化表!H4*B22)-((B17+D17)*初始化表!E18+(B18+D18)*初始化表!F18+(B19+D19)*初始化表!G18+(B20+D20)*初始化表!H18)/520</f>
        <v>0</v>
      </c>
      <c r="J29" s="354" t="s">
        <v>583</v>
      </c>
      <c r="K29" s="99">
        <f>H43-(SUM(B17:E17)*初始化表!E19+SUM(B18:E18)*初始化表!F19+SUM(B19:E19)*初始化表!G19+SUM(B20:E20)*初始化表!H19)</f>
        <v>0</v>
      </c>
      <c r="L29" s="99"/>
      <c r="M29" s="85"/>
      <c r="N29" s="269" t="s">
        <v>280</v>
      </c>
      <c r="O29" s="93" t="e">
        <v>#DIV/0!</v>
      </c>
      <c r="P29" s="93" t="e">
        <v>#DIV/0!</v>
      </c>
      <c r="Q29" s="93" t="e">
        <v>#DIV/0!</v>
      </c>
      <c r="R29" s="93" t="e">
        <v>#DIV/0!</v>
      </c>
      <c r="S29" s="131"/>
      <c r="T29" s="120"/>
      <c r="U29" s="269" t="s">
        <v>584</v>
      </c>
      <c r="V29" s="269" t="s">
        <v>513</v>
      </c>
      <c r="W29" s="269" t="s">
        <v>514</v>
      </c>
      <c r="X29" s="269" t="s">
        <v>515</v>
      </c>
      <c r="Y29" s="269" t="s">
        <v>516</v>
      </c>
      <c r="Z29" s="74"/>
      <c r="AA29" s="73"/>
      <c r="AB29" s="154" t="s">
        <v>198</v>
      </c>
      <c r="AC29" s="156" t="e">
        <f t="shared" ref="AC29:AF32" si="44">AC11/AD5</f>
        <v>#DIV/0!</v>
      </c>
      <c r="AD29" s="156" t="e">
        <f t="shared" si="44"/>
        <v>#DIV/0!</v>
      </c>
      <c r="AE29" s="156" t="e">
        <f t="shared" si="44"/>
        <v>#DIV/0!</v>
      </c>
      <c r="AF29" s="156" t="e">
        <f t="shared" si="44"/>
        <v>#DIV/0!</v>
      </c>
      <c r="AG29" s="74"/>
      <c r="AH29" s="73"/>
      <c r="AI29" s="359"/>
      <c r="AJ29" s="427">
        <f>L56</f>
        <v>0</v>
      </c>
      <c r="AK29" s="364"/>
      <c r="AL29" s="364"/>
      <c r="AM29" s="360"/>
      <c r="AN29" s="365">
        <f>R43</f>
        <v>0.95</v>
      </c>
      <c r="AO29" s="370"/>
      <c r="AP29" s="370"/>
      <c r="AQ29" s="371"/>
      <c r="AR29" s="103"/>
      <c r="AS29" s="190" t="s">
        <v>455</v>
      </c>
      <c r="AT29" s="189">
        <f>(SUM(AK9:AK12)*初始化表!E17+SUM(AK13:AK16)*初始化表!F17+SUM(AK17:AK20)*初始化表!G17+SUM(AK21:AK24)*初始化表!H17)/1300</f>
        <v>0</v>
      </c>
      <c r="AU29" s="103"/>
      <c r="AV29" s="190"/>
      <c r="AW29" s="189"/>
      <c r="AZ29" s="193"/>
      <c r="BA29" s="200" t="s">
        <v>585</v>
      </c>
      <c r="BB29" s="201" t="e">
        <f>B6</f>
        <v>#DIV/0!</v>
      </c>
      <c r="BC29" s="201" t="e">
        <f>C6</f>
        <v>#DIV/0!</v>
      </c>
      <c r="BD29" s="201" t="e">
        <f>D6</f>
        <v>#DIV/0!</v>
      </c>
      <c r="BE29" s="201" t="e">
        <f>E6</f>
        <v>#DIV/0!</v>
      </c>
      <c r="BF29" s="201" t="e">
        <f>B7</f>
        <v>#DIV/0!</v>
      </c>
      <c r="BG29" s="201" t="e">
        <f>C7</f>
        <v>#DIV/0!</v>
      </c>
      <c r="BH29" s="201" t="e">
        <f>D7</f>
        <v>#DIV/0!</v>
      </c>
      <c r="BI29" s="201" t="e">
        <f>E7</f>
        <v>#DIV/0!</v>
      </c>
      <c r="BJ29" s="201" t="e">
        <f>B8</f>
        <v>#DIV/0!</v>
      </c>
      <c r="BK29" s="201" t="e">
        <f>C8</f>
        <v>#DIV/0!</v>
      </c>
      <c r="BL29" s="201" t="e">
        <f>D8</f>
        <v>#DIV/0!</v>
      </c>
      <c r="BM29" s="201" t="e">
        <f>E8</f>
        <v>#DIV/0!</v>
      </c>
      <c r="BN29" s="201" t="e">
        <f>B9</f>
        <v>#DIV/0!</v>
      </c>
      <c r="BO29" s="201" t="e">
        <f>C9</f>
        <v>#DIV/0!</v>
      </c>
      <c r="BP29" s="201" t="e">
        <f>D9</f>
        <v>#DIV/0!</v>
      </c>
      <c r="BQ29" s="201" t="e">
        <f>E9</f>
        <v>#DIV/0!</v>
      </c>
      <c r="BR29" s="211"/>
      <c r="BS29" s="195"/>
      <c r="BT29" s="194" t="s">
        <v>513</v>
      </c>
      <c r="BU29" s="194" t="s">
        <v>514</v>
      </c>
      <c r="BV29" s="194" t="s">
        <v>515</v>
      </c>
      <c r="BW29" s="194" t="s">
        <v>516</v>
      </c>
      <c r="BX29" s="194" t="s">
        <v>513</v>
      </c>
      <c r="BY29" s="194" t="s">
        <v>514</v>
      </c>
      <c r="BZ29" s="194" t="s">
        <v>515</v>
      </c>
      <c r="CA29" s="194" t="s">
        <v>516</v>
      </c>
      <c r="CB29" s="194" t="s">
        <v>513</v>
      </c>
      <c r="CC29" s="194" t="s">
        <v>514</v>
      </c>
      <c r="CD29" s="194" t="s">
        <v>515</v>
      </c>
      <c r="CE29" s="194" t="s">
        <v>516</v>
      </c>
      <c r="CF29" s="194" t="s">
        <v>513</v>
      </c>
      <c r="CG29" s="194" t="s">
        <v>514</v>
      </c>
      <c r="CH29" s="194" t="s">
        <v>515</v>
      </c>
      <c r="CI29" s="194" t="s">
        <v>516</v>
      </c>
      <c r="CJ29" s="226"/>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row>
    <row r="30" s="61" customFormat="1" ht="16" customHeight="1" spans="1:121">
      <c r="A30" s="269" t="s">
        <v>362</v>
      </c>
      <c r="B30" s="270"/>
      <c r="C30" s="77">
        <f>C24</f>
        <v>0</v>
      </c>
      <c r="D30" s="79"/>
      <c r="E30" s="79"/>
      <c r="F30" s="79" t="e">
        <f t="shared" ref="F30:F38" si="45">F29+C30</f>
        <v>#DIV/0!</v>
      </c>
      <c r="G30" s="73"/>
      <c r="H30" s="354" t="s">
        <v>586</v>
      </c>
      <c r="I30" s="354" t="s">
        <v>587</v>
      </c>
      <c r="J30" s="354" t="s">
        <v>588</v>
      </c>
      <c r="K30" s="354" t="s">
        <v>589</v>
      </c>
      <c r="L30" s="354" t="s">
        <v>590</v>
      </c>
      <c r="M30" s="85"/>
      <c r="S30" s="74"/>
      <c r="T30" s="120"/>
      <c r="U30" s="269" t="s">
        <v>521</v>
      </c>
      <c r="V30" s="115">
        <f>第3期!BB27</f>
        <v>0</v>
      </c>
      <c r="W30" s="115">
        <f>第3期!BC27</f>
        <v>0</v>
      </c>
      <c r="X30" s="115">
        <f>第3期!BD27</f>
        <v>0</v>
      </c>
      <c r="Y30" s="115">
        <f>第3期!BE27</f>
        <v>0</v>
      </c>
      <c r="Z30" s="74"/>
      <c r="AA30" s="73"/>
      <c r="AB30" s="154" t="s">
        <v>202</v>
      </c>
      <c r="AC30" s="156" t="e">
        <f t="shared" si="44"/>
        <v>#DIV/0!</v>
      </c>
      <c r="AD30" s="156" t="e">
        <f t="shared" si="44"/>
        <v>#DIV/0!</v>
      </c>
      <c r="AE30" s="156" t="e">
        <f t="shared" si="44"/>
        <v>#DIV/0!</v>
      </c>
      <c r="AF30" s="156" t="e">
        <f t="shared" si="44"/>
        <v>#DIV/0!</v>
      </c>
      <c r="AG30" s="74"/>
      <c r="AH30" s="73"/>
      <c r="AR30" s="103"/>
      <c r="AS30" s="190" t="s">
        <v>456</v>
      </c>
      <c r="AT30" s="189" t="e">
        <f>(AJ27*初始化表!E17+AJ28*初始化表!F17+AJ29*初始化表!G17+#REF!*初始化表!H17)/1300</f>
        <v>#REF!</v>
      </c>
      <c r="AU30" s="103"/>
      <c r="AV30" s="103"/>
      <c r="AW30" s="103"/>
      <c r="AZ30" s="193"/>
      <c r="BA30" s="194" t="s">
        <v>37</v>
      </c>
      <c r="BB30" s="194" t="s">
        <v>591</v>
      </c>
      <c r="BC30" s="194" t="s">
        <v>592</v>
      </c>
      <c r="BD30" s="194" t="s">
        <v>593</v>
      </c>
      <c r="BE30" s="194" t="s">
        <v>594</v>
      </c>
      <c r="BF30" s="194" t="s">
        <v>595</v>
      </c>
      <c r="BG30" s="194" t="s">
        <v>596</v>
      </c>
      <c r="BH30" s="194" t="s">
        <v>597</v>
      </c>
      <c r="BI30" s="372" t="s">
        <v>598</v>
      </c>
      <c r="BJ30" s="194" t="s">
        <v>599</v>
      </c>
      <c r="BK30" s="194" t="s">
        <v>600</v>
      </c>
      <c r="BL30" s="203"/>
      <c r="BM30" s="194" t="s">
        <v>601</v>
      </c>
      <c r="BN30" s="194"/>
      <c r="BO30" s="194"/>
      <c r="BP30" s="194"/>
      <c r="BQ30" s="194"/>
      <c r="BR30" s="211"/>
      <c r="BS30" s="196">
        <f t="shared" ref="BS30:BS49" si="46">BS5</f>
        <v>0</v>
      </c>
      <c r="BT30" s="213" t="e">
        <f t="shared" ref="BT30:BT49" si="47">$BT5*(AJ61-BT$50)/BT$51</f>
        <v>#DIV/0!</v>
      </c>
      <c r="BU30" s="213" t="e">
        <f t="shared" ref="BU30:BU49" si="48">$BT5*(AK61-BU$50)/BU$51</f>
        <v>#DIV/0!</v>
      </c>
      <c r="BV30" s="213" t="e">
        <f t="shared" ref="BV30:BV49" si="49">$BT5*(AL61-BV$50)/BV$51</f>
        <v>#DIV/0!</v>
      </c>
      <c r="BW30" s="213" t="e">
        <f t="shared" ref="BW30:BW49" si="50">$BT5*(AM61-BW$50)/BW$51</f>
        <v>#DIV/0!</v>
      </c>
      <c r="BX30" s="213" t="e">
        <f t="shared" ref="BX30:BX49" si="51">$BT5*(AN61-BX$50)/BX$51</f>
        <v>#DIV/0!</v>
      </c>
      <c r="BY30" s="213" t="e">
        <f t="shared" ref="BY30:BY49" si="52">$BT5*(AO61-BY$50)/BY$51</f>
        <v>#DIV/0!</v>
      </c>
      <c r="BZ30" s="213" t="e">
        <f t="shared" ref="BZ30:BZ49" si="53">$BT5*(AP61-BZ$50)/BZ$51</f>
        <v>#DIV/0!</v>
      </c>
      <c r="CA30" s="213" t="e">
        <f t="shared" ref="CA30:CA49" si="54">$BT5*(AQ61-CA$50)/CA$51</f>
        <v>#DIV/0!</v>
      </c>
      <c r="CB30" s="213" t="e">
        <f t="shared" ref="CB30:CB49" si="55">$BT5*(AR61-CB$50)/CB$51</f>
        <v>#DIV/0!</v>
      </c>
      <c r="CC30" s="213" t="e">
        <f t="shared" ref="CC30:CC49" si="56">$BT5*(AS61-CC$50)/CC$51</f>
        <v>#DIV/0!</v>
      </c>
      <c r="CD30" s="213" t="e">
        <f t="shared" ref="CD30:CD49" si="57">$BT5*(AT61-CD$50)/CD$51</f>
        <v>#DIV/0!</v>
      </c>
      <c r="CE30" s="213" t="e">
        <f t="shared" ref="CE30:CE49" si="58">$BT5*(AU61-CE$50)/CE$51</f>
        <v>#DIV/0!</v>
      </c>
      <c r="CF30" s="213" t="e">
        <f t="shared" ref="CF30:CF49" si="59">$BT5*(AV61-CF$50)/CF$51</f>
        <v>#DIV/0!</v>
      </c>
      <c r="CG30" s="213" t="e">
        <f t="shared" ref="CG30:CG49" si="60">$BT5*(AW61-CG$50)/CG$51</f>
        <v>#DIV/0!</v>
      </c>
      <c r="CH30" s="213" t="e">
        <f t="shared" ref="CH30:CH49" si="61">$BT5*(AX61-CH$50)/CH$51</f>
        <v>#DIV/0!</v>
      </c>
      <c r="CI30" s="213" t="e">
        <f t="shared" ref="CI30:CI49" si="62">$BT5*(AY61-CI$50)/CI$51</f>
        <v>#DIV/0!</v>
      </c>
      <c r="CJ30" s="226"/>
      <c r="CK30" s="228"/>
      <c r="CL30" s="228"/>
      <c r="CM30" s="228"/>
      <c r="CN30" s="228"/>
      <c r="CO30" s="228"/>
      <c r="CP30" s="228"/>
      <c r="CQ30" s="228"/>
      <c r="CR30" s="228"/>
      <c r="CS30" s="228"/>
      <c r="CT30" s="228"/>
      <c r="CU30" s="228"/>
      <c r="CV30" s="228"/>
      <c r="CW30" s="228"/>
      <c r="CX30" s="228"/>
      <c r="CY30" s="228"/>
      <c r="CZ30" s="228"/>
      <c r="DA30" s="228"/>
      <c r="DB30" s="228"/>
      <c r="DC30" s="228"/>
      <c r="DD30" s="228"/>
      <c r="DE30" s="228"/>
      <c r="DF30" s="228"/>
      <c r="DG30" s="228"/>
      <c r="DH30" s="228"/>
      <c r="DI30" s="228"/>
      <c r="DJ30" s="228"/>
      <c r="DK30" s="228"/>
      <c r="DL30" s="228"/>
      <c r="DM30" s="228"/>
      <c r="DN30" s="228"/>
      <c r="DO30" s="228"/>
      <c r="DP30" s="228"/>
      <c r="DQ30" s="228"/>
    </row>
    <row r="31" s="61" customFormat="1" ht="16" customHeight="1" spans="1:121">
      <c r="A31" s="269" t="s">
        <v>363</v>
      </c>
      <c r="B31" s="270"/>
      <c r="C31" s="77">
        <f>-N35*5%</f>
        <v>0</v>
      </c>
      <c r="D31" s="79"/>
      <c r="E31" s="79"/>
      <c r="F31" s="79" t="e">
        <f t="shared" si="45"/>
        <v>#DIV/0!</v>
      </c>
      <c r="G31" s="73"/>
      <c r="H31" s="81" t="e">
        <f>N49-(B17*初始化表!E17+B18*初始化表!F17+B19*初始化表!G17+B20*初始化表!H17)/520</f>
        <v>#DIV/0!</v>
      </c>
      <c r="I31" s="81" t="e">
        <f>N49-(D17*初始化表!E17+D18*初始化表!F17+D19*初始化表!G17+D20*初始化表!H17)/520-(C17*初始化表!E17+C18*初始化表!F17+C19*初始化表!G17+C20*初始化表!H17)/260</f>
        <v>#DIV/0!</v>
      </c>
      <c r="J31" s="81" t="e">
        <f>N49-(E17*初始化表!E17+E18*初始化表!F17+E19*初始化表!G17+E20*初始化表!H17)/260</f>
        <v>#DIV/0!</v>
      </c>
      <c r="K31" s="81">
        <f>((D17-2*E17)*初始化表!E18+(D18-2*E18)*初始化表!F18+(D19-2*E19)*初始化表!G18+(D20-2*E20)*初始化表!H18)/520</f>
        <v>0</v>
      </c>
      <c r="L31" s="81">
        <f>((B17-2*C17)*初始化表!E18+(B18-2*C18)*初始化表!F18+(B19-2*C19)*初始化表!G18+(B20-2*C20)*初始化表!H18)/520</f>
        <v>0</v>
      </c>
      <c r="M31" s="85"/>
      <c r="N31" s="269" t="s">
        <v>602</v>
      </c>
      <c r="O31" s="270"/>
      <c r="P31" s="270"/>
      <c r="Q31" s="270"/>
      <c r="R31" s="270"/>
      <c r="S31" s="74"/>
      <c r="T31" s="120"/>
      <c r="U31" s="269" t="s">
        <v>522</v>
      </c>
      <c r="V31" s="115">
        <f>第3期!BF27</f>
        <v>0</v>
      </c>
      <c r="W31" s="115">
        <f>第3期!BG27</f>
        <v>0</v>
      </c>
      <c r="X31" s="115">
        <f>第3期!BH27</f>
        <v>0</v>
      </c>
      <c r="Y31" s="115">
        <f>第3期!BI27</f>
        <v>0</v>
      </c>
      <c r="Z31" s="74"/>
      <c r="AA31" s="73"/>
      <c r="AB31" s="154" t="s">
        <v>206</v>
      </c>
      <c r="AC31" s="156" t="e">
        <f t="shared" si="44"/>
        <v>#DIV/0!</v>
      </c>
      <c r="AD31" s="156" t="e">
        <f t="shared" si="44"/>
        <v>#DIV/0!</v>
      </c>
      <c r="AE31" s="156" t="e">
        <f t="shared" si="44"/>
        <v>#DIV/0!</v>
      </c>
      <c r="AF31" s="156" t="e">
        <f t="shared" si="44"/>
        <v>#DIV/0!</v>
      </c>
      <c r="AG31" s="74"/>
      <c r="AH31" s="73"/>
      <c r="AI31" s="68" t="s">
        <v>603</v>
      </c>
      <c r="AJ31" s="69"/>
      <c r="AK31" s="69"/>
      <c r="AL31" s="69"/>
      <c r="AM31" s="69"/>
      <c r="AN31" s="69"/>
      <c r="AO31" s="69"/>
      <c r="AP31" s="69"/>
      <c r="AQ31" s="69"/>
      <c r="AR31" s="69"/>
      <c r="AS31" s="69"/>
      <c r="AT31" s="69"/>
      <c r="AU31" s="69"/>
      <c r="AV31" s="69"/>
      <c r="AW31" s="69"/>
      <c r="AX31" s="69"/>
      <c r="AY31" s="69"/>
      <c r="AZ31" s="193"/>
      <c r="BA31" s="196">
        <f t="shared" ref="BA31:BA50" si="63">BA7</f>
        <v>0</v>
      </c>
      <c r="BB31" s="201">
        <f t="shared" ref="BB31:BB50" si="64">SUM(BB7:BE7)</f>
        <v>0</v>
      </c>
      <c r="BC31" s="201">
        <f t="shared" ref="BC31:BC50" si="65">SUM(BF7:BI7)</f>
        <v>0</v>
      </c>
      <c r="BD31" s="201">
        <f t="shared" ref="BD31:BD50" si="66">SUM(BJ7:BM7)</f>
        <v>0</v>
      </c>
      <c r="BE31" s="201">
        <f t="shared" ref="BE31:BE50" si="67">SUM(BN7:BQ7)</f>
        <v>0</v>
      </c>
      <c r="BF31" s="202">
        <f>(BB31*初始化表!E$17+BC31*初始化表!F$17+BD31*初始化表!G$17+BE31*初始化表!H$17)/1300</f>
        <v>0</v>
      </c>
      <c r="BG31" s="207">
        <f t="shared" ref="BG31:BG50" si="68">IF(BF31=0,0,AL107/BF31)</f>
        <v>0</v>
      </c>
      <c r="BH31" s="207">
        <f t="shared" ref="BH31:BH50" si="69">IF(BF31=0,0,AJ107/BF31)</f>
        <v>0</v>
      </c>
      <c r="BI31" s="321">
        <f>$BI$51+MAX(0,第3期!BI31)-BF31</f>
        <v>0</v>
      </c>
      <c r="BJ31" s="201" t="str">
        <f t="shared" ref="BJ31:BJ50" si="70">IF(BA31=0,"",RANK(BG31,$BG$31:$BG$50))</f>
        <v/>
      </c>
      <c r="BK31" s="201" t="str">
        <f t="shared" ref="BK31:BK50" si="71">IF(BA31=0,"",RANK(BH31,$BH$31:$BH$50))</f>
        <v/>
      </c>
      <c r="BL31" s="203"/>
      <c r="BM31" s="195"/>
      <c r="BN31" s="194" t="s">
        <v>513</v>
      </c>
      <c r="BO31" s="194" t="s">
        <v>514</v>
      </c>
      <c r="BP31" s="194" t="s">
        <v>515</v>
      </c>
      <c r="BQ31" s="194" t="s">
        <v>516</v>
      </c>
      <c r="BR31" s="211"/>
      <c r="BS31" s="196">
        <f t="shared" si="46"/>
        <v>0</v>
      </c>
      <c r="BT31" s="213" t="e">
        <f t="shared" si="47"/>
        <v>#DIV/0!</v>
      </c>
      <c r="BU31" s="213" t="e">
        <f t="shared" si="48"/>
        <v>#DIV/0!</v>
      </c>
      <c r="BV31" s="213" t="e">
        <f t="shared" si="49"/>
        <v>#DIV/0!</v>
      </c>
      <c r="BW31" s="213" t="e">
        <f t="shared" si="50"/>
        <v>#DIV/0!</v>
      </c>
      <c r="BX31" s="213" t="e">
        <f t="shared" si="51"/>
        <v>#DIV/0!</v>
      </c>
      <c r="BY31" s="213" t="e">
        <f t="shared" si="52"/>
        <v>#DIV/0!</v>
      </c>
      <c r="BZ31" s="213" t="e">
        <f t="shared" si="53"/>
        <v>#DIV/0!</v>
      </c>
      <c r="CA31" s="213" t="e">
        <f t="shared" si="54"/>
        <v>#DIV/0!</v>
      </c>
      <c r="CB31" s="213" t="e">
        <f t="shared" si="55"/>
        <v>#DIV/0!</v>
      </c>
      <c r="CC31" s="213" t="e">
        <f t="shared" si="56"/>
        <v>#DIV/0!</v>
      </c>
      <c r="CD31" s="213" t="e">
        <f t="shared" si="57"/>
        <v>#DIV/0!</v>
      </c>
      <c r="CE31" s="213" t="e">
        <f t="shared" si="58"/>
        <v>#DIV/0!</v>
      </c>
      <c r="CF31" s="213" t="e">
        <f t="shared" si="59"/>
        <v>#DIV/0!</v>
      </c>
      <c r="CG31" s="213" t="e">
        <f t="shared" si="60"/>
        <v>#DIV/0!</v>
      </c>
      <c r="CH31" s="213" t="e">
        <f t="shared" si="61"/>
        <v>#DIV/0!</v>
      </c>
      <c r="CI31" s="213" t="e">
        <f t="shared" si="62"/>
        <v>#DIV/0!</v>
      </c>
      <c r="CJ31" s="226"/>
      <c r="CK31" s="228"/>
      <c r="CL31" s="228"/>
      <c r="CM31" s="228"/>
      <c r="CN31" s="228"/>
      <c r="CO31" s="228"/>
      <c r="CP31" s="228"/>
      <c r="CQ31" s="228"/>
      <c r="CR31" s="228"/>
      <c r="CS31" s="228"/>
      <c r="CT31" s="228"/>
      <c r="CU31" s="228"/>
      <c r="CV31" s="228"/>
      <c r="CW31" s="228"/>
      <c r="CX31" s="228"/>
      <c r="CY31" s="228"/>
      <c r="CZ31" s="228"/>
      <c r="DA31" s="228"/>
      <c r="DB31" s="228"/>
      <c r="DC31" s="228"/>
      <c r="DD31" s="228"/>
      <c r="DE31" s="228"/>
      <c r="DF31" s="228"/>
      <c r="DG31" s="228"/>
      <c r="DH31" s="228"/>
      <c r="DI31" s="228"/>
      <c r="DJ31" s="228"/>
      <c r="DK31" s="228"/>
      <c r="DL31" s="228"/>
      <c r="DM31" s="228"/>
      <c r="DN31" s="228"/>
      <c r="DO31" s="228"/>
      <c r="DP31" s="228"/>
      <c r="DQ31" s="228"/>
    </row>
    <row r="32" s="61" customFormat="1" ht="16" customHeight="1" spans="1:121">
      <c r="A32" s="269" t="s">
        <v>364</v>
      </c>
      <c r="B32" s="270"/>
      <c r="C32" s="77">
        <f>-O35*初始化表!B24/4</f>
        <v>0</v>
      </c>
      <c r="D32" s="79"/>
      <c r="E32" s="79">
        <f>-C32</f>
        <v>0</v>
      </c>
      <c r="F32" s="79" t="e">
        <f t="shared" si="45"/>
        <v>#DIV/0!</v>
      </c>
      <c r="G32" s="73"/>
      <c r="H32" s="354" t="s">
        <v>604</v>
      </c>
      <c r="I32" s="354" t="s">
        <v>605</v>
      </c>
      <c r="J32" s="354" t="s">
        <v>606</v>
      </c>
      <c r="K32" s="354" t="s">
        <v>607</v>
      </c>
      <c r="L32" s="101"/>
      <c r="M32" s="85"/>
      <c r="N32" s="269" t="s">
        <v>608</v>
      </c>
      <c r="O32" s="269" t="s">
        <v>609</v>
      </c>
      <c r="P32" s="269" t="s">
        <v>610</v>
      </c>
      <c r="Q32" s="269" t="s">
        <v>611</v>
      </c>
      <c r="R32" s="269" t="s">
        <v>612</v>
      </c>
      <c r="S32" s="121"/>
      <c r="T32" s="120"/>
      <c r="U32" s="269" t="s">
        <v>523</v>
      </c>
      <c r="V32" s="115">
        <f>第3期!BJ27</f>
        <v>0</v>
      </c>
      <c r="W32" s="115">
        <f>第3期!BK27</f>
        <v>0</v>
      </c>
      <c r="X32" s="115">
        <f>第3期!BL27</f>
        <v>0</v>
      </c>
      <c r="Y32" s="115">
        <f>第3期!BM27</f>
        <v>0</v>
      </c>
      <c r="Z32" s="74"/>
      <c r="AA32" s="73"/>
      <c r="AB32" s="154" t="s">
        <v>208</v>
      </c>
      <c r="AC32" s="156" t="e">
        <f t="shared" si="44"/>
        <v>#DIV/0!</v>
      </c>
      <c r="AD32" s="156" t="e">
        <f t="shared" si="44"/>
        <v>#DIV/0!</v>
      </c>
      <c r="AE32" s="156" t="e">
        <f t="shared" si="44"/>
        <v>#DIV/0!</v>
      </c>
      <c r="AF32" s="156" t="e">
        <f t="shared" si="44"/>
        <v>#DIV/0!</v>
      </c>
      <c r="AG32" s="74"/>
      <c r="AH32" s="73"/>
      <c r="AI32" s="69"/>
      <c r="AJ32" s="69"/>
      <c r="AK32" s="69"/>
      <c r="AL32" s="69"/>
      <c r="AM32" s="69"/>
      <c r="AN32" s="69"/>
      <c r="AO32" s="69"/>
      <c r="AP32" s="69"/>
      <c r="AQ32" s="69"/>
      <c r="AR32" s="69"/>
      <c r="AS32" s="69"/>
      <c r="AT32" s="69"/>
      <c r="AU32" s="69"/>
      <c r="AV32" s="69"/>
      <c r="AW32" s="69"/>
      <c r="AX32" s="69"/>
      <c r="AY32" s="69"/>
      <c r="AZ32" s="193"/>
      <c r="BA32" s="196">
        <f t="shared" si="63"/>
        <v>0</v>
      </c>
      <c r="BB32" s="201">
        <f t="shared" si="64"/>
        <v>0</v>
      </c>
      <c r="BC32" s="201">
        <f t="shared" si="65"/>
        <v>0</v>
      </c>
      <c r="BD32" s="201">
        <f t="shared" si="66"/>
        <v>0</v>
      </c>
      <c r="BE32" s="201">
        <f t="shared" si="67"/>
        <v>0</v>
      </c>
      <c r="BF32" s="202">
        <f>(BB32*初始化表!E$17+BC32*初始化表!F$17+BD32*初始化表!G$17+BE32*初始化表!H$17)/1300</f>
        <v>0</v>
      </c>
      <c r="BG32" s="207">
        <f t="shared" si="68"/>
        <v>0</v>
      </c>
      <c r="BH32" s="207">
        <f t="shared" si="69"/>
        <v>0</v>
      </c>
      <c r="BI32" s="321">
        <f>$BI$51+MAX(0,第3期!BI32)-BF32</f>
        <v>0</v>
      </c>
      <c r="BJ32" s="201" t="str">
        <f t="shared" si="70"/>
        <v/>
      </c>
      <c r="BK32" s="201" t="str">
        <f t="shared" si="71"/>
        <v/>
      </c>
      <c r="BL32" s="203"/>
      <c r="BM32" s="194" t="s">
        <v>521</v>
      </c>
      <c r="BN32" s="201">
        <f>COUNTIF(BB7:BB26,"&gt;0")</f>
        <v>0</v>
      </c>
      <c r="BO32" s="201">
        <f>COUNTIF(BC7:BC26,"&gt;0")</f>
        <v>0</v>
      </c>
      <c r="BP32" s="201">
        <f>COUNTIF(BD7:BD26,"&gt;0")</f>
        <v>0</v>
      </c>
      <c r="BQ32" s="201">
        <f>COUNTIF(BE7:BE26,"&gt;0")</f>
        <v>0</v>
      </c>
      <c r="BR32" s="211"/>
      <c r="BS32" s="196">
        <f t="shared" si="46"/>
        <v>0</v>
      </c>
      <c r="BT32" s="213" t="e">
        <f t="shared" si="47"/>
        <v>#DIV/0!</v>
      </c>
      <c r="BU32" s="213" t="e">
        <f t="shared" si="48"/>
        <v>#DIV/0!</v>
      </c>
      <c r="BV32" s="213" t="e">
        <f t="shared" si="49"/>
        <v>#DIV/0!</v>
      </c>
      <c r="BW32" s="213" t="e">
        <f t="shared" si="50"/>
        <v>#DIV/0!</v>
      </c>
      <c r="BX32" s="213" t="e">
        <f t="shared" si="51"/>
        <v>#DIV/0!</v>
      </c>
      <c r="BY32" s="213" t="e">
        <f t="shared" si="52"/>
        <v>#DIV/0!</v>
      </c>
      <c r="BZ32" s="213" t="e">
        <f t="shared" si="53"/>
        <v>#DIV/0!</v>
      </c>
      <c r="CA32" s="213" t="e">
        <f t="shared" si="54"/>
        <v>#DIV/0!</v>
      </c>
      <c r="CB32" s="213" t="e">
        <f t="shared" si="55"/>
        <v>#DIV/0!</v>
      </c>
      <c r="CC32" s="213" t="e">
        <f t="shared" si="56"/>
        <v>#DIV/0!</v>
      </c>
      <c r="CD32" s="213" t="e">
        <f t="shared" si="57"/>
        <v>#DIV/0!</v>
      </c>
      <c r="CE32" s="213" t="e">
        <f t="shared" si="58"/>
        <v>#DIV/0!</v>
      </c>
      <c r="CF32" s="213" t="e">
        <f t="shared" si="59"/>
        <v>#DIV/0!</v>
      </c>
      <c r="CG32" s="213" t="e">
        <f t="shared" si="60"/>
        <v>#DIV/0!</v>
      </c>
      <c r="CH32" s="213" t="e">
        <f t="shared" si="61"/>
        <v>#DIV/0!</v>
      </c>
      <c r="CI32" s="213" t="e">
        <f t="shared" si="62"/>
        <v>#DIV/0!</v>
      </c>
      <c r="CJ32" s="226"/>
      <c r="CK32" s="228"/>
      <c r="CL32" s="228"/>
      <c r="CM32" s="228"/>
      <c r="CN32" s="228"/>
      <c r="CO32" s="228"/>
      <c r="CP32" s="228"/>
      <c r="CQ32" s="228"/>
      <c r="CR32" s="228"/>
      <c r="CS32" s="228"/>
      <c r="CT32" s="228"/>
      <c r="CU32" s="228"/>
      <c r="CV32" s="228"/>
      <c r="CW32" s="228"/>
      <c r="CX32" s="228"/>
      <c r="CY32" s="228"/>
      <c r="CZ32" s="228"/>
      <c r="DA32" s="228"/>
      <c r="DB32" s="228"/>
      <c r="DC32" s="228"/>
      <c r="DD32" s="228"/>
      <c r="DE32" s="228"/>
      <c r="DF32" s="228"/>
      <c r="DG32" s="228"/>
      <c r="DH32" s="228"/>
      <c r="DI32" s="228"/>
      <c r="DJ32" s="228"/>
      <c r="DK32" s="228"/>
      <c r="DL32" s="228"/>
      <c r="DM32" s="228"/>
      <c r="DN32" s="228"/>
      <c r="DO32" s="228"/>
      <c r="DP32" s="228"/>
      <c r="DQ32" s="228"/>
    </row>
    <row r="33" s="61" customFormat="1" ht="16" customHeight="1" spans="1:121">
      <c r="A33" s="269" t="s">
        <v>365</v>
      </c>
      <c r="B33" s="270"/>
      <c r="C33" s="77">
        <f>-B22*初始化表!B13</f>
        <v>0</v>
      </c>
      <c r="D33" s="79"/>
      <c r="E33" s="79">
        <f>E32-C33</f>
        <v>0</v>
      </c>
      <c r="F33" s="79" t="e">
        <f t="shared" si="45"/>
        <v>#DIV/0!</v>
      </c>
      <c r="G33" s="73"/>
      <c r="H33" s="82" t="e">
        <f>520*H31</f>
        <v>#DIV/0!</v>
      </c>
      <c r="I33" s="82" t="e">
        <f>520*I31</f>
        <v>#DIV/0!</v>
      </c>
      <c r="J33" s="391" t="e">
        <f>260*J31</f>
        <v>#DIV/0!</v>
      </c>
      <c r="K33" s="391">
        <f>I29*520</f>
        <v>0</v>
      </c>
      <c r="L33" s="91"/>
      <c r="M33" s="85"/>
      <c r="N33" s="83" t="e">
        <f>INT(IF(C28&lt;初始化表!B21,MIN((初始化表!B21-C28),P33),0)+1)</f>
        <v>#DIV/0!</v>
      </c>
      <c r="O33" s="83" t="e">
        <f>MAX(N33,IF(F48&lt;0,INT(-F48+1),0))</f>
        <v>#DIV/0!</v>
      </c>
      <c r="P33" s="102">
        <f>第3期!P33-第3期!B24</f>
        <v>0</v>
      </c>
      <c r="Q33" s="107"/>
      <c r="R33" s="83" t="e">
        <f>第3期!C37</f>
        <v>#DIV/0!</v>
      </c>
      <c r="S33" s="132"/>
      <c r="T33" s="120"/>
      <c r="U33" s="269" t="s">
        <v>524</v>
      </c>
      <c r="V33" s="115">
        <f>第3期!BN27</f>
        <v>0</v>
      </c>
      <c r="W33" s="115">
        <f>第3期!BO27</f>
        <v>0</v>
      </c>
      <c r="X33" s="115">
        <f>第3期!BP27</f>
        <v>0</v>
      </c>
      <c r="Y33" s="115">
        <f>第3期!BQ27</f>
        <v>0</v>
      </c>
      <c r="Z33" s="74"/>
      <c r="AA33" s="73"/>
      <c r="AB33" s="155"/>
      <c r="AC33" s="155"/>
      <c r="AD33" s="155"/>
      <c r="AE33" s="155"/>
      <c r="AF33" s="155"/>
      <c r="AG33" s="155"/>
      <c r="AH33" s="73"/>
      <c r="AZ33" s="193"/>
      <c r="BA33" s="196">
        <f t="shared" si="63"/>
        <v>0</v>
      </c>
      <c r="BB33" s="201">
        <f t="shared" si="64"/>
        <v>0</v>
      </c>
      <c r="BC33" s="201">
        <f t="shared" si="65"/>
        <v>0</v>
      </c>
      <c r="BD33" s="201">
        <f t="shared" si="66"/>
        <v>0</v>
      </c>
      <c r="BE33" s="201">
        <f t="shared" si="67"/>
        <v>0</v>
      </c>
      <c r="BF33" s="202">
        <f>(BB33*初始化表!E$17+BC33*初始化表!F$17+BD33*初始化表!G$17+BE33*初始化表!H$17)/1300</f>
        <v>0</v>
      </c>
      <c r="BG33" s="207">
        <f t="shared" si="68"/>
        <v>0</v>
      </c>
      <c r="BH33" s="207">
        <f t="shared" si="69"/>
        <v>0</v>
      </c>
      <c r="BI33" s="321">
        <f>$BI$51+MAX(0,第3期!BI33)-BF33</f>
        <v>0</v>
      </c>
      <c r="BJ33" s="201" t="str">
        <f t="shared" si="70"/>
        <v/>
      </c>
      <c r="BK33" s="201" t="str">
        <f t="shared" si="71"/>
        <v/>
      </c>
      <c r="BL33" s="203"/>
      <c r="BM33" s="194" t="s">
        <v>522</v>
      </c>
      <c r="BN33" s="201">
        <f>COUNTIF(BF7:BF26,"&gt;0")</f>
        <v>0</v>
      </c>
      <c r="BO33" s="201">
        <f>COUNTIF(BG7:BG26,"&gt;0")</f>
        <v>0</v>
      </c>
      <c r="BP33" s="201">
        <f>COUNTIF(BH7:BH26,"&gt;0")</f>
        <v>0</v>
      </c>
      <c r="BQ33" s="201">
        <f>COUNTIF(BI7:BI26,"&gt;0")</f>
        <v>0</v>
      </c>
      <c r="BR33" s="211"/>
      <c r="BS33" s="196">
        <f t="shared" si="46"/>
        <v>0</v>
      </c>
      <c r="BT33" s="213" t="e">
        <f t="shared" si="47"/>
        <v>#DIV/0!</v>
      </c>
      <c r="BU33" s="213" t="e">
        <f t="shared" si="48"/>
        <v>#DIV/0!</v>
      </c>
      <c r="BV33" s="213" t="e">
        <f t="shared" si="49"/>
        <v>#DIV/0!</v>
      </c>
      <c r="BW33" s="213" t="e">
        <f t="shared" si="50"/>
        <v>#DIV/0!</v>
      </c>
      <c r="BX33" s="213" t="e">
        <f t="shared" si="51"/>
        <v>#DIV/0!</v>
      </c>
      <c r="BY33" s="213" t="e">
        <f t="shared" si="52"/>
        <v>#DIV/0!</v>
      </c>
      <c r="BZ33" s="213" t="e">
        <f t="shared" si="53"/>
        <v>#DIV/0!</v>
      </c>
      <c r="CA33" s="213" t="e">
        <f t="shared" si="54"/>
        <v>#DIV/0!</v>
      </c>
      <c r="CB33" s="213" t="e">
        <f t="shared" si="55"/>
        <v>#DIV/0!</v>
      </c>
      <c r="CC33" s="213" t="e">
        <f t="shared" si="56"/>
        <v>#DIV/0!</v>
      </c>
      <c r="CD33" s="213" t="e">
        <f t="shared" si="57"/>
        <v>#DIV/0!</v>
      </c>
      <c r="CE33" s="213" t="e">
        <f t="shared" si="58"/>
        <v>#DIV/0!</v>
      </c>
      <c r="CF33" s="213" t="e">
        <f t="shared" si="59"/>
        <v>#DIV/0!</v>
      </c>
      <c r="CG33" s="213" t="e">
        <f t="shared" si="60"/>
        <v>#DIV/0!</v>
      </c>
      <c r="CH33" s="213" t="e">
        <f t="shared" si="61"/>
        <v>#DIV/0!</v>
      </c>
      <c r="CI33" s="213" t="e">
        <f t="shared" si="62"/>
        <v>#DIV/0!</v>
      </c>
      <c r="CJ33" s="226"/>
      <c r="CK33" s="228"/>
      <c r="CL33" s="228"/>
      <c r="CM33" s="228"/>
      <c r="CN33" s="228"/>
      <c r="CO33" s="228"/>
      <c r="CP33" s="228"/>
      <c r="CQ33" s="228"/>
      <c r="CR33" s="228"/>
      <c r="CS33" s="228"/>
      <c r="CT33" s="228"/>
      <c r="CU33" s="228"/>
      <c r="CV33" s="228"/>
      <c r="CW33" s="228"/>
      <c r="CX33" s="228"/>
      <c r="CY33" s="228"/>
      <c r="CZ33" s="228"/>
      <c r="DA33" s="228"/>
      <c r="DB33" s="228"/>
      <c r="DC33" s="228"/>
      <c r="DD33" s="228"/>
      <c r="DE33" s="228"/>
      <c r="DF33" s="228"/>
      <c r="DG33" s="228"/>
      <c r="DH33" s="228"/>
      <c r="DI33" s="228"/>
      <c r="DJ33" s="228"/>
      <c r="DK33" s="228"/>
      <c r="DL33" s="228"/>
      <c r="DM33" s="228"/>
      <c r="DN33" s="228"/>
      <c r="DO33" s="228"/>
      <c r="DP33" s="228"/>
      <c r="DQ33" s="228"/>
    </row>
    <row r="34" s="61" customFormat="1" ht="16" customHeight="1" spans="1:121">
      <c r="A34" s="269" t="s">
        <v>366</v>
      </c>
      <c r="B34" s="270"/>
      <c r="C34" s="77">
        <f>-C22*初始化表!B14</f>
        <v>0</v>
      </c>
      <c r="D34" s="79"/>
      <c r="E34" s="79">
        <f>E33-C34</f>
        <v>0</v>
      </c>
      <c r="F34" s="79" t="e">
        <f t="shared" si="45"/>
        <v>#DIV/0!</v>
      </c>
      <c r="G34" s="73"/>
      <c r="H34" s="354" t="s">
        <v>244</v>
      </c>
      <c r="I34" s="248">
        <f>-C43</f>
        <v>0</v>
      </c>
      <c r="J34" s="414" t="s">
        <v>613</v>
      </c>
      <c r="K34" s="357" t="s">
        <v>614</v>
      </c>
      <c r="L34" s="270"/>
      <c r="M34" s="85"/>
      <c r="N34" s="269" t="s">
        <v>615</v>
      </c>
      <c r="O34" s="269" t="s">
        <v>616</v>
      </c>
      <c r="P34" s="269" t="s">
        <v>617</v>
      </c>
      <c r="Q34" s="269" t="s">
        <v>618</v>
      </c>
      <c r="R34" s="269" t="s">
        <v>619</v>
      </c>
      <c r="S34" s="121"/>
      <c r="T34" s="120"/>
      <c r="U34" s="417"/>
      <c r="V34" s="327"/>
      <c r="W34" s="327"/>
      <c r="X34" s="327"/>
      <c r="Y34" s="327"/>
      <c r="Z34" s="74"/>
      <c r="AA34" s="73"/>
      <c r="AB34" s="154" t="s">
        <v>500</v>
      </c>
      <c r="AC34" s="154" t="s">
        <v>499</v>
      </c>
      <c r="AD34" s="154" t="s">
        <v>38</v>
      </c>
      <c r="AE34" s="154" t="s">
        <v>39</v>
      </c>
      <c r="AF34" s="154" t="s">
        <v>40</v>
      </c>
      <c r="AG34" s="154" t="s">
        <v>41</v>
      </c>
      <c r="AH34" s="73"/>
      <c r="AI34" s="68" t="s">
        <v>480</v>
      </c>
      <c r="AJ34" s="69"/>
      <c r="AK34" s="69"/>
      <c r="AL34" s="69"/>
      <c r="AM34" s="69"/>
      <c r="AN34" s="69"/>
      <c r="AO34" s="69"/>
      <c r="AP34" s="69"/>
      <c r="AQ34" s="69"/>
      <c r="AR34" s="69"/>
      <c r="AS34" s="69"/>
      <c r="AT34" s="69"/>
      <c r="AU34" s="69"/>
      <c r="AV34" s="69"/>
      <c r="AW34" s="69"/>
      <c r="AX34" s="69"/>
      <c r="AY34" s="69"/>
      <c r="AZ34" s="193"/>
      <c r="BA34" s="196">
        <f t="shared" si="63"/>
        <v>0</v>
      </c>
      <c r="BB34" s="201">
        <f t="shared" si="64"/>
        <v>0</v>
      </c>
      <c r="BC34" s="201">
        <f t="shared" si="65"/>
        <v>0</v>
      </c>
      <c r="BD34" s="201">
        <f t="shared" si="66"/>
        <v>0</v>
      </c>
      <c r="BE34" s="201">
        <f t="shared" si="67"/>
        <v>0</v>
      </c>
      <c r="BF34" s="202">
        <f>(BB34*初始化表!E$17+BC34*初始化表!F$17+BD34*初始化表!G$17+BE34*初始化表!H$17)/1300</f>
        <v>0</v>
      </c>
      <c r="BG34" s="207">
        <f t="shared" si="68"/>
        <v>0</v>
      </c>
      <c r="BH34" s="207">
        <f t="shared" si="69"/>
        <v>0</v>
      </c>
      <c r="BI34" s="321">
        <f>$BI$51+MAX(0,第3期!BI34)-BF34</f>
        <v>0</v>
      </c>
      <c r="BJ34" s="201" t="str">
        <f t="shared" si="70"/>
        <v/>
      </c>
      <c r="BK34" s="201" t="str">
        <f t="shared" si="71"/>
        <v/>
      </c>
      <c r="BL34" s="203"/>
      <c r="BM34" s="194" t="s">
        <v>523</v>
      </c>
      <c r="BN34" s="201">
        <f>COUNTIF(BJ7:BJ26,"&gt;0")</f>
        <v>0</v>
      </c>
      <c r="BO34" s="201">
        <f>COUNTIF(BK7:BK26,"&gt;0")</f>
        <v>0</v>
      </c>
      <c r="BP34" s="201">
        <f>COUNTIF(BL7:BL26,"&gt;0")</f>
        <v>0</v>
      </c>
      <c r="BQ34" s="201">
        <f>COUNTIF(BM7:BM26,"&gt;0")</f>
        <v>0</v>
      </c>
      <c r="BR34" s="211"/>
      <c r="BS34" s="196">
        <f t="shared" si="46"/>
        <v>0</v>
      </c>
      <c r="BT34" s="213" t="e">
        <f t="shared" si="47"/>
        <v>#DIV/0!</v>
      </c>
      <c r="BU34" s="213" t="e">
        <f t="shared" si="48"/>
        <v>#DIV/0!</v>
      </c>
      <c r="BV34" s="213" t="e">
        <f t="shared" si="49"/>
        <v>#DIV/0!</v>
      </c>
      <c r="BW34" s="213" t="e">
        <f t="shared" si="50"/>
        <v>#DIV/0!</v>
      </c>
      <c r="BX34" s="213" t="e">
        <f t="shared" si="51"/>
        <v>#DIV/0!</v>
      </c>
      <c r="BY34" s="213" t="e">
        <f t="shared" si="52"/>
        <v>#DIV/0!</v>
      </c>
      <c r="BZ34" s="213" t="e">
        <f t="shared" si="53"/>
        <v>#DIV/0!</v>
      </c>
      <c r="CA34" s="213" t="e">
        <f t="shared" si="54"/>
        <v>#DIV/0!</v>
      </c>
      <c r="CB34" s="213" t="e">
        <f t="shared" si="55"/>
        <v>#DIV/0!</v>
      </c>
      <c r="CC34" s="213" t="e">
        <f t="shared" si="56"/>
        <v>#DIV/0!</v>
      </c>
      <c r="CD34" s="213" t="e">
        <f t="shared" si="57"/>
        <v>#DIV/0!</v>
      </c>
      <c r="CE34" s="213" t="e">
        <f t="shared" si="58"/>
        <v>#DIV/0!</v>
      </c>
      <c r="CF34" s="213" t="e">
        <f t="shared" si="59"/>
        <v>#DIV/0!</v>
      </c>
      <c r="CG34" s="213" t="e">
        <f t="shared" si="60"/>
        <v>#DIV/0!</v>
      </c>
      <c r="CH34" s="213" t="e">
        <f t="shared" si="61"/>
        <v>#DIV/0!</v>
      </c>
      <c r="CI34" s="213" t="e">
        <f t="shared" si="62"/>
        <v>#DIV/0!</v>
      </c>
      <c r="CJ34" s="226"/>
      <c r="CK34" s="228"/>
      <c r="CL34" s="228"/>
      <c r="CM34" s="228"/>
      <c r="CN34" s="228"/>
      <c r="CO34" s="228"/>
      <c r="CP34" s="228"/>
      <c r="CQ34" s="228"/>
      <c r="CR34" s="228"/>
      <c r="CS34" s="228"/>
      <c r="CT34" s="228"/>
      <c r="CU34" s="228"/>
      <c r="CV34" s="228"/>
      <c r="CW34" s="228"/>
      <c r="CX34" s="228"/>
      <c r="CY34" s="228"/>
      <c r="CZ34" s="228"/>
      <c r="DA34" s="228"/>
      <c r="DB34" s="228"/>
      <c r="DC34" s="228"/>
      <c r="DD34" s="228"/>
      <c r="DE34" s="228"/>
      <c r="DF34" s="228"/>
      <c r="DG34" s="228"/>
      <c r="DH34" s="228"/>
      <c r="DI34" s="228"/>
      <c r="DJ34" s="228"/>
      <c r="DK34" s="228"/>
      <c r="DL34" s="228"/>
      <c r="DM34" s="228"/>
      <c r="DN34" s="228"/>
      <c r="DO34" s="228"/>
      <c r="DP34" s="228"/>
      <c r="DQ34" s="228"/>
    </row>
    <row r="35" s="61" customFormat="1" ht="16" customHeight="1" spans="1:121">
      <c r="A35" s="269" t="s">
        <v>367</v>
      </c>
      <c r="B35" s="270"/>
      <c r="C35" s="77">
        <f>-(H17-C22+B22*初始化表!H4)*初始化表!B15*520*F24</f>
        <v>0</v>
      </c>
      <c r="D35" s="79"/>
      <c r="E35" s="79">
        <f>E34-C35</f>
        <v>0</v>
      </c>
      <c r="F35" s="79" t="e">
        <f t="shared" si="45"/>
        <v>#DIV/0!</v>
      </c>
      <c r="G35" s="73"/>
      <c r="H35" s="354" t="s">
        <v>223</v>
      </c>
      <c r="I35" s="248">
        <f>-C33</f>
        <v>0</v>
      </c>
      <c r="J35" s="106" t="e">
        <f>INT(($N$49*1300-SUMPRODUCT($L$177:$L$180,$H$177:$H$180))/H177)</f>
        <v>#DIV/0!</v>
      </c>
      <c r="K35" s="269" t="s">
        <v>198</v>
      </c>
      <c r="L35" s="90"/>
      <c r="M35" s="85"/>
      <c r="N35" s="415">
        <f>第3期!C24+第3期!N35</f>
        <v>0</v>
      </c>
      <c r="O35" s="415">
        <f>第3期!O35+第3期!C31+第3期!C30</f>
        <v>0</v>
      </c>
      <c r="P35" s="416" t="e">
        <f>INT(Q35)</f>
        <v>#DIV/0!</v>
      </c>
      <c r="Q35" s="418" t="e">
        <f>0.5*第3期!B80-O35</f>
        <v>#DIV/0!</v>
      </c>
      <c r="R35" s="107"/>
      <c r="S35" s="131"/>
      <c r="T35" s="120"/>
      <c r="U35" s="68" t="s">
        <v>620</v>
      </c>
      <c r="V35" s="68" t="s">
        <v>459</v>
      </c>
      <c r="W35" s="68" t="s">
        <v>460</v>
      </c>
      <c r="X35" s="68" t="s">
        <v>461</v>
      </c>
      <c r="Y35" s="68" t="s">
        <v>462</v>
      </c>
      <c r="Z35" s="74"/>
      <c r="AA35" s="73"/>
      <c r="AB35" s="154" t="s">
        <v>198</v>
      </c>
      <c r="AC35" s="152" t="e">
        <f>初始化表!$E$22-AC5</f>
        <v>#DIV/0!</v>
      </c>
      <c r="AD35" s="152" t="e">
        <f>初始化表!$E$22-AD5</f>
        <v>#DIV/0!</v>
      </c>
      <c r="AE35" s="152" t="e">
        <f>初始化表!$E$22-AE5</f>
        <v>#DIV/0!</v>
      </c>
      <c r="AF35" s="152" t="e">
        <f>初始化表!$E$22-AF5</f>
        <v>#DIV/0!</v>
      </c>
      <c r="AG35" s="152" t="e">
        <f>初始化表!$E$22-AG5</f>
        <v>#DIV/0!</v>
      </c>
      <c r="AH35" s="73"/>
      <c r="AI35" s="68" t="s">
        <v>37</v>
      </c>
      <c r="AJ35" s="68" t="s">
        <v>35</v>
      </c>
      <c r="AK35" s="69"/>
      <c r="AL35" s="69"/>
      <c r="AM35" s="69"/>
      <c r="AN35" s="68" t="s">
        <v>465</v>
      </c>
      <c r="AO35" s="69"/>
      <c r="AP35" s="69"/>
      <c r="AQ35" s="69"/>
      <c r="AR35" s="68" t="s">
        <v>466</v>
      </c>
      <c r="AS35" s="69"/>
      <c r="AT35" s="69"/>
      <c r="AU35" s="69"/>
      <c r="AV35" s="68" t="s">
        <v>468</v>
      </c>
      <c r="AW35" s="69"/>
      <c r="AX35" s="69"/>
      <c r="AY35" s="69"/>
      <c r="AZ35" s="193"/>
      <c r="BA35" s="196">
        <f t="shared" si="63"/>
        <v>0</v>
      </c>
      <c r="BB35" s="201">
        <f t="shared" si="64"/>
        <v>0</v>
      </c>
      <c r="BC35" s="201">
        <f t="shared" si="65"/>
        <v>0</v>
      </c>
      <c r="BD35" s="201">
        <f t="shared" si="66"/>
        <v>0</v>
      </c>
      <c r="BE35" s="201">
        <f t="shared" si="67"/>
        <v>0</v>
      </c>
      <c r="BF35" s="202">
        <f>(BB35*初始化表!E$17+BC35*初始化表!F$17+BD35*初始化表!G$17+BE35*初始化表!H$17)/1300</f>
        <v>0</v>
      </c>
      <c r="BG35" s="207">
        <f t="shared" si="68"/>
        <v>0</v>
      </c>
      <c r="BH35" s="207">
        <f t="shared" si="69"/>
        <v>0</v>
      </c>
      <c r="BI35" s="321">
        <f>$BI$51+MAX(0,第3期!BI35)-BF35</f>
        <v>0</v>
      </c>
      <c r="BJ35" s="201" t="str">
        <f t="shared" si="70"/>
        <v/>
      </c>
      <c r="BK35" s="201" t="str">
        <f t="shared" si="71"/>
        <v/>
      </c>
      <c r="BL35" s="203"/>
      <c r="BM35" s="194" t="s">
        <v>524</v>
      </c>
      <c r="BN35" s="201">
        <f>COUNTIF(BN7:BN26,"&gt;0")</f>
        <v>0</v>
      </c>
      <c r="BO35" s="201">
        <f>COUNTIF(BO7:BO26,"&gt;0")</f>
        <v>0</v>
      </c>
      <c r="BP35" s="201">
        <f>COUNTIF(BP7:BP26,"&gt;0")</f>
        <v>0</v>
      </c>
      <c r="BQ35" s="201">
        <f>COUNTIF(BQ7:BQ26,"&gt;0")</f>
        <v>0</v>
      </c>
      <c r="BR35" s="211"/>
      <c r="BS35" s="196">
        <f t="shared" si="46"/>
        <v>0</v>
      </c>
      <c r="BT35" s="213" t="e">
        <f t="shared" si="47"/>
        <v>#DIV/0!</v>
      </c>
      <c r="BU35" s="213" t="e">
        <f t="shared" si="48"/>
        <v>#DIV/0!</v>
      </c>
      <c r="BV35" s="213" t="e">
        <f t="shared" si="49"/>
        <v>#DIV/0!</v>
      </c>
      <c r="BW35" s="213" t="e">
        <f t="shared" si="50"/>
        <v>#DIV/0!</v>
      </c>
      <c r="BX35" s="213" t="e">
        <f t="shared" si="51"/>
        <v>#DIV/0!</v>
      </c>
      <c r="BY35" s="213" t="e">
        <f t="shared" si="52"/>
        <v>#DIV/0!</v>
      </c>
      <c r="BZ35" s="213" t="e">
        <f t="shared" si="53"/>
        <v>#DIV/0!</v>
      </c>
      <c r="CA35" s="213" t="e">
        <f t="shared" si="54"/>
        <v>#DIV/0!</v>
      </c>
      <c r="CB35" s="213" t="e">
        <f t="shared" si="55"/>
        <v>#DIV/0!</v>
      </c>
      <c r="CC35" s="213" t="e">
        <f t="shared" si="56"/>
        <v>#DIV/0!</v>
      </c>
      <c r="CD35" s="213" t="e">
        <f t="shared" si="57"/>
        <v>#DIV/0!</v>
      </c>
      <c r="CE35" s="213" t="e">
        <f t="shared" si="58"/>
        <v>#DIV/0!</v>
      </c>
      <c r="CF35" s="213" t="e">
        <f t="shared" si="59"/>
        <v>#DIV/0!</v>
      </c>
      <c r="CG35" s="213" t="e">
        <f t="shared" si="60"/>
        <v>#DIV/0!</v>
      </c>
      <c r="CH35" s="213" t="e">
        <f t="shared" si="61"/>
        <v>#DIV/0!</v>
      </c>
      <c r="CI35" s="213" t="e">
        <f t="shared" si="62"/>
        <v>#DIV/0!</v>
      </c>
      <c r="CJ35" s="226"/>
      <c r="CK35" s="228"/>
      <c r="CL35" s="228"/>
      <c r="CM35" s="228"/>
      <c r="CN35" s="228"/>
      <c r="CO35" s="228"/>
      <c r="CP35" s="228"/>
      <c r="CQ35" s="228"/>
      <c r="CR35" s="228"/>
      <c r="CS35" s="228"/>
      <c r="CT35" s="228"/>
      <c r="CU35" s="228"/>
      <c r="CV35" s="228"/>
      <c r="CW35" s="228"/>
      <c r="CX35" s="228"/>
      <c r="CY35" s="228"/>
      <c r="CZ35" s="228"/>
      <c r="DA35" s="228"/>
      <c r="DB35" s="228"/>
      <c r="DC35" s="228"/>
      <c r="DD35" s="228"/>
      <c r="DE35" s="228"/>
      <c r="DF35" s="228"/>
      <c r="DG35" s="228"/>
      <c r="DH35" s="228"/>
      <c r="DI35" s="228"/>
      <c r="DJ35" s="228"/>
      <c r="DK35" s="228"/>
      <c r="DL35" s="228"/>
      <c r="DM35" s="228"/>
      <c r="DN35" s="228"/>
      <c r="DO35" s="228"/>
      <c r="DP35" s="228"/>
      <c r="DQ35" s="228"/>
    </row>
    <row r="36" s="61" customFormat="1" ht="16" customHeight="1" spans="1:121">
      <c r="A36" s="269" t="s">
        <v>368</v>
      </c>
      <c r="B36" s="270"/>
      <c r="C36" s="77" t="e">
        <f>-N49*初始化表!B12</f>
        <v>#DIV/0!</v>
      </c>
      <c r="D36" s="79"/>
      <c r="E36" s="79" t="e">
        <f>E35-C36</f>
        <v>#DIV/0!</v>
      </c>
      <c r="F36" s="79" t="e">
        <f t="shared" si="45"/>
        <v>#DIV/0!</v>
      </c>
      <c r="G36" s="73"/>
      <c r="H36" s="354" t="s">
        <v>621</v>
      </c>
      <c r="I36" s="248">
        <f>-C34</f>
        <v>0</v>
      </c>
      <c r="J36" s="106" t="e">
        <f>INT(($N$49*1300-SUMPRODUCT($L$177:$L$180,$H$177:$H$180))/H178)</f>
        <v>#DIV/0!</v>
      </c>
      <c r="K36" s="269" t="s">
        <v>202</v>
      </c>
      <c r="L36" s="90"/>
      <c r="M36" s="85"/>
      <c r="N36" s="269" t="s">
        <v>622</v>
      </c>
      <c r="O36" s="269" t="s">
        <v>623</v>
      </c>
      <c r="P36" s="269" t="s">
        <v>624</v>
      </c>
      <c r="Q36" s="269" t="s">
        <v>625</v>
      </c>
      <c r="R36" s="269" t="s">
        <v>626</v>
      </c>
      <c r="S36" s="269" t="s">
        <v>739</v>
      </c>
      <c r="T36" s="289" t="s">
        <v>740</v>
      </c>
      <c r="U36" s="68" t="s">
        <v>464</v>
      </c>
      <c r="V36" s="115" t="e">
        <f>第3期!BN42</f>
        <v>#DIV/0!</v>
      </c>
      <c r="W36" s="115" t="e">
        <f>第3期!BO42</f>
        <v>#DIV/0!</v>
      </c>
      <c r="X36" s="115" t="e">
        <f>第3期!BP42</f>
        <v>#DIV/0!</v>
      </c>
      <c r="Y36" s="115" t="e">
        <f>第3期!BQ42</f>
        <v>#DIV/0!</v>
      </c>
      <c r="Z36" s="74"/>
      <c r="AA36" s="73"/>
      <c r="AB36" s="154" t="s">
        <v>202</v>
      </c>
      <c r="AC36" s="152" t="e">
        <f>初始化表!$F$22-AC6</f>
        <v>#DIV/0!</v>
      </c>
      <c r="AD36" s="152" t="e">
        <f>初始化表!$F$22-AD6</f>
        <v>#DIV/0!</v>
      </c>
      <c r="AE36" s="152" t="e">
        <f>初始化表!$F$22-AE6</f>
        <v>#DIV/0!</v>
      </c>
      <c r="AF36" s="152" t="e">
        <f>初始化表!$F$22-AF6</f>
        <v>#DIV/0!</v>
      </c>
      <c r="AG36" s="152" t="e">
        <f>初始化表!$F$22-AG6</f>
        <v>#DIV/0!</v>
      </c>
      <c r="AH36" s="73"/>
      <c r="AI36" s="69"/>
      <c r="AJ36" s="68" t="s">
        <v>320</v>
      </c>
      <c r="AK36" s="68" t="s">
        <v>321</v>
      </c>
      <c r="AL36" s="68" t="s">
        <v>322</v>
      </c>
      <c r="AM36" s="68" t="s">
        <v>319</v>
      </c>
      <c r="AN36" s="68" t="s">
        <v>320</v>
      </c>
      <c r="AO36" s="68" t="s">
        <v>321</v>
      </c>
      <c r="AP36" s="68" t="s">
        <v>322</v>
      </c>
      <c r="AQ36" s="68" t="s">
        <v>319</v>
      </c>
      <c r="AR36" s="68" t="s">
        <v>320</v>
      </c>
      <c r="AS36" s="68" t="s">
        <v>321</v>
      </c>
      <c r="AT36" s="68" t="s">
        <v>322</v>
      </c>
      <c r="AU36" s="68" t="s">
        <v>319</v>
      </c>
      <c r="AV36" s="68" t="s">
        <v>320</v>
      </c>
      <c r="AW36" s="68" t="s">
        <v>321</v>
      </c>
      <c r="AX36" s="68" t="s">
        <v>322</v>
      </c>
      <c r="AY36" s="68" t="s">
        <v>41</v>
      </c>
      <c r="AZ36" s="193"/>
      <c r="BA36" s="196">
        <f t="shared" si="63"/>
        <v>0</v>
      </c>
      <c r="BB36" s="201">
        <f t="shared" si="64"/>
        <v>0</v>
      </c>
      <c r="BC36" s="201">
        <f t="shared" si="65"/>
        <v>0</v>
      </c>
      <c r="BD36" s="201">
        <f t="shared" si="66"/>
        <v>0</v>
      </c>
      <c r="BE36" s="201">
        <f t="shared" si="67"/>
        <v>0</v>
      </c>
      <c r="BF36" s="202">
        <f>(BB36*初始化表!E$17+BC36*初始化表!F$17+BD36*初始化表!G$17+BE36*初始化表!H$17)/1300</f>
        <v>0</v>
      </c>
      <c r="BG36" s="207">
        <f t="shared" si="68"/>
        <v>0</v>
      </c>
      <c r="BH36" s="207">
        <f t="shared" si="69"/>
        <v>0</v>
      </c>
      <c r="BI36" s="321">
        <f>$BI$51+MAX(0,第3期!BI36)-BF36</f>
        <v>0</v>
      </c>
      <c r="BJ36" s="201" t="str">
        <f t="shared" si="70"/>
        <v/>
      </c>
      <c r="BK36" s="201" t="str">
        <f t="shared" si="71"/>
        <v/>
      </c>
      <c r="BL36" s="203"/>
      <c r="BM36" s="195"/>
      <c r="BN36" s="194" t="s">
        <v>513</v>
      </c>
      <c r="BO36" s="194" t="s">
        <v>514</v>
      </c>
      <c r="BP36" s="194" t="s">
        <v>515</v>
      </c>
      <c r="BQ36" s="194" t="s">
        <v>516</v>
      </c>
      <c r="BR36" s="211"/>
      <c r="BS36" s="196">
        <f t="shared" si="46"/>
        <v>0</v>
      </c>
      <c r="BT36" s="213" t="e">
        <f t="shared" si="47"/>
        <v>#DIV/0!</v>
      </c>
      <c r="BU36" s="213" t="e">
        <f t="shared" si="48"/>
        <v>#DIV/0!</v>
      </c>
      <c r="BV36" s="213" t="e">
        <f t="shared" si="49"/>
        <v>#DIV/0!</v>
      </c>
      <c r="BW36" s="213" t="e">
        <f t="shared" si="50"/>
        <v>#DIV/0!</v>
      </c>
      <c r="BX36" s="213" t="e">
        <f t="shared" si="51"/>
        <v>#DIV/0!</v>
      </c>
      <c r="BY36" s="213" t="e">
        <f t="shared" si="52"/>
        <v>#DIV/0!</v>
      </c>
      <c r="BZ36" s="213" t="e">
        <f t="shared" si="53"/>
        <v>#DIV/0!</v>
      </c>
      <c r="CA36" s="213" t="e">
        <f t="shared" si="54"/>
        <v>#DIV/0!</v>
      </c>
      <c r="CB36" s="213" t="e">
        <f t="shared" si="55"/>
        <v>#DIV/0!</v>
      </c>
      <c r="CC36" s="213" t="e">
        <f t="shared" si="56"/>
        <v>#DIV/0!</v>
      </c>
      <c r="CD36" s="213" t="e">
        <f t="shared" si="57"/>
        <v>#DIV/0!</v>
      </c>
      <c r="CE36" s="213" t="e">
        <f t="shared" si="58"/>
        <v>#DIV/0!</v>
      </c>
      <c r="CF36" s="213" t="e">
        <f t="shared" si="59"/>
        <v>#DIV/0!</v>
      </c>
      <c r="CG36" s="213" t="e">
        <f t="shared" si="60"/>
        <v>#DIV/0!</v>
      </c>
      <c r="CH36" s="213" t="e">
        <f t="shared" si="61"/>
        <v>#DIV/0!</v>
      </c>
      <c r="CI36" s="213" t="e">
        <f t="shared" si="62"/>
        <v>#DIV/0!</v>
      </c>
      <c r="CJ36" s="226"/>
      <c r="CK36" s="228"/>
      <c r="CL36" s="228"/>
      <c r="CM36" s="228"/>
      <c r="CN36" s="228"/>
      <c r="CO36" s="228"/>
      <c r="CP36" s="228"/>
      <c r="CQ36" s="228"/>
      <c r="CR36" s="228"/>
      <c r="CS36" s="228"/>
      <c r="CT36" s="228"/>
      <c r="CU36" s="228"/>
      <c r="CV36" s="228"/>
      <c r="CW36" s="228"/>
      <c r="CX36" s="228"/>
      <c r="CY36" s="228"/>
      <c r="CZ36" s="228"/>
      <c r="DA36" s="228"/>
      <c r="DB36" s="228"/>
      <c r="DC36" s="228"/>
      <c r="DD36" s="228"/>
      <c r="DE36" s="228"/>
      <c r="DF36" s="228"/>
      <c r="DG36" s="228"/>
      <c r="DH36" s="228"/>
      <c r="DI36" s="228"/>
      <c r="DJ36" s="228"/>
      <c r="DK36" s="228"/>
      <c r="DL36" s="228"/>
      <c r="DM36" s="228"/>
      <c r="DN36" s="228"/>
      <c r="DO36" s="228"/>
      <c r="DP36" s="228"/>
      <c r="DQ36" s="228"/>
    </row>
    <row r="37" s="61" customFormat="1" ht="16" customHeight="1" spans="1:121">
      <c r="A37" s="269" t="s">
        <v>369</v>
      </c>
      <c r="B37" s="270"/>
      <c r="C37" s="77" t="e">
        <f>IF(F36&lt;0,INT(1-F36),0)</f>
        <v>#DIV/0!</v>
      </c>
      <c r="D37" s="79"/>
      <c r="E37" s="79"/>
      <c r="F37" s="79" t="e">
        <f t="shared" si="45"/>
        <v>#DIV/0!</v>
      </c>
      <c r="G37" s="73"/>
      <c r="H37" s="354" t="s">
        <v>225</v>
      </c>
      <c r="I37" s="248">
        <f>-C35</f>
        <v>0</v>
      </c>
      <c r="J37" s="106" t="e">
        <f>INT(($N$49*1300-SUMPRODUCT($L$177:$L$180,$H$177:$H$180))/H179)</f>
        <v>#DIV/0!</v>
      </c>
      <c r="K37" s="269" t="s">
        <v>206</v>
      </c>
      <c r="L37" s="90"/>
      <c r="M37" s="85"/>
      <c r="N37" s="102">
        <f>第3期!D24</f>
        <v>0</v>
      </c>
      <c r="O37" s="107">
        <v>0</v>
      </c>
      <c r="P37" s="102" t="e">
        <f>MAX(0,INT(MIN(D56-E60+C61,F62-初始化表!B21)))</f>
        <v>#DIV/0!</v>
      </c>
      <c r="Q37" s="102" t="e">
        <f>MAX(0,INT(MIN(F62-MAX(E60,C28),F62+第5期!Q35+第5期!P33-F30+F48,P37)))</f>
        <v>#DIV/0!</v>
      </c>
      <c r="R37" s="107"/>
      <c r="S37" s="135" t="str">
        <f>IF(第3期!BA7=0,"未定",IF(第3期!BY27*0.9-第3期!BZ27&gt;0,"分红","不分红"))</f>
        <v>未定</v>
      </c>
      <c r="T37" s="397" t="str">
        <f>IF(第3期!BA7=0,"未定",ABS(第3期!BY27-第3期!BZ27))</f>
        <v>未定</v>
      </c>
      <c r="U37" s="68" t="s">
        <v>465</v>
      </c>
      <c r="V37" s="115" t="e">
        <f>第3期!BN43</f>
        <v>#DIV/0!</v>
      </c>
      <c r="W37" s="115" t="e">
        <f>第3期!BO43</f>
        <v>#DIV/0!</v>
      </c>
      <c r="X37" s="115" t="e">
        <f>第3期!BP43</f>
        <v>#DIV/0!</v>
      </c>
      <c r="Y37" s="115" t="e">
        <f>第3期!BQ43</f>
        <v>#DIV/0!</v>
      </c>
      <c r="Z37" s="74"/>
      <c r="AA37" s="73"/>
      <c r="AB37" s="154" t="s">
        <v>206</v>
      </c>
      <c r="AC37" s="152" t="e">
        <f>初始化表!$G$22-AC7</f>
        <v>#DIV/0!</v>
      </c>
      <c r="AD37" s="152" t="e">
        <f>初始化表!$G$22-AD7</f>
        <v>#DIV/0!</v>
      </c>
      <c r="AE37" s="152" t="e">
        <f>初始化表!$G$22-AE7</f>
        <v>#DIV/0!</v>
      </c>
      <c r="AF37" s="152" t="e">
        <f>初始化表!$G$22-AF7</f>
        <v>#DIV/0!</v>
      </c>
      <c r="AG37" s="152" t="e">
        <f>初始化表!$G$22-AG7</f>
        <v>#DIV/0!</v>
      </c>
      <c r="AH37" s="73"/>
      <c r="AI37" s="367"/>
      <c r="AJ37" s="368"/>
      <c r="AK37" s="368"/>
      <c r="AL37" s="368"/>
      <c r="AM37" s="368"/>
      <c r="AN37" s="368"/>
      <c r="AO37" s="368"/>
      <c r="AP37" s="368"/>
      <c r="AQ37" s="368"/>
      <c r="AR37" s="368"/>
      <c r="AS37" s="368"/>
      <c r="AT37" s="368"/>
      <c r="AU37" s="368"/>
      <c r="AV37" s="368"/>
      <c r="AW37" s="368"/>
      <c r="AX37" s="368"/>
      <c r="AY37" s="368"/>
      <c r="AZ37" s="193"/>
      <c r="BA37" s="196">
        <f t="shared" si="63"/>
        <v>0</v>
      </c>
      <c r="BB37" s="201">
        <f t="shared" si="64"/>
        <v>0</v>
      </c>
      <c r="BC37" s="201">
        <f t="shared" si="65"/>
        <v>0</v>
      </c>
      <c r="BD37" s="201">
        <f t="shared" si="66"/>
        <v>0</v>
      </c>
      <c r="BE37" s="201">
        <f t="shared" si="67"/>
        <v>0</v>
      </c>
      <c r="BF37" s="202">
        <f>(BB37*初始化表!E$17+BC37*初始化表!F$17+BD37*初始化表!G$17+BE37*初始化表!H$17)/1300</f>
        <v>0</v>
      </c>
      <c r="BG37" s="207">
        <f t="shared" si="68"/>
        <v>0</v>
      </c>
      <c r="BH37" s="207">
        <f t="shared" si="69"/>
        <v>0</v>
      </c>
      <c r="BI37" s="321">
        <f>$BI$51+MAX(0,第3期!BI37)-BF37</f>
        <v>0</v>
      </c>
      <c r="BJ37" s="201" t="str">
        <f t="shared" si="70"/>
        <v/>
      </c>
      <c r="BK37" s="201" t="str">
        <f t="shared" si="71"/>
        <v/>
      </c>
      <c r="BL37" s="203"/>
      <c r="BM37" s="194" t="s">
        <v>521</v>
      </c>
      <c r="BN37" s="201">
        <f>BB28</f>
        <v>0</v>
      </c>
      <c r="BO37" s="201">
        <f>BC28</f>
        <v>0</v>
      </c>
      <c r="BP37" s="201">
        <f>BD28</f>
        <v>0</v>
      </c>
      <c r="BQ37" s="201">
        <f>BE28</f>
        <v>0</v>
      </c>
      <c r="BR37" s="211"/>
      <c r="BS37" s="196">
        <f t="shared" si="46"/>
        <v>0</v>
      </c>
      <c r="BT37" s="213" t="e">
        <f t="shared" si="47"/>
        <v>#DIV/0!</v>
      </c>
      <c r="BU37" s="213" t="e">
        <f t="shared" si="48"/>
        <v>#DIV/0!</v>
      </c>
      <c r="BV37" s="213" t="e">
        <f t="shared" si="49"/>
        <v>#DIV/0!</v>
      </c>
      <c r="BW37" s="213" t="e">
        <f t="shared" si="50"/>
        <v>#DIV/0!</v>
      </c>
      <c r="BX37" s="213" t="e">
        <f t="shared" si="51"/>
        <v>#DIV/0!</v>
      </c>
      <c r="BY37" s="213" t="e">
        <f t="shared" si="52"/>
        <v>#DIV/0!</v>
      </c>
      <c r="BZ37" s="213" t="e">
        <f t="shared" si="53"/>
        <v>#DIV/0!</v>
      </c>
      <c r="CA37" s="213" t="e">
        <f t="shared" si="54"/>
        <v>#DIV/0!</v>
      </c>
      <c r="CB37" s="213" t="e">
        <f t="shared" si="55"/>
        <v>#DIV/0!</v>
      </c>
      <c r="CC37" s="213" t="e">
        <f t="shared" si="56"/>
        <v>#DIV/0!</v>
      </c>
      <c r="CD37" s="213" t="e">
        <f t="shared" si="57"/>
        <v>#DIV/0!</v>
      </c>
      <c r="CE37" s="213" t="e">
        <f t="shared" si="58"/>
        <v>#DIV/0!</v>
      </c>
      <c r="CF37" s="213" t="e">
        <f t="shared" si="59"/>
        <v>#DIV/0!</v>
      </c>
      <c r="CG37" s="213" t="e">
        <f t="shared" si="60"/>
        <v>#DIV/0!</v>
      </c>
      <c r="CH37" s="213" t="e">
        <f t="shared" si="61"/>
        <v>#DIV/0!</v>
      </c>
      <c r="CI37" s="213" t="e">
        <f t="shared" si="62"/>
        <v>#DIV/0!</v>
      </c>
      <c r="CJ37" s="226"/>
      <c r="CK37" s="228"/>
      <c r="CL37" s="228"/>
      <c r="CM37" s="228"/>
      <c r="CN37" s="228"/>
      <c r="CO37" s="228"/>
      <c r="CP37" s="228"/>
      <c r="CQ37" s="228"/>
      <c r="CR37" s="228"/>
      <c r="CS37" s="228"/>
      <c r="CT37" s="228"/>
      <c r="CU37" s="228"/>
      <c r="CV37" s="228"/>
      <c r="CW37" s="228"/>
      <c r="CX37" s="228"/>
      <c r="CY37" s="228"/>
      <c r="CZ37" s="228"/>
      <c r="DA37" s="228"/>
      <c r="DB37" s="228"/>
      <c r="DC37" s="228"/>
      <c r="DD37" s="228"/>
      <c r="DE37" s="228"/>
      <c r="DF37" s="228"/>
      <c r="DG37" s="228"/>
      <c r="DH37" s="228"/>
      <c r="DI37" s="228"/>
      <c r="DJ37" s="228"/>
      <c r="DK37" s="228"/>
      <c r="DL37" s="228"/>
      <c r="DM37" s="228"/>
      <c r="DN37" s="228"/>
      <c r="DO37" s="228"/>
      <c r="DP37" s="228"/>
      <c r="DQ37" s="228"/>
    </row>
    <row r="38" s="61" customFormat="1" ht="16" customHeight="1" spans="1:121">
      <c r="A38" s="269" t="s">
        <v>370</v>
      </c>
      <c r="B38" s="270"/>
      <c r="C38" s="77">
        <f>-SUM(F17:F20)</f>
        <v>0</v>
      </c>
      <c r="D38" s="79"/>
      <c r="E38" s="79"/>
      <c r="F38" s="79" t="e">
        <f t="shared" si="45"/>
        <v>#DIV/0!</v>
      </c>
      <c r="G38" s="73"/>
      <c r="H38" s="354" t="s">
        <v>627</v>
      </c>
      <c r="I38" s="248">
        <f>-C44</f>
        <v>0</v>
      </c>
      <c r="J38" s="106" t="e">
        <f>INT(($N$49*1300-SUMPRODUCT($L$177:$L$180,$H$177:$H$180))/H180)</f>
        <v>#DIV/0!</v>
      </c>
      <c r="K38" s="269" t="s">
        <v>208</v>
      </c>
      <c r="L38" s="90"/>
      <c r="M38" s="85"/>
      <c r="N38" s="108" t="s">
        <v>628</v>
      </c>
      <c r="O38" s="108"/>
      <c r="P38" s="393" t="e">
        <f>F48</f>
        <v>#DIV/0!</v>
      </c>
      <c r="Q38" s="269" t="s">
        <v>629</v>
      </c>
      <c r="R38" s="292" t="e">
        <f>F64-MAX(E60,第3期!F64)</f>
        <v>#DIV/0!</v>
      </c>
      <c r="S38" s="137"/>
      <c r="T38" s="120"/>
      <c r="U38" s="68" t="s">
        <v>466</v>
      </c>
      <c r="V38" s="115" t="e">
        <f>第3期!BN44</f>
        <v>#DIV/0!</v>
      </c>
      <c r="W38" s="115" t="e">
        <f>第3期!BO44</f>
        <v>#DIV/0!</v>
      </c>
      <c r="X38" s="115" t="e">
        <f>第3期!BP44</f>
        <v>#DIV/0!</v>
      </c>
      <c r="Y38" s="115" t="e">
        <f>第3期!BQ44</f>
        <v>#DIV/0!</v>
      </c>
      <c r="Z38" s="74"/>
      <c r="AA38" s="73"/>
      <c r="AB38" s="154" t="s">
        <v>208</v>
      </c>
      <c r="AC38" s="152" t="e">
        <f>初始化表!$H$22-AC8</f>
        <v>#DIV/0!</v>
      </c>
      <c r="AD38" s="152" t="e">
        <f>初始化表!$H$22-AD8</f>
        <v>#DIV/0!</v>
      </c>
      <c r="AE38" s="152" t="e">
        <f>初始化表!$H$22-AE8</f>
        <v>#DIV/0!</v>
      </c>
      <c r="AF38" s="152" t="e">
        <f>初始化表!$H$22-AF8</f>
        <v>#DIV/0!</v>
      </c>
      <c r="AG38" s="152" t="e">
        <f>初始化表!$H$22-AG8</f>
        <v>#DIV/0!</v>
      </c>
      <c r="AH38" s="73"/>
      <c r="AI38" s="367"/>
      <c r="AJ38" s="368"/>
      <c r="AK38" s="368"/>
      <c r="AL38" s="368"/>
      <c r="AM38" s="368"/>
      <c r="AN38" s="368"/>
      <c r="AO38" s="368"/>
      <c r="AP38" s="368"/>
      <c r="AQ38" s="368"/>
      <c r="AR38" s="368"/>
      <c r="AS38" s="368"/>
      <c r="AT38" s="368"/>
      <c r="AU38" s="368"/>
      <c r="AV38" s="368"/>
      <c r="AW38" s="368"/>
      <c r="AX38" s="368"/>
      <c r="AY38" s="368"/>
      <c r="AZ38" s="193"/>
      <c r="BA38" s="196">
        <f t="shared" si="63"/>
        <v>0</v>
      </c>
      <c r="BB38" s="201">
        <f t="shared" si="64"/>
        <v>0</v>
      </c>
      <c r="BC38" s="201">
        <f t="shared" si="65"/>
        <v>0</v>
      </c>
      <c r="BD38" s="201">
        <f t="shared" si="66"/>
        <v>0</v>
      </c>
      <c r="BE38" s="201">
        <f t="shared" si="67"/>
        <v>0</v>
      </c>
      <c r="BF38" s="202">
        <f>(BB38*初始化表!E$17+BC38*初始化表!F$17+BD38*初始化表!G$17+BE38*初始化表!H$17)/1300</f>
        <v>0</v>
      </c>
      <c r="BG38" s="207">
        <f t="shared" si="68"/>
        <v>0</v>
      </c>
      <c r="BH38" s="207">
        <f t="shared" si="69"/>
        <v>0</v>
      </c>
      <c r="BI38" s="321">
        <f>$BI$51+MAX(0,第3期!BI38)-BF38</f>
        <v>0</v>
      </c>
      <c r="BJ38" s="201" t="str">
        <f t="shared" si="70"/>
        <v/>
      </c>
      <c r="BK38" s="201" t="str">
        <f t="shared" si="71"/>
        <v/>
      </c>
      <c r="BL38" s="203"/>
      <c r="BM38" s="194" t="s">
        <v>522</v>
      </c>
      <c r="BN38" s="201">
        <f>BF28</f>
        <v>0</v>
      </c>
      <c r="BO38" s="201">
        <f>BG28</f>
        <v>0</v>
      </c>
      <c r="BP38" s="201">
        <f>BH28</f>
        <v>0</v>
      </c>
      <c r="BQ38" s="201">
        <f>BI28</f>
        <v>0</v>
      </c>
      <c r="BR38" s="211"/>
      <c r="BS38" s="196">
        <f t="shared" si="46"/>
        <v>0</v>
      </c>
      <c r="BT38" s="213" t="e">
        <f t="shared" si="47"/>
        <v>#DIV/0!</v>
      </c>
      <c r="BU38" s="213" t="e">
        <f t="shared" si="48"/>
        <v>#DIV/0!</v>
      </c>
      <c r="BV38" s="213" t="e">
        <f t="shared" si="49"/>
        <v>#DIV/0!</v>
      </c>
      <c r="BW38" s="213" t="e">
        <f t="shared" si="50"/>
        <v>#DIV/0!</v>
      </c>
      <c r="BX38" s="213" t="e">
        <f t="shared" si="51"/>
        <v>#DIV/0!</v>
      </c>
      <c r="BY38" s="213" t="e">
        <f t="shared" si="52"/>
        <v>#DIV/0!</v>
      </c>
      <c r="BZ38" s="213" t="e">
        <f t="shared" si="53"/>
        <v>#DIV/0!</v>
      </c>
      <c r="CA38" s="213" t="e">
        <f t="shared" si="54"/>
        <v>#DIV/0!</v>
      </c>
      <c r="CB38" s="213" t="e">
        <f t="shared" si="55"/>
        <v>#DIV/0!</v>
      </c>
      <c r="CC38" s="213" t="e">
        <f t="shared" si="56"/>
        <v>#DIV/0!</v>
      </c>
      <c r="CD38" s="213" t="e">
        <f t="shared" si="57"/>
        <v>#DIV/0!</v>
      </c>
      <c r="CE38" s="213" t="e">
        <f t="shared" si="58"/>
        <v>#DIV/0!</v>
      </c>
      <c r="CF38" s="213" t="e">
        <f t="shared" si="59"/>
        <v>#DIV/0!</v>
      </c>
      <c r="CG38" s="213" t="e">
        <f t="shared" si="60"/>
        <v>#DIV/0!</v>
      </c>
      <c r="CH38" s="213" t="e">
        <f t="shared" si="61"/>
        <v>#DIV/0!</v>
      </c>
      <c r="CI38" s="213" t="e">
        <f t="shared" si="62"/>
        <v>#DIV/0!</v>
      </c>
      <c r="CJ38" s="226"/>
      <c r="CK38" s="228"/>
      <c r="CL38" s="228"/>
      <c r="CM38" s="228"/>
      <c r="CN38" s="228"/>
      <c r="CO38" s="228"/>
      <c r="CP38" s="228"/>
      <c r="CQ38" s="228"/>
      <c r="CR38" s="228"/>
      <c r="CS38" s="228"/>
      <c r="CT38" s="228"/>
      <c r="CU38" s="228"/>
      <c r="CV38" s="228"/>
      <c r="CW38" s="228"/>
      <c r="CX38" s="228"/>
      <c r="CY38" s="228"/>
      <c r="CZ38" s="228"/>
      <c r="DA38" s="228"/>
      <c r="DB38" s="228"/>
      <c r="DC38" s="228"/>
      <c r="DD38" s="228"/>
      <c r="DE38" s="228"/>
      <c r="DF38" s="228"/>
      <c r="DG38" s="228"/>
      <c r="DH38" s="228"/>
      <c r="DI38" s="228"/>
      <c r="DJ38" s="228"/>
      <c r="DK38" s="228"/>
      <c r="DL38" s="228"/>
      <c r="DM38" s="228"/>
      <c r="DN38" s="228"/>
      <c r="DO38" s="228"/>
      <c r="DP38" s="228"/>
      <c r="DQ38" s="228"/>
    </row>
    <row r="39" s="61" customFormat="1" ht="16" customHeight="1" spans="1:121">
      <c r="A39" s="269" t="s">
        <v>371</v>
      </c>
      <c r="B39" s="270"/>
      <c r="C39" s="77">
        <f>(C38+第3期!C38)/2</f>
        <v>0</v>
      </c>
      <c r="D39" s="79"/>
      <c r="E39" s="79" t="e">
        <f>E36-C39</f>
        <v>#DIV/0!</v>
      </c>
      <c r="F39" s="79"/>
      <c r="G39" s="73"/>
      <c r="H39" s="354" t="s">
        <v>241</v>
      </c>
      <c r="I39" s="248">
        <f>SUM(I34:I38)</f>
        <v>0</v>
      </c>
      <c r="J39" s="110"/>
      <c r="K39" s="110"/>
      <c r="L39" s="110"/>
      <c r="M39" s="85"/>
      <c r="N39" s="269" t="s">
        <v>631</v>
      </c>
      <c r="O39" s="270"/>
      <c r="P39" s="270"/>
      <c r="Q39" s="270"/>
      <c r="R39" s="270"/>
      <c r="S39" s="74"/>
      <c r="T39" s="120"/>
      <c r="U39" s="68" t="s">
        <v>468</v>
      </c>
      <c r="V39" s="115" t="e">
        <f>第3期!BN45</f>
        <v>#DIV/0!</v>
      </c>
      <c r="W39" s="115" t="e">
        <f>第3期!BO45</f>
        <v>#DIV/0!</v>
      </c>
      <c r="X39" s="115" t="e">
        <f>第3期!BP45</f>
        <v>#DIV/0!</v>
      </c>
      <c r="Y39" s="115" t="e">
        <f>第3期!BQ45</f>
        <v>#DIV/0!</v>
      </c>
      <c r="Z39" s="74"/>
      <c r="AA39" s="73"/>
      <c r="AB39" s="74"/>
      <c r="AC39" s="74"/>
      <c r="AD39" s="74"/>
      <c r="AE39" s="74"/>
      <c r="AF39" s="74"/>
      <c r="AG39" s="74"/>
      <c r="AH39" s="73"/>
      <c r="AI39" s="367"/>
      <c r="AJ39" s="368"/>
      <c r="AK39" s="368"/>
      <c r="AL39" s="368"/>
      <c r="AM39" s="368"/>
      <c r="AN39" s="368"/>
      <c r="AO39" s="368"/>
      <c r="AP39" s="368"/>
      <c r="AQ39" s="368"/>
      <c r="AR39" s="368"/>
      <c r="AS39" s="368"/>
      <c r="AT39" s="368"/>
      <c r="AU39" s="368"/>
      <c r="AV39" s="368"/>
      <c r="AW39" s="368"/>
      <c r="AX39" s="368"/>
      <c r="AY39" s="368"/>
      <c r="AZ39" s="193"/>
      <c r="BA39" s="196">
        <f t="shared" si="63"/>
        <v>0</v>
      </c>
      <c r="BB39" s="201">
        <f t="shared" si="64"/>
        <v>0</v>
      </c>
      <c r="BC39" s="201">
        <f t="shared" si="65"/>
        <v>0</v>
      </c>
      <c r="BD39" s="201">
        <f t="shared" si="66"/>
        <v>0</v>
      </c>
      <c r="BE39" s="201">
        <f t="shared" si="67"/>
        <v>0</v>
      </c>
      <c r="BF39" s="202">
        <f>(BB39*初始化表!E$17+BC39*初始化表!F$17+BD39*初始化表!G$17+BE39*初始化表!H$17)/1300</f>
        <v>0</v>
      </c>
      <c r="BG39" s="207">
        <f t="shared" si="68"/>
        <v>0</v>
      </c>
      <c r="BH39" s="207">
        <f t="shared" si="69"/>
        <v>0</v>
      </c>
      <c r="BI39" s="321">
        <f>$BI$51+MAX(0,第3期!BI39)-BF39</f>
        <v>0</v>
      </c>
      <c r="BJ39" s="201" t="str">
        <f t="shared" si="70"/>
        <v/>
      </c>
      <c r="BK39" s="201" t="str">
        <f t="shared" si="71"/>
        <v/>
      </c>
      <c r="BL39" s="203"/>
      <c r="BM39" s="194" t="s">
        <v>523</v>
      </c>
      <c r="BN39" s="201">
        <f>BJ28</f>
        <v>0</v>
      </c>
      <c r="BO39" s="201">
        <f>BK28</f>
        <v>0</v>
      </c>
      <c r="BP39" s="201">
        <f>BL28</f>
        <v>0</v>
      </c>
      <c r="BQ39" s="201">
        <f>BM28</f>
        <v>0</v>
      </c>
      <c r="BR39" s="211"/>
      <c r="BS39" s="196">
        <f t="shared" si="46"/>
        <v>0</v>
      </c>
      <c r="BT39" s="213" t="e">
        <f t="shared" si="47"/>
        <v>#DIV/0!</v>
      </c>
      <c r="BU39" s="213" t="e">
        <f t="shared" si="48"/>
        <v>#DIV/0!</v>
      </c>
      <c r="BV39" s="213" t="e">
        <f t="shared" si="49"/>
        <v>#DIV/0!</v>
      </c>
      <c r="BW39" s="213" t="e">
        <f t="shared" si="50"/>
        <v>#DIV/0!</v>
      </c>
      <c r="BX39" s="213" t="e">
        <f t="shared" si="51"/>
        <v>#DIV/0!</v>
      </c>
      <c r="BY39" s="213" t="e">
        <f t="shared" si="52"/>
        <v>#DIV/0!</v>
      </c>
      <c r="BZ39" s="213" t="e">
        <f t="shared" si="53"/>
        <v>#DIV/0!</v>
      </c>
      <c r="CA39" s="213" t="e">
        <f t="shared" si="54"/>
        <v>#DIV/0!</v>
      </c>
      <c r="CB39" s="213" t="e">
        <f t="shared" si="55"/>
        <v>#DIV/0!</v>
      </c>
      <c r="CC39" s="213" t="e">
        <f t="shared" si="56"/>
        <v>#DIV/0!</v>
      </c>
      <c r="CD39" s="213" t="e">
        <f t="shared" si="57"/>
        <v>#DIV/0!</v>
      </c>
      <c r="CE39" s="213" t="e">
        <f t="shared" si="58"/>
        <v>#DIV/0!</v>
      </c>
      <c r="CF39" s="213" t="e">
        <f t="shared" si="59"/>
        <v>#DIV/0!</v>
      </c>
      <c r="CG39" s="213" t="e">
        <f t="shared" si="60"/>
        <v>#DIV/0!</v>
      </c>
      <c r="CH39" s="213" t="e">
        <f t="shared" si="61"/>
        <v>#DIV/0!</v>
      </c>
      <c r="CI39" s="213" t="e">
        <f t="shared" si="62"/>
        <v>#DIV/0!</v>
      </c>
      <c r="CJ39" s="226"/>
      <c r="CK39" s="228"/>
      <c r="CL39" s="228"/>
      <c r="CM39" s="228"/>
      <c r="CN39" s="228"/>
      <c r="CO39" s="228"/>
      <c r="CP39" s="228"/>
      <c r="CQ39" s="228"/>
      <c r="CR39" s="228"/>
      <c r="CS39" s="228"/>
      <c r="CT39" s="228"/>
      <c r="CU39" s="228"/>
      <c r="CV39" s="228"/>
      <c r="CW39" s="228"/>
      <c r="CX39" s="228"/>
      <c r="CY39" s="228"/>
      <c r="CZ39" s="228"/>
      <c r="DA39" s="228"/>
      <c r="DB39" s="228"/>
      <c r="DC39" s="228"/>
      <c r="DD39" s="228"/>
      <c r="DE39" s="228"/>
      <c r="DF39" s="228"/>
      <c r="DG39" s="228"/>
      <c r="DH39" s="228"/>
      <c r="DI39" s="228"/>
      <c r="DJ39" s="228"/>
      <c r="DK39" s="228"/>
      <c r="DL39" s="228"/>
      <c r="DM39" s="228"/>
      <c r="DN39" s="228"/>
      <c r="DO39" s="228"/>
      <c r="DP39" s="228"/>
      <c r="DQ39" s="228"/>
    </row>
    <row r="40" s="61" customFormat="1" ht="16" customHeight="1" spans="1:121">
      <c r="A40" s="269" t="s">
        <v>372</v>
      </c>
      <c r="B40" s="270"/>
      <c r="C40" s="77">
        <f>-E22</f>
        <v>0</v>
      </c>
      <c r="D40" s="79"/>
      <c r="E40" s="79"/>
      <c r="F40" s="79" t="e">
        <f>F38+C40</f>
        <v>#DIV/0!</v>
      </c>
      <c r="G40" s="73"/>
      <c r="H40" s="74"/>
      <c r="I40" s="74"/>
      <c r="J40" s="74"/>
      <c r="K40" s="74"/>
      <c r="L40" s="74"/>
      <c r="M40" s="85"/>
      <c r="N40" s="269" t="s">
        <v>632</v>
      </c>
      <c r="O40" s="269" t="s">
        <v>521</v>
      </c>
      <c r="P40" s="269" t="s">
        <v>522</v>
      </c>
      <c r="Q40" s="269" t="s">
        <v>523</v>
      </c>
      <c r="R40" s="269" t="s">
        <v>524</v>
      </c>
      <c r="S40" s="121"/>
      <c r="T40" s="120"/>
      <c r="U40" s="123"/>
      <c r="V40" s="74"/>
      <c r="W40" s="74"/>
      <c r="X40" s="74"/>
      <c r="Y40" s="74"/>
      <c r="Z40" s="74"/>
      <c r="AA40" s="73"/>
      <c r="AB40" s="400" t="s">
        <v>633</v>
      </c>
      <c r="AC40" s="401"/>
      <c r="AD40" s="161" t="e">
        <f>F77/AD41</f>
        <v>#DIV/0!</v>
      </c>
      <c r="AE40" s="161"/>
      <c r="AF40" s="74"/>
      <c r="AG40" s="74"/>
      <c r="AH40" s="73"/>
      <c r="AI40" s="367"/>
      <c r="AJ40" s="368"/>
      <c r="AK40" s="368"/>
      <c r="AL40" s="368"/>
      <c r="AM40" s="368"/>
      <c r="AN40" s="368"/>
      <c r="AO40" s="368"/>
      <c r="AP40" s="368"/>
      <c r="AQ40" s="368"/>
      <c r="AR40" s="368"/>
      <c r="AS40" s="368"/>
      <c r="AT40" s="368"/>
      <c r="AU40" s="368"/>
      <c r="AV40" s="368"/>
      <c r="AW40" s="368"/>
      <c r="AX40" s="368"/>
      <c r="AY40" s="368"/>
      <c r="AZ40" s="193"/>
      <c r="BA40" s="196">
        <f t="shared" si="63"/>
        <v>0</v>
      </c>
      <c r="BB40" s="201">
        <f t="shared" si="64"/>
        <v>0</v>
      </c>
      <c r="BC40" s="201">
        <f t="shared" si="65"/>
        <v>0</v>
      </c>
      <c r="BD40" s="201">
        <f t="shared" si="66"/>
        <v>0</v>
      </c>
      <c r="BE40" s="201">
        <f t="shared" si="67"/>
        <v>0</v>
      </c>
      <c r="BF40" s="202">
        <f>(BB40*初始化表!E$17+BC40*初始化表!F$17+BD40*初始化表!G$17+BE40*初始化表!H$17)/1300</f>
        <v>0</v>
      </c>
      <c r="BG40" s="207">
        <f t="shared" si="68"/>
        <v>0</v>
      </c>
      <c r="BH40" s="207">
        <f t="shared" si="69"/>
        <v>0</v>
      </c>
      <c r="BI40" s="321">
        <f>$BI$51+MAX(0,第3期!BI40)-BF40</f>
        <v>0</v>
      </c>
      <c r="BJ40" s="201" t="str">
        <f t="shared" si="70"/>
        <v/>
      </c>
      <c r="BK40" s="201" t="str">
        <f t="shared" si="71"/>
        <v/>
      </c>
      <c r="BL40" s="203"/>
      <c r="BM40" s="194" t="s">
        <v>524</v>
      </c>
      <c r="BN40" s="201">
        <f>BN28</f>
        <v>0</v>
      </c>
      <c r="BO40" s="201">
        <f>BO28</f>
        <v>0</v>
      </c>
      <c r="BP40" s="201">
        <f>BP28</f>
        <v>0</v>
      </c>
      <c r="BQ40" s="201">
        <f>BQ28</f>
        <v>0</v>
      </c>
      <c r="BR40" s="211"/>
      <c r="BS40" s="196">
        <f t="shared" si="46"/>
        <v>0</v>
      </c>
      <c r="BT40" s="213" t="e">
        <f t="shared" si="47"/>
        <v>#DIV/0!</v>
      </c>
      <c r="BU40" s="213" t="e">
        <f t="shared" si="48"/>
        <v>#DIV/0!</v>
      </c>
      <c r="BV40" s="213" t="e">
        <f t="shared" si="49"/>
        <v>#DIV/0!</v>
      </c>
      <c r="BW40" s="213" t="e">
        <f t="shared" si="50"/>
        <v>#DIV/0!</v>
      </c>
      <c r="BX40" s="213" t="e">
        <f t="shared" si="51"/>
        <v>#DIV/0!</v>
      </c>
      <c r="BY40" s="213" t="e">
        <f t="shared" si="52"/>
        <v>#DIV/0!</v>
      </c>
      <c r="BZ40" s="213" t="e">
        <f t="shared" si="53"/>
        <v>#DIV/0!</v>
      </c>
      <c r="CA40" s="213" t="e">
        <f t="shared" si="54"/>
        <v>#DIV/0!</v>
      </c>
      <c r="CB40" s="213" t="e">
        <f t="shared" si="55"/>
        <v>#DIV/0!</v>
      </c>
      <c r="CC40" s="213" t="e">
        <f t="shared" si="56"/>
        <v>#DIV/0!</v>
      </c>
      <c r="CD40" s="213" t="e">
        <f t="shared" si="57"/>
        <v>#DIV/0!</v>
      </c>
      <c r="CE40" s="213" t="e">
        <f t="shared" si="58"/>
        <v>#DIV/0!</v>
      </c>
      <c r="CF40" s="213" t="e">
        <f t="shared" si="59"/>
        <v>#DIV/0!</v>
      </c>
      <c r="CG40" s="213" t="e">
        <f t="shared" si="60"/>
        <v>#DIV/0!</v>
      </c>
      <c r="CH40" s="213" t="e">
        <f t="shared" si="61"/>
        <v>#DIV/0!</v>
      </c>
      <c r="CI40" s="213" t="e">
        <f t="shared" si="62"/>
        <v>#DIV/0!</v>
      </c>
      <c r="CJ40" s="226"/>
      <c r="CK40" s="228"/>
      <c r="CL40" s="228"/>
      <c r="CM40" s="228"/>
      <c r="CN40" s="228"/>
      <c r="CO40" s="228"/>
      <c r="CP40" s="228"/>
      <c r="CQ40" s="228"/>
      <c r="CR40" s="228"/>
      <c r="CS40" s="228"/>
      <c r="CT40" s="228"/>
      <c r="CU40" s="228"/>
      <c r="CV40" s="228"/>
      <c r="CW40" s="228"/>
      <c r="CX40" s="228"/>
      <c r="CY40" s="228"/>
      <c r="CZ40" s="228"/>
      <c r="DA40" s="228"/>
      <c r="DB40" s="228"/>
      <c r="DC40" s="228"/>
      <c r="DD40" s="228"/>
      <c r="DE40" s="228"/>
      <c r="DF40" s="228"/>
      <c r="DG40" s="228"/>
      <c r="DH40" s="228"/>
      <c r="DI40" s="228"/>
      <c r="DJ40" s="228"/>
      <c r="DK40" s="228"/>
      <c r="DL40" s="228"/>
      <c r="DM40" s="228"/>
      <c r="DN40" s="228"/>
      <c r="DO40" s="228"/>
      <c r="DP40" s="228"/>
      <c r="DQ40" s="228"/>
    </row>
    <row r="41" s="61" customFormat="1" ht="16" customHeight="1" spans="1:121">
      <c r="A41" s="269" t="s">
        <v>373</v>
      </c>
      <c r="B41" s="270"/>
      <c r="C41" s="77">
        <f>IF(E22&gt;=初始化表!K30,E22*(1-初始化表!L30),IF(E22&gt;=初始化表!K31,E22*(1-初始化表!L31),IF(E22&gt;=初始化表!K32,E22*(1-初始化表!L32),0)))</f>
        <v>0</v>
      </c>
      <c r="D41" s="79">
        <f>C41</f>
        <v>0</v>
      </c>
      <c r="E41" s="79"/>
      <c r="F41" s="79" t="e">
        <f>F40+C41</f>
        <v>#DIV/0!</v>
      </c>
      <c r="G41" s="73"/>
      <c r="H41" s="269" t="s">
        <v>634</v>
      </c>
      <c r="I41" s="270"/>
      <c r="J41" s="270"/>
      <c r="K41" s="270"/>
      <c r="L41" s="270"/>
      <c r="M41" s="85"/>
      <c r="N41" s="269" t="s">
        <v>635</v>
      </c>
      <c r="O41" s="111">
        <f>第3期!AN26</f>
        <v>0.95</v>
      </c>
      <c r="P41" s="111">
        <f>第3期!AN27</f>
        <v>0.95</v>
      </c>
      <c r="Q41" s="111">
        <f>第3期!AN28</f>
        <v>0.95</v>
      </c>
      <c r="R41" s="111">
        <f>第3期!AN29</f>
        <v>0.95</v>
      </c>
      <c r="S41" s="138"/>
      <c r="T41" s="120"/>
      <c r="U41" s="269" t="s">
        <v>636</v>
      </c>
      <c r="V41" s="269" t="s">
        <v>513</v>
      </c>
      <c r="W41" s="269" t="s">
        <v>514</v>
      </c>
      <c r="X41" s="269" t="s">
        <v>515</v>
      </c>
      <c r="Y41" s="269" t="s">
        <v>516</v>
      </c>
      <c r="Z41" s="269" t="s">
        <v>563</v>
      </c>
      <c r="AA41" s="73"/>
      <c r="AB41" s="400" t="s">
        <v>637</v>
      </c>
      <c r="AC41" s="401"/>
      <c r="AD41" s="162">
        <f>((SUM(V42:Y42,V11:Y11))*初始化表!E17+(SUM(V43:Y43,V12:Y12))*初始化表!F17+(SUM(V44:Y44,V13:Y13))*初始化表!G17+(SUM(V45:Y45,V14:Y14))*初始化表!H17)/1300</f>
        <v>0</v>
      </c>
      <c r="AE41" s="162"/>
      <c r="AF41" s="74"/>
      <c r="AG41" s="74"/>
      <c r="AH41" s="73"/>
      <c r="AI41" s="367"/>
      <c r="AJ41" s="368"/>
      <c r="AK41" s="368"/>
      <c r="AL41" s="368"/>
      <c r="AM41" s="368"/>
      <c r="AN41" s="368"/>
      <c r="AO41" s="368"/>
      <c r="AP41" s="368"/>
      <c r="AQ41" s="368"/>
      <c r="AR41" s="368"/>
      <c r="AS41" s="368"/>
      <c r="AT41" s="368"/>
      <c r="AU41" s="368"/>
      <c r="AV41" s="368"/>
      <c r="AW41" s="368"/>
      <c r="AX41" s="368"/>
      <c r="AY41" s="368"/>
      <c r="AZ41" s="193"/>
      <c r="BA41" s="196">
        <f t="shared" si="63"/>
        <v>0</v>
      </c>
      <c r="BB41" s="201">
        <f t="shared" si="64"/>
        <v>0</v>
      </c>
      <c r="BC41" s="201">
        <f t="shared" si="65"/>
        <v>0</v>
      </c>
      <c r="BD41" s="201">
        <f t="shared" si="66"/>
        <v>0</v>
      </c>
      <c r="BE41" s="201">
        <f t="shared" si="67"/>
        <v>0</v>
      </c>
      <c r="BF41" s="202">
        <f>(BB41*初始化表!E$17+BC41*初始化表!F$17+BD41*初始化表!G$17+BE41*初始化表!H$17)/1300</f>
        <v>0</v>
      </c>
      <c r="BG41" s="207">
        <f t="shared" si="68"/>
        <v>0</v>
      </c>
      <c r="BH41" s="207">
        <f t="shared" si="69"/>
        <v>0</v>
      </c>
      <c r="BI41" s="321">
        <f>$BI$51+MAX(0,第3期!BI41)-BF41</f>
        <v>0</v>
      </c>
      <c r="BJ41" s="201" t="str">
        <f t="shared" si="70"/>
        <v/>
      </c>
      <c r="BK41" s="201" t="str">
        <f t="shared" si="71"/>
        <v/>
      </c>
      <c r="BL41" s="203"/>
      <c r="BM41" s="217" t="s">
        <v>741</v>
      </c>
      <c r="BN41" s="194" t="s">
        <v>513</v>
      </c>
      <c r="BO41" s="194" t="s">
        <v>514</v>
      </c>
      <c r="BP41" s="194" t="s">
        <v>515</v>
      </c>
      <c r="BQ41" s="194" t="s">
        <v>516</v>
      </c>
      <c r="BR41" s="211"/>
      <c r="BS41" s="196">
        <f t="shared" si="46"/>
        <v>0</v>
      </c>
      <c r="BT41" s="213" t="e">
        <f t="shared" si="47"/>
        <v>#DIV/0!</v>
      </c>
      <c r="BU41" s="213" t="e">
        <f t="shared" si="48"/>
        <v>#DIV/0!</v>
      </c>
      <c r="BV41" s="213" t="e">
        <f t="shared" si="49"/>
        <v>#DIV/0!</v>
      </c>
      <c r="BW41" s="213" t="e">
        <f t="shared" si="50"/>
        <v>#DIV/0!</v>
      </c>
      <c r="BX41" s="213" t="e">
        <f t="shared" si="51"/>
        <v>#DIV/0!</v>
      </c>
      <c r="BY41" s="213" t="e">
        <f t="shared" si="52"/>
        <v>#DIV/0!</v>
      </c>
      <c r="BZ41" s="213" t="e">
        <f t="shared" si="53"/>
        <v>#DIV/0!</v>
      </c>
      <c r="CA41" s="213" t="e">
        <f t="shared" si="54"/>
        <v>#DIV/0!</v>
      </c>
      <c r="CB41" s="213" t="e">
        <f t="shared" si="55"/>
        <v>#DIV/0!</v>
      </c>
      <c r="CC41" s="213" t="e">
        <f t="shared" si="56"/>
        <v>#DIV/0!</v>
      </c>
      <c r="CD41" s="213" t="e">
        <f t="shared" si="57"/>
        <v>#DIV/0!</v>
      </c>
      <c r="CE41" s="213" t="e">
        <f t="shared" si="58"/>
        <v>#DIV/0!</v>
      </c>
      <c r="CF41" s="213" t="e">
        <f t="shared" si="59"/>
        <v>#DIV/0!</v>
      </c>
      <c r="CG41" s="213" t="e">
        <f t="shared" si="60"/>
        <v>#DIV/0!</v>
      </c>
      <c r="CH41" s="213" t="e">
        <f t="shared" si="61"/>
        <v>#DIV/0!</v>
      </c>
      <c r="CI41" s="213" t="e">
        <f t="shared" si="62"/>
        <v>#DIV/0!</v>
      </c>
      <c r="CJ41" s="226"/>
      <c r="CK41" s="228"/>
      <c r="CL41" s="228"/>
      <c r="CM41" s="228"/>
      <c r="CN41" s="228"/>
      <c r="CO41" s="228"/>
      <c r="CP41" s="228"/>
      <c r="CQ41" s="228"/>
      <c r="CR41" s="228"/>
      <c r="CS41" s="228"/>
      <c r="CT41" s="228"/>
      <c r="CU41" s="228"/>
      <c r="CV41" s="228"/>
      <c r="CW41" s="228"/>
      <c r="CX41" s="228"/>
      <c r="CY41" s="228"/>
      <c r="CZ41" s="228"/>
      <c r="DA41" s="228"/>
      <c r="DB41" s="228"/>
      <c r="DC41" s="228"/>
      <c r="DD41" s="228"/>
      <c r="DE41" s="228"/>
      <c r="DF41" s="228"/>
      <c r="DG41" s="228"/>
      <c r="DH41" s="228"/>
      <c r="DI41" s="228"/>
      <c r="DJ41" s="228"/>
      <c r="DK41" s="228"/>
      <c r="DL41" s="228"/>
      <c r="DM41" s="228"/>
      <c r="DN41" s="228"/>
      <c r="DO41" s="228"/>
      <c r="DP41" s="228"/>
      <c r="DQ41" s="228"/>
    </row>
    <row r="42" s="61" customFormat="1" ht="16" customHeight="1" spans="1:121">
      <c r="A42" s="269" t="s">
        <v>374</v>
      </c>
      <c r="B42" s="270"/>
      <c r="C42" s="77">
        <f>IF(E22&gt;0,-初始化表!B9-初始化表!B10*E22,0)</f>
        <v>0</v>
      </c>
      <c r="D42" s="79"/>
      <c r="E42" s="79" t="e">
        <f>E39-C42</f>
        <v>#DIV/0!</v>
      </c>
      <c r="F42" s="79" t="e">
        <f>F41+C42</f>
        <v>#DIV/0!</v>
      </c>
      <c r="G42" s="73"/>
      <c r="H42" s="269" t="s">
        <v>639</v>
      </c>
      <c r="I42" s="269" t="s">
        <v>640</v>
      </c>
      <c r="J42" s="269" t="s">
        <v>641</v>
      </c>
      <c r="K42" s="269" t="s">
        <v>642</v>
      </c>
      <c r="L42" s="269" t="s">
        <v>643</v>
      </c>
      <c r="M42" s="85"/>
      <c r="N42" s="269" t="s">
        <v>644</v>
      </c>
      <c r="O42" s="112" t="e">
        <f>1-0.5/MAX(B12:E12)</f>
        <v>#DIV/0!</v>
      </c>
      <c r="P42" s="112" t="e">
        <f>1-0.5/MAX(B13:E13)</f>
        <v>#DIV/0!</v>
      </c>
      <c r="Q42" s="112" t="e">
        <f>1-0.5/MAX(B14:E14)</f>
        <v>#DIV/0!</v>
      </c>
      <c r="R42" s="112" t="e">
        <f>1-0.5/MAX(B15:E15)</f>
        <v>#DIV/0!</v>
      </c>
      <c r="S42" s="139"/>
      <c r="T42" s="120"/>
      <c r="U42" s="269" t="s">
        <v>521</v>
      </c>
      <c r="V42" s="77">
        <f t="shared" ref="V42:Y45" si="72">MAX(B12+V5-V11-V84,0)</f>
        <v>0</v>
      </c>
      <c r="W42" s="77">
        <f t="shared" si="72"/>
        <v>0</v>
      </c>
      <c r="X42" s="77">
        <f t="shared" si="72"/>
        <v>0</v>
      </c>
      <c r="Y42" s="77">
        <f t="shared" si="72"/>
        <v>0</v>
      </c>
      <c r="Z42" s="402">
        <f>SUM(V42:Y42)</f>
        <v>0</v>
      </c>
      <c r="AA42" s="73"/>
      <c r="AB42" s="269" t="s">
        <v>645</v>
      </c>
      <c r="AC42" s="270"/>
      <c r="AD42" s="71" t="e">
        <f>C49/AD41</f>
        <v>#DIV/0!</v>
      </c>
      <c r="AE42" s="71"/>
      <c r="AF42" s="74"/>
      <c r="AG42" s="74"/>
      <c r="AH42" s="73"/>
      <c r="AI42" s="367"/>
      <c r="AJ42" s="368"/>
      <c r="AK42" s="368"/>
      <c r="AL42" s="368"/>
      <c r="AM42" s="368"/>
      <c r="AN42" s="368"/>
      <c r="AO42" s="368"/>
      <c r="AP42" s="368"/>
      <c r="AQ42" s="368"/>
      <c r="AR42" s="368"/>
      <c r="AS42" s="368"/>
      <c r="AT42" s="368"/>
      <c r="AU42" s="368"/>
      <c r="AV42" s="368"/>
      <c r="AW42" s="368"/>
      <c r="AX42" s="368"/>
      <c r="AY42" s="368"/>
      <c r="AZ42" s="193"/>
      <c r="BA42" s="196">
        <f t="shared" si="63"/>
        <v>0</v>
      </c>
      <c r="BB42" s="201">
        <f t="shared" si="64"/>
        <v>0</v>
      </c>
      <c r="BC42" s="201">
        <f t="shared" si="65"/>
        <v>0</v>
      </c>
      <c r="BD42" s="201">
        <f t="shared" si="66"/>
        <v>0</v>
      </c>
      <c r="BE42" s="201">
        <f t="shared" si="67"/>
        <v>0</v>
      </c>
      <c r="BF42" s="202">
        <f>(BB42*初始化表!E$17+BC42*初始化表!F$17+BD42*初始化表!G$17+BE42*初始化表!H$17)/1300</f>
        <v>0</v>
      </c>
      <c r="BG42" s="207">
        <f t="shared" si="68"/>
        <v>0</v>
      </c>
      <c r="BH42" s="207">
        <f t="shared" si="69"/>
        <v>0</v>
      </c>
      <c r="BI42" s="321">
        <f>$BI$51+MAX(0,第3期!BI42)-BF42</f>
        <v>0</v>
      </c>
      <c r="BJ42" s="201" t="str">
        <f t="shared" si="70"/>
        <v/>
      </c>
      <c r="BK42" s="201" t="str">
        <f t="shared" si="71"/>
        <v/>
      </c>
      <c r="BL42" s="203"/>
      <c r="BM42" s="194" t="s">
        <v>521</v>
      </c>
      <c r="BN42" s="201" t="e">
        <f t="shared" ref="BN42:BQ45" si="73">INT(1/BN32*BN37)</f>
        <v>#DIV/0!</v>
      </c>
      <c r="BO42" s="201" t="e">
        <f t="shared" si="73"/>
        <v>#DIV/0!</v>
      </c>
      <c r="BP42" s="201" t="e">
        <f t="shared" si="73"/>
        <v>#DIV/0!</v>
      </c>
      <c r="BQ42" s="201" t="e">
        <f t="shared" si="73"/>
        <v>#DIV/0!</v>
      </c>
      <c r="BR42" s="211"/>
      <c r="BS42" s="196">
        <f t="shared" si="46"/>
        <v>0</v>
      </c>
      <c r="BT42" s="213" t="e">
        <f t="shared" si="47"/>
        <v>#DIV/0!</v>
      </c>
      <c r="BU42" s="213" t="e">
        <f t="shared" si="48"/>
        <v>#DIV/0!</v>
      </c>
      <c r="BV42" s="213" t="e">
        <f t="shared" si="49"/>
        <v>#DIV/0!</v>
      </c>
      <c r="BW42" s="213" t="e">
        <f t="shared" si="50"/>
        <v>#DIV/0!</v>
      </c>
      <c r="BX42" s="213" t="e">
        <f t="shared" si="51"/>
        <v>#DIV/0!</v>
      </c>
      <c r="BY42" s="213" t="e">
        <f t="shared" si="52"/>
        <v>#DIV/0!</v>
      </c>
      <c r="BZ42" s="213" t="e">
        <f t="shared" si="53"/>
        <v>#DIV/0!</v>
      </c>
      <c r="CA42" s="213" t="e">
        <f t="shared" si="54"/>
        <v>#DIV/0!</v>
      </c>
      <c r="CB42" s="213" t="e">
        <f t="shared" si="55"/>
        <v>#DIV/0!</v>
      </c>
      <c r="CC42" s="213" t="e">
        <f t="shared" si="56"/>
        <v>#DIV/0!</v>
      </c>
      <c r="CD42" s="213" t="e">
        <f t="shared" si="57"/>
        <v>#DIV/0!</v>
      </c>
      <c r="CE42" s="213" t="e">
        <f t="shared" si="58"/>
        <v>#DIV/0!</v>
      </c>
      <c r="CF42" s="213" t="e">
        <f t="shared" si="59"/>
        <v>#DIV/0!</v>
      </c>
      <c r="CG42" s="213" t="e">
        <f t="shared" si="60"/>
        <v>#DIV/0!</v>
      </c>
      <c r="CH42" s="213" t="e">
        <f t="shared" si="61"/>
        <v>#DIV/0!</v>
      </c>
      <c r="CI42" s="213" t="e">
        <f t="shared" si="62"/>
        <v>#DIV/0!</v>
      </c>
      <c r="CJ42" s="226"/>
      <c r="CK42" s="228"/>
      <c r="CL42" s="228"/>
      <c r="CM42" s="228"/>
      <c r="CN42" s="228"/>
      <c r="CO42" s="228"/>
      <c r="CP42" s="228"/>
      <c r="CQ42" s="228"/>
      <c r="CR42" s="228"/>
      <c r="CS42" s="228"/>
      <c r="CT42" s="228"/>
      <c r="CU42" s="228"/>
      <c r="CV42" s="228"/>
      <c r="CW42" s="228"/>
      <c r="CX42" s="228"/>
      <c r="CY42" s="228"/>
      <c r="CZ42" s="228"/>
      <c r="DA42" s="228"/>
      <c r="DB42" s="228"/>
      <c r="DC42" s="228"/>
      <c r="DD42" s="228"/>
      <c r="DE42" s="228"/>
      <c r="DF42" s="228"/>
      <c r="DG42" s="228"/>
      <c r="DH42" s="228"/>
      <c r="DI42" s="228"/>
      <c r="DJ42" s="228"/>
      <c r="DK42" s="228"/>
      <c r="DL42" s="228"/>
      <c r="DM42" s="228"/>
      <c r="DN42" s="228"/>
      <c r="DO42" s="228"/>
      <c r="DP42" s="228"/>
      <c r="DQ42" s="228"/>
    </row>
    <row r="43" s="61" customFormat="1" ht="16" customHeight="1" spans="1:121">
      <c r="A43" s="269" t="s">
        <v>244</v>
      </c>
      <c r="B43" s="270"/>
      <c r="C43" s="77">
        <f>-(IF(SUM(B17:C17)=0,0,初始化表!H25)+IF(SUM(B18:C18)=0,0,初始化表!H26)+IF(SUM(B19:C19)=0,0,初始化表!H27)+IF(SUM(B20:C20)=0,0,初始化表!H28)+IF(SUM(D17:E17)=0,0,初始化表!I25)+IF(SUM(D18:E18)=0,0,初始化表!I26)+IF(SUM(D19:E19)=0,0,初始化表!I27)+IF(SUM(D20:E20)=0,0,初始化表!I28))</f>
        <v>0</v>
      </c>
      <c r="D43" s="79"/>
      <c r="E43" s="79" t="e">
        <f t="shared" ref="E43:E48" si="74">E42-C43</f>
        <v>#DIV/0!</v>
      </c>
      <c r="F43" s="79" t="e">
        <f>F42+C43</f>
        <v>#DIV/0!</v>
      </c>
      <c r="G43" s="73"/>
      <c r="H43" s="83">
        <f>第3期!F70</f>
        <v>0</v>
      </c>
      <c r="I43" s="83" t="e">
        <f>ROUNDUP(MAX(-K29/初始化表!B11,0),0)</f>
        <v>#DIV/0!</v>
      </c>
      <c r="J43" s="83" t="e">
        <f>IF(I43&lt;=0,0,IF(I43&lt;初始化表!K32,初始化表!K32,IF(I43&lt;初始化表!K31,初始化表!K31,IF(I43&lt;初始化表!K30,初始化表!K30,I43))))</f>
        <v>#DIV/0!</v>
      </c>
      <c r="K43" s="107"/>
      <c r="L43" s="83">
        <f>E22+H43-(SUM(B17:E17)*初始化表!E19+SUM(B18:E18)*初始化表!F19+SUM(B19:E19)*初始化表!G19+SUM(B20:E20)*初始化表!H19)</f>
        <v>0</v>
      </c>
      <c r="M43" s="85"/>
      <c r="N43" s="269" t="s">
        <v>646</v>
      </c>
      <c r="O43" s="111">
        <f>工资系数初始化!D22</f>
        <v>0.95</v>
      </c>
      <c r="P43" s="111">
        <f>工资系数初始化!E22</f>
        <v>0.95</v>
      </c>
      <c r="Q43" s="111">
        <f>工资系数初始化!F22</f>
        <v>0.95</v>
      </c>
      <c r="R43" s="111">
        <f>工资系数初始化!G22</f>
        <v>0.95</v>
      </c>
      <c r="S43" s="138"/>
      <c r="T43" s="120"/>
      <c r="U43" s="269" t="s">
        <v>522</v>
      </c>
      <c r="V43" s="77">
        <f t="shared" si="72"/>
        <v>0</v>
      </c>
      <c r="W43" s="77">
        <f t="shared" si="72"/>
        <v>0</v>
      </c>
      <c r="X43" s="77">
        <f t="shared" si="72"/>
        <v>0</v>
      </c>
      <c r="Y43" s="77">
        <f t="shared" si="72"/>
        <v>0</v>
      </c>
      <c r="Z43" s="402">
        <f>SUM(V43:Y43)</f>
        <v>0</v>
      </c>
      <c r="AA43" s="73"/>
      <c r="AB43" s="74"/>
      <c r="AC43" s="74"/>
      <c r="AD43" s="74"/>
      <c r="AE43" s="74"/>
      <c r="AF43" s="74"/>
      <c r="AG43" s="74"/>
      <c r="AH43" s="73"/>
      <c r="AI43" s="367"/>
      <c r="AJ43" s="368"/>
      <c r="AK43" s="368"/>
      <c r="AL43" s="368"/>
      <c r="AM43" s="368"/>
      <c r="AN43" s="368"/>
      <c r="AO43" s="368"/>
      <c r="AP43" s="368"/>
      <c r="AQ43" s="368"/>
      <c r="AR43" s="368"/>
      <c r="AS43" s="368"/>
      <c r="AT43" s="368"/>
      <c r="AU43" s="368"/>
      <c r="AV43" s="368"/>
      <c r="AW43" s="368"/>
      <c r="AX43" s="368"/>
      <c r="AY43" s="368"/>
      <c r="AZ43" s="193"/>
      <c r="BA43" s="196">
        <f t="shared" si="63"/>
        <v>0</v>
      </c>
      <c r="BB43" s="201">
        <f t="shared" si="64"/>
        <v>0</v>
      </c>
      <c r="BC43" s="201">
        <f t="shared" si="65"/>
        <v>0</v>
      </c>
      <c r="BD43" s="201">
        <f t="shared" si="66"/>
        <v>0</v>
      </c>
      <c r="BE43" s="201">
        <f t="shared" si="67"/>
        <v>0</v>
      </c>
      <c r="BF43" s="202">
        <f>(BB43*初始化表!E$17+BC43*初始化表!F$17+BD43*初始化表!G$17+BE43*初始化表!H$17)/1300</f>
        <v>0</v>
      </c>
      <c r="BG43" s="207">
        <f t="shared" si="68"/>
        <v>0</v>
      </c>
      <c r="BH43" s="207">
        <f t="shared" si="69"/>
        <v>0</v>
      </c>
      <c r="BI43" s="321">
        <f>$BI$51+MAX(0,第3期!BI43)-BF43</f>
        <v>0</v>
      </c>
      <c r="BJ43" s="201" t="str">
        <f t="shared" si="70"/>
        <v/>
      </c>
      <c r="BK43" s="201" t="str">
        <f t="shared" si="71"/>
        <v/>
      </c>
      <c r="BL43" s="203"/>
      <c r="BM43" s="194" t="s">
        <v>522</v>
      </c>
      <c r="BN43" s="201" t="e">
        <f t="shared" si="73"/>
        <v>#DIV/0!</v>
      </c>
      <c r="BO43" s="201" t="e">
        <f t="shared" si="73"/>
        <v>#DIV/0!</v>
      </c>
      <c r="BP43" s="201" t="e">
        <f t="shared" si="73"/>
        <v>#DIV/0!</v>
      </c>
      <c r="BQ43" s="201" t="e">
        <f t="shared" si="73"/>
        <v>#DIV/0!</v>
      </c>
      <c r="BR43" s="211"/>
      <c r="BS43" s="196">
        <f t="shared" si="46"/>
        <v>0</v>
      </c>
      <c r="BT43" s="213" t="e">
        <f t="shared" si="47"/>
        <v>#DIV/0!</v>
      </c>
      <c r="BU43" s="213" t="e">
        <f t="shared" si="48"/>
        <v>#DIV/0!</v>
      </c>
      <c r="BV43" s="213" t="e">
        <f t="shared" si="49"/>
        <v>#DIV/0!</v>
      </c>
      <c r="BW43" s="213" t="e">
        <f t="shared" si="50"/>
        <v>#DIV/0!</v>
      </c>
      <c r="BX43" s="213" t="e">
        <f t="shared" si="51"/>
        <v>#DIV/0!</v>
      </c>
      <c r="BY43" s="213" t="e">
        <f t="shared" si="52"/>
        <v>#DIV/0!</v>
      </c>
      <c r="BZ43" s="213" t="e">
        <f t="shared" si="53"/>
        <v>#DIV/0!</v>
      </c>
      <c r="CA43" s="213" t="e">
        <f t="shared" si="54"/>
        <v>#DIV/0!</v>
      </c>
      <c r="CB43" s="213" t="e">
        <f t="shared" si="55"/>
        <v>#DIV/0!</v>
      </c>
      <c r="CC43" s="213" t="e">
        <f t="shared" si="56"/>
        <v>#DIV/0!</v>
      </c>
      <c r="CD43" s="213" t="e">
        <f t="shared" si="57"/>
        <v>#DIV/0!</v>
      </c>
      <c r="CE43" s="213" t="e">
        <f t="shared" si="58"/>
        <v>#DIV/0!</v>
      </c>
      <c r="CF43" s="213" t="e">
        <f t="shared" si="59"/>
        <v>#DIV/0!</v>
      </c>
      <c r="CG43" s="213" t="e">
        <f t="shared" si="60"/>
        <v>#DIV/0!</v>
      </c>
      <c r="CH43" s="213" t="e">
        <f t="shared" si="61"/>
        <v>#DIV/0!</v>
      </c>
      <c r="CI43" s="213" t="e">
        <f t="shared" si="62"/>
        <v>#DIV/0!</v>
      </c>
      <c r="CJ43" s="226"/>
      <c r="CK43" s="228"/>
      <c r="CL43" s="228"/>
      <c r="CM43" s="228"/>
      <c r="CN43" s="228"/>
      <c r="CO43" s="228"/>
      <c r="CP43" s="228"/>
      <c r="CQ43" s="228"/>
      <c r="CR43" s="228"/>
      <c r="CS43" s="228"/>
      <c r="CT43" s="228"/>
      <c r="CU43" s="228"/>
      <c r="CV43" s="228"/>
      <c r="CW43" s="228"/>
      <c r="CX43" s="228"/>
      <c r="CY43" s="228"/>
      <c r="CZ43" s="228"/>
      <c r="DA43" s="228"/>
      <c r="DB43" s="228"/>
      <c r="DC43" s="228"/>
      <c r="DD43" s="228"/>
      <c r="DE43" s="228"/>
      <c r="DF43" s="228"/>
      <c r="DG43" s="228"/>
      <c r="DH43" s="228"/>
      <c r="DI43" s="228"/>
      <c r="DJ43" s="228"/>
      <c r="DK43" s="228"/>
      <c r="DL43" s="228"/>
      <c r="DM43" s="228"/>
      <c r="DN43" s="228"/>
      <c r="DO43" s="228"/>
      <c r="DP43" s="228"/>
      <c r="DQ43" s="228"/>
    </row>
    <row r="44" s="61" customFormat="1" ht="16" customHeight="1" spans="1:121">
      <c r="A44" s="269" t="s">
        <v>375</v>
      </c>
      <c r="B44" s="270"/>
      <c r="C44" s="77">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0</v>
      </c>
      <c r="D44" s="79"/>
      <c r="E44" s="79" t="e">
        <f t="shared" si="74"/>
        <v>#DIV/0!</v>
      </c>
      <c r="F44" s="79" t="e">
        <f>F43+C44</f>
        <v>#DIV/0!</v>
      </c>
      <c r="G44" s="73"/>
      <c r="H44" s="74"/>
      <c r="I44" s="74"/>
      <c r="J44" s="74"/>
      <c r="K44" s="113" t="s">
        <v>255</v>
      </c>
      <c r="L44" s="114" t="e">
        <f>F77</f>
        <v>#DIV/0!</v>
      </c>
      <c r="M44" s="85"/>
      <c r="N44" s="269" t="s">
        <v>647</v>
      </c>
      <c r="O44" s="269" t="s">
        <v>648</v>
      </c>
      <c r="P44" s="269" t="s">
        <v>649</v>
      </c>
      <c r="Q44" s="269" t="s">
        <v>650</v>
      </c>
      <c r="R44" s="269" t="s">
        <v>313</v>
      </c>
      <c r="S44" s="121"/>
      <c r="T44" s="120"/>
      <c r="U44" s="269" t="s">
        <v>523</v>
      </c>
      <c r="V44" s="77">
        <f t="shared" si="72"/>
        <v>0</v>
      </c>
      <c r="W44" s="77">
        <f t="shared" si="72"/>
        <v>0</v>
      </c>
      <c r="X44" s="77">
        <f t="shared" si="72"/>
        <v>0</v>
      </c>
      <c r="Y44" s="77">
        <f t="shared" si="72"/>
        <v>0</v>
      </c>
      <c r="Z44" s="402">
        <f>SUM(V44:Y44)</f>
        <v>0</v>
      </c>
      <c r="AA44" s="73"/>
      <c r="AB44" s="74"/>
      <c r="AC44" s="74"/>
      <c r="AD44" s="74"/>
      <c r="AE44" s="74"/>
      <c r="AF44" s="74"/>
      <c r="AG44" s="74"/>
      <c r="AH44" s="73"/>
      <c r="AI44" s="367"/>
      <c r="AJ44" s="368"/>
      <c r="AK44" s="368"/>
      <c r="AL44" s="368"/>
      <c r="AM44" s="368"/>
      <c r="AN44" s="368"/>
      <c r="AO44" s="368"/>
      <c r="AP44" s="368"/>
      <c r="AQ44" s="368"/>
      <c r="AR44" s="368"/>
      <c r="AS44" s="368"/>
      <c r="AT44" s="368"/>
      <c r="AU44" s="368"/>
      <c r="AV44" s="368"/>
      <c r="AW44" s="368"/>
      <c r="AX44" s="368"/>
      <c r="AY44" s="368"/>
      <c r="AZ44" s="193"/>
      <c r="BA44" s="196">
        <f t="shared" si="63"/>
        <v>0</v>
      </c>
      <c r="BB44" s="201">
        <f t="shared" si="64"/>
        <v>0</v>
      </c>
      <c r="BC44" s="201">
        <f t="shared" si="65"/>
        <v>0</v>
      </c>
      <c r="BD44" s="201">
        <f t="shared" si="66"/>
        <v>0</v>
      </c>
      <c r="BE44" s="201">
        <f t="shared" si="67"/>
        <v>0</v>
      </c>
      <c r="BF44" s="202">
        <f>(BB44*初始化表!E$17+BC44*初始化表!F$17+BD44*初始化表!G$17+BE44*初始化表!H$17)/1300</f>
        <v>0</v>
      </c>
      <c r="BG44" s="207">
        <f t="shared" si="68"/>
        <v>0</v>
      </c>
      <c r="BH44" s="207">
        <f t="shared" si="69"/>
        <v>0</v>
      </c>
      <c r="BI44" s="321">
        <f>$BI$51+MAX(0,第3期!BI44)-BF44</f>
        <v>0</v>
      </c>
      <c r="BJ44" s="201" t="str">
        <f t="shared" si="70"/>
        <v/>
      </c>
      <c r="BK44" s="201" t="str">
        <f t="shared" si="71"/>
        <v/>
      </c>
      <c r="BL44" s="203"/>
      <c r="BM44" s="194" t="s">
        <v>523</v>
      </c>
      <c r="BN44" s="201" t="e">
        <f t="shared" si="73"/>
        <v>#DIV/0!</v>
      </c>
      <c r="BO44" s="201" t="e">
        <f t="shared" si="73"/>
        <v>#DIV/0!</v>
      </c>
      <c r="BP44" s="201" t="e">
        <f t="shared" si="73"/>
        <v>#DIV/0!</v>
      </c>
      <c r="BQ44" s="201" t="e">
        <f t="shared" si="73"/>
        <v>#DIV/0!</v>
      </c>
      <c r="BR44" s="211"/>
      <c r="BS44" s="196">
        <f t="shared" si="46"/>
        <v>0</v>
      </c>
      <c r="BT44" s="213" t="e">
        <f t="shared" si="47"/>
        <v>#DIV/0!</v>
      </c>
      <c r="BU44" s="213" t="e">
        <f t="shared" si="48"/>
        <v>#DIV/0!</v>
      </c>
      <c r="BV44" s="213" t="e">
        <f t="shared" si="49"/>
        <v>#DIV/0!</v>
      </c>
      <c r="BW44" s="213" t="e">
        <f t="shared" si="50"/>
        <v>#DIV/0!</v>
      </c>
      <c r="BX44" s="213" t="e">
        <f t="shared" si="51"/>
        <v>#DIV/0!</v>
      </c>
      <c r="BY44" s="213" t="e">
        <f t="shared" si="52"/>
        <v>#DIV/0!</v>
      </c>
      <c r="BZ44" s="213" t="e">
        <f t="shared" si="53"/>
        <v>#DIV/0!</v>
      </c>
      <c r="CA44" s="213" t="e">
        <f t="shared" si="54"/>
        <v>#DIV/0!</v>
      </c>
      <c r="CB44" s="213" t="e">
        <f t="shared" si="55"/>
        <v>#DIV/0!</v>
      </c>
      <c r="CC44" s="213" t="e">
        <f t="shared" si="56"/>
        <v>#DIV/0!</v>
      </c>
      <c r="CD44" s="213" t="e">
        <f t="shared" si="57"/>
        <v>#DIV/0!</v>
      </c>
      <c r="CE44" s="213" t="e">
        <f t="shared" si="58"/>
        <v>#DIV/0!</v>
      </c>
      <c r="CF44" s="213" t="e">
        <f t="shared" si="59"/>
        <v>#DIV/0!</v>
      </c>
      <c r="CG44" s="213" t="e">
        <f t="shared" si="60"/>
        <v>#DIV/0!</v>
      </c>
      <c r="CH44" s="213" t="e">
        <f t="shared" si="61"/>
        <v>#DIV/0!</v>
      </c>
      <c r="CI44" s="213" t="e">
        <f t="shared" si="62"/>
        <v>#DIV/0!</v>
      </c>
      <c r="CJ44" s="226"/>
      <c r="CK44" s="228"/>
      <c r="CL44" s="228"/>
      <c r="CM44" s="228"/>
      <c r="CN44" s="228"/>
      <c r="CO44" s="228"/>
      <c r="CP44" s="228"/>
      <c r="CQ44" s="228"/>
      <c r="CR44" s="228"/>
      <c r="CS44" s="228"/>
      <c r="CT44" s="228"/>
      <c r="CU44" s="228"/>
      <c r="CV44" s="228"/>
      <c r="CW44" s="228"/>
      <c r="CX44" s="228"/>
      <c r="CY44" s="228"/>
      <c r="CZ44" s="228"/>
      <c r="DA44" s="228"/>
      <c r="DB44" s="228"/>
      <c r="DC44" s="228"/>
      <c r="DD44" s="228"/>
      <c r="DE44" s="228"/>
      <c r="DF44" s="228"/>
      <c r="DG44" s="228"/>
      <c r="DH44" s="228"/>
      <c r="DI44" s="228"/>
      <c r="DJ44" s="228"/>
      <c r="DK44" s="228"/>
      <c r="DL44" s="228"/>
      <c r="DM44" s="228"/>
      <c r="DN44" s="228"/>
      <c r="DO44" s="228"/>
      <c r="DP44" s="228"/>
      <c r="DQ44" s="228"/>
    </row>
    <row r="45" s="61" customFormat="1" ht="16" customHeight="1" spans="1:121">
      <c r="A45" s="269" t="s">
        <v>376</v>
      </c>
      <c r="B45" s="270"/>
      <c r="C45" s="77">
        <f>-SUM(B17:E17)*初始化表!E19-SUM(B18:E18)*初始化表!F19-SUM(B19:E19)*初始化表!G19-SUM(B20:E20)*初始化表!H19</f>
        <v>0</v>
      </c>
      <c r="D45" s="79"/>
      <c r="E45" s="79" t="e">
        <f t="shared" si="74"/>
        <v>#DIV/0!</v>
      </c>
      <c r="F45" s="79"/>
      <c r="G45" s="73"/>
      <c r="H45" s="269" t="s">
        <v>282</v>
      </c>
      <c r="I45" s="270"/>
      <c r="J45" s="270"/>
      <c r="K45" s="270"/>
      <c r="L45" s="270"/>
      <c r="M45" s="85"/>
      <c r="N45" s="115">
        <f>第3期!F24</f>
        <v>1</v>
      </c>
      <c r="O45" s="77">
        <f>IF(0.99*LOG(F24,初始化表!B20)&lt;0.99,0.99*LOG(F24,初始化表!B20),0.99)</f>
        <v>0</v>
      </c>
      <c r="P45" s="77" t="e">
        <f>INT(((R42-0.95-(R41-0.95)*0.2)/0.8*10/初始化表!B19+1)*1000+0.5)/1000</f>
        <v>#DIV/0!</v>
      </c>
      <c r="Q45" s="77">
        <f>INT(((0.05-(R41-0.95)*0.2)/0.8*10/初始化表!B19+1)*1000+0.5)/1000</f>
        <v>1.625</v>
      </c>
      <c r="R45" s="142">
        <f>第3期!R45</f>
        <v>1</v>
      </c>
      <c r="S45" s="141" t="s">
        <v>651</v>
      </c>
      <c r="T45" s="142"/>
      <c r="U45" s="419" t="s">
        <v>524</v>
      </c>
      <c r="V45" s="77">
        <f t="shared" si="72"/>
        <v>0</v>
      </c>
      <c r="W45" s="77">
        <f t="shared" si="72"/>
        <v>0</v>
      </c>
      <c r="X45" s="77">
        <f t="shared" si="72"/>
        <v>0</v>
      </c>
      <c r="Y45" s="77">
        <f t="shared" si="72"/>
        <v>0</v>
      </c>
      <c r="Z45" s="402">
        <f>SUM(V45:Y45)</f>
        <v>0</v>
      </c>
      <c r="AA45" s="73"/>
      <c r="AB45" s="74"/>
      <c r="AC45" s="74"/>
      <c r="AD45" s="74"/>
      <c r="AE45" s="74"/>
      <c r="AF45" s="74"/>
      <c r="AG45" s="74"/>
      <c r="AH45" s="73"/>
      <c r="AI45" s="367"/>
      <c r="AJ45" s="368"/>
      <c r="AK45" s="368"/>
      <c r="AL45" s="368"/>
      <c r="AM45" s="368"/>
      <c r="AN45" s="368"/>
      <c r="AO45" s="368"/>
      <c r="AP45" s="368"/>
      <c r="AQ45" s="368"/>
      <c r="AR45" s="368"/>
      <c r="AS45" s="368"/>
      <c r="AT45" s="368"/>
      <c r="AU45" s="368"/>
      <c r="AV45" s="368"/>
      <c r="AW45" s="368"/>
      <c r="AX45" s="368"/>
      <c r="AY45" s="368"/>
      <c r="AZ45" s="193"/>
      <c r="BA45" s="196">
        <f t="shared" si="63"/>
        <v>0</v>
      </c>
      <c r="BB45" s="201">
        <f t="shared" si="64"/>
        <v>0</v>
      </c>
      <c r="BC45" s="201">
        <f t="shared" si="65"/>
        <v>0</v>
      </c>
      <c r="BD45" s="201">
        <f t="shared" si="66"/>
        <v>0</v>
      </c>
      <c r="BE45" s="201">
        <f t="shared" si="67"/>
        <v>0</v>
      </c>
      <c r="BF45" s="202">
        <f>(BB45*初始化表!E$17+BC45*初始化表!F$17+BD45*初始化表!G$17+BE45*初始化表!H$17)/1300</f>
        <v>0</v>
      </c>
      <c r="BG45" s="207">
        <f t="shared" si="68"/>
        <v>0</v>
      </c>
      <c r="BH45" s="207">
        <f t="shared" si="69"/>
        <v>0</v>
      </c>
      <c r="BI45" s="321">
        <f>$BI$51+MAX(0,第3期!BI45)-BF45</f>
        <v>0</v>
      </c>
      <c r="BJ45" s="201" t="str">
        <f t="shared" si="70"/>
        <v/>
      </c>
      <c r="BK45" s="201" t="str">
        <f t="shared" si="71"/>
        <v/>
      </c>
      <c r="BL45" s="203"/>
      <c r="BM45" s="194" t="s">
        <v>524</v>
      </c>
      <c r="BN45" s="201" t="e">
        <f t="shared" si="73"/>
        <v>#DIV/0!</v>
      </c>
      <c r="BO45" s="201" t="e">
        <f t="shared" si="73"/>
        <v>#DIV/0!</v>
      </c>
      <c r="BP45" s="201" t="e">
        <f t="shared" si="73"/>
        <v>#DIV/0!</v>
      </c>
      <c r="BQ45" s="201" t="e">
        <f t="shared" si="73"/>
        <v>#DIV/0!</v>
      </c>
      <c r="BR45" s="211"/>
      <c r="BS45" s="196">
        <f t="shared" si="46"/>
        <v>0</v>
      </c>
      <c r="BT45" s="213" t="e">
        <f t="shared" si="47"/>
        <v>#DIV/0!</v>
      </c>
      <c r="BU45" s="213" t="e">
        <f t="shared" si="48"/>
        <v>#DIV/0!</v>
      </c>
      <c r="BV45" s="213" t="e">
        <f t="shared" si="49"/>
        <v>#DIV/0!</v>
      </c>
      <c r="BW45" s="213" t="e">
        <f t="shared" si="50"/>
        <v>#DIV/0!</v>
      </c>
      <c r="BX45" s="213" t="e">
        <f t="shared" si="51"/>
        <v>#DIV/0!</v>
      </c>
      <c r="BY45" s="213" t="e">
        <f t="shared" si="52"/>
        <v>#DIV/0!</v>
      </c>
      <c r="BZ45" s="213" t="e">
        <f t="shared" si="53"/>
        <v>#DIV/0!</v>
      </c>
      <c r="CA45" s="213" t="e">
        <f t="shared" si="54"/>
        <v>#DIV/0!</v>
      </c>
      <c r="CB45" s="213" t="e">
        <f t="shared" si="55"/>
        <v>#DIV/0!</v>
      </c>
      <c r="CC45" s="213" t="e">
        <f t="shared" si="56"/>
        <v>#DIV/0!</v>
      </c>
      <c r="CD45" s="213" t="e">
        <f t="shared" si="57"/>
        <v>#DIV/0!</v>
      </c>
      <c r="CE45" s="213" t="e">
        <f t="shared" si="58"/>
        <v>#DIV/0!</v>
      </c>
      <c r="CF45" s="213" t="e">
        <f t="shared" si="59"/>
        <v>#DIV/0!</v>
      </c>
      <c r="CG45" s="213" t="e">
        <f t="shared" si="60"/>
        <v>#DIV/0!</v>
      </c>
      <c r="CH45" s="213" t="e">
        <f t="shared" si="61"/>
        <v>#DIV/0!</v>
      </c>
      <c r="CI45" s="213" t="e">
        <f t="shared" si="62"/>
        <v>#DIV/0!</v>
      </c>
      <c r="CJ45" s="226"/>
      <c r="CK45" s="228"/>
      <c r="CL45" s="228"/>
      <c r="CM45" s="228"/>
      <c r="CN45" s="228"/>
      <c r="CO45" s="228"/>
      <c r="CP45" s="228"/>
      <c r="CQ45" s="228"/>
      <c r="CR45" s="228"/>
      <c r="CS45" s="228"/>
      <c r="CT45" s="228"/>
      <c r="CU45" s="228"/>
      <c r="CV45" s="228"/>
      <c r="CW45" s="228"/>
      <c r="CX45" s="228"/>
      <c r="CY45" s="228"/>
      <c r="CZ45" s="228"/>
      <c r="DA45" s="228"/>
      <c r="DB45" s="228"/>
      <c r="DC45" s="228"/>
      <c r="DD45" s="228"/>
      <c r="DE45" s="228"/>
      <c r="DF45" s="228"/>
      <c r="DG45" s="228"/>
      <c r="DH45" s="228"/>
      <c r="DI45" s="228"/>
      <c r="DJ45" s="228"/>
      <c r="DK45" s="228"/>
      <c r="DL45" s="228"/>
      <c r="DM45" s="228"/>
      <c r="DN45" s="228"/>
      <c r="DO45" s="228"/>
      <c r="DP45" s="228"/>
      <c r="DQ45" s="228"/>
    </row>
    <row r="46" s="61" customFormat="1" ht="16" customHeight="1" spans="1:121">
      <c r="A46" s="269" t="s">
        <v>377</v>
      </c>
      <c r="B46" s="270"/>
      <c r="C46" s="77">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0</v>
      </c>
      <c r="D46" s="79"/>
      <c r="E46" s="79" t="e">
        <f t="shared" si="74"/>
        <v>#DIV/0!</v>
      </c>
      <c r="F46" s="79" t="e">
        <f>F44+C46</f>
        <v>#DIV/0!</v>
      </c>
      <c r="G46" s="73"/>
      <c r="H46" s="269" t="s">
        <v>652</v>
      </c>
      <c r="I46" s="269" t="s">
        <v>513</v>
      </c>
      <c r="J46" s="269" t="s">
        <v>514</v>
      </c>
      <c r="K46" s="269" t="s">
        <v>515</v>
      </c>
      <c r="L46" s="269" t="s">
        <v>516</v>
      </c>
      <c r="M46" s="85"/>
      <c r="N46" s="327"/>
      <c r="O46" s="327"/>
      <c r="P46" s="327"/>
      <c r="Q46" s="269" t="s">
        <v>255</v>
      </c>
      <c r="R46" s="83" t="e">
        <f>F77</f>
        <v>#DIV/0!</v>
      </c>
      <c r="S46" s="141" t="s">
        <v>653</v>
      </c>
      <c r="T46" s="144"/>
      <c r="U46" s="123"/>
      <c r="V46" s="74"/>
      <c r="W46" s="74"/>
      <c r="X46" s="74"/>
      <c r="Y46" s="74"/>
      <c r="Z46" s="74"/>
      <c r="AA46" s="73"/>
      <c r="AB46" s="74"/>
      <c r="AC46" s="74"/>
      <c r="AD46" s="74"/>
      <c r="AE46" s="74"/>
      <c r="AF46" s="74"/>
      <c r="AG46" s="74"/>
      <c r="AH46" s="73"/>
      <c r="AI46" s="367"/>
      <c r="AJ46" s="368"/>
      <c r="AK46" s="368"/>
      <c r="AL46" s="368"/>
      <c r="AM46" s="368"/>
      <c r="AN46" s="368"/>
      <c r="AO46" s="368"/>
      <c r="AP46" s="368"/>
      <c r="AQ46" s="368"/>
      <c r="AR46" s="368"/>
      <c r="AS46" s="368"/>
      <c r="AT46" s="368"/>
      <c r="AU46" s="368"/>
      <c r="AV46" s="368"/>
      <c r="AW46" s="368"/>
      <c r="AX46" s="368"/>
      <c r="AY46" s="368"/>
      <c r="AZ46" s="193"/>
      <c r="BA46" s="196">
        <f t="shared" si="63"/>
        <v>0</v>
      </c>
      <c r="BB46" s="201">
        <f t="shared" si="64"/>
        <v>0</v>
      </c>
      <c r="BC46" s="201">
        <f t="shared" si="65"/>
        <v>0</v>
      </c>
      <c r="BD46" s="201">
        <f t="shared" si="66"/>
        <v>0</v>
      </c>
      <c r="BE46" s="201">
        <f t="shared" si="67"/>
        <v>0</v>
      </c>
      <c r="BF46" s="202">
        <f>(BB46*初始化表!E$17+BC46*初始化表!F$17+BD46*初始化表!G$17+BE46*初始化表!H$17)/1300</f>
        <v>0</v>
      </c>
      <c r="BG46" s="207">
        <f t="shared" si="68"/>
        <v>0</v>
      </c>
      <c r="BH46" s="207">
        <f t="shared" si="69"/>
        <v>0</v>
      </c>
      <c r="BI46" s="321">
        <f>$BI$51+MAX(0,第3期!BI46)-BF46</f>
        <v>0</v>
      </c>
      <c r="BJ46" s="201" t="str">
        <f t="shared" si="70"/>
        <v/>
      </c>
      <c r="BK46" s="201" t="str">
        <f t="shared" si="71"/>
        <v/>
      </c>
      <c r="BL46" s="203"/>
      <c r="BM46" s="218"/>
      <c r="BN46" s="218"/>
      <c r="BO46" s="218"/>
      <c r="BP46" s="218"/>
      <c r="BQ46" s="218"/>
      <c r="BR46" s="211"/>
      <c r="BS46" s="196">
        <f t="shared" si="46"/>
        <v>0</v>
      </c>
      <c r="BT46" s="213" t="e">
        <f t="shared" si="47"/>
        <v>#DIV/0!</v>
      </c>
      <c r="BU46" s="213" t="e">
        <f t="shared" si="48"/>
        <v>#DIV/0!</v>
      </c>
      <c r="BV46" s="213" t="e">
        <f t="shared" si="49"/>
        <v>#DIV/0!</v>
      </c>
      <c r="BW46" s="213" t="e">
        <f t="shared" si="50"/>
        <v>#DIV/0!</v>
      </c>
      <c r="BX46" s="213" t="e">
        <f t="shared" si="51"/>
        <v>#DIV/0!</v>
      </c>
      <c r="BY46" s="213" t="e">
        <f t="shared" si="52"/>
        <v>#DIV/0!</v>
      </c>
      <c r="BZ46" s="213" t="e">
        <f t="shared" si="53"/>
        <v>#DIV/0!</v>
      </c>
      <c r="CA46" s="213" t="e">
        <f t="shared" si="54"/>
        <v>#DIV/0!</v>
      </c>
      <c r="CB46" s="213" t="e">
        <f t="shared" si="55"/>
        <v>#DIV/0!</v>
      </c>
      <c r="CC46" s="213" t="e">
        <f t="shared" si="56"/>
        <v>#DIV/0!</v>
      </c>
      <c r="CD46" s="213" t="e">
        <f t="shared" si="57"/>
        <v>#DIV/0!</v>
      </c>
      <c r="CE46" s="213" t="e">
        <f t="shared" si="58"/>
        <v>#DIV/0!</v>
      </c>
      <c r="CF46" s="213" t="e">
        <f t="shared" si="59"/>
        <v>#DIV/0!</v>
      </c>
      <c r="CG46" s="213" t="e">
        <f t="shared" si="60"/>
        <v>#DIV/0!</v>
      </c>
      <c r="CH46" s="213" t="e">
        <f t="shared" si="61"/>
        <v>#DIV/0!</v>
      </c>
      <c r="CI46" s="213" t="e">
        <f t="shared" si="62"/>
        <v>#DIV/0!</v>
      </c>
      <c r="CJ46" s="226"/>
      <c r="CK46" s="228"/>
      <c r="CL46" s="228"/>
      <c r="CM46" s="228"/>
      <c r="CN46" s="228"/>
      <c r="CO46" s="228"/>
      <c r="CP46" s="228"/>
      <c r="CQ46" s="228"/>
      <c r="CR46" s="228"/>
      <c r="CS46" s="228"/>
      <c r="CT46" s="228"/>
      <c r="CU46" s="228"/>
      <c r="CV46" s="228"/>
      <c r="CW46" s="228"/>
      <c r="CX46" s="228"/>
      <c r="CY46" s="228"/>
      <c r="CZ46" s="228"/>
      <c r="DA46" s="228"/>
      <c r="DB46" s="228"/>
      <c r="DC46" s="228"/>
      <c r="DD46" s="228"/>
      <c r="DE46" s="228"/>
      <c r="DF46" s="228"/>
      <c r="DG46" s="228"/>
      <c r="DH46" s="228"/>
      <c r="DI46" s="228"/>
      <c r="DJ46" s="228"/>
      <c r="DK46" s="228"/>
      <c r="DL46" s="228"/>
      <c r="DM46" s="228"/>
      <c r="DN46" s="228"/>
      <c r="DO46" s="228"/>
      <c r="DP46" s="228"/>
      <c r="DQ46" s="228"/>
    </row>
    <row r="47" s="61" customFormat="1" ht="16" customHeight="1" spans="1:121">
      <c r="A47" s="269" t="s">
        <v>276</v>
      </c>
      <c r="B47" s="270"/>
      <c r="C47" s="77" t="e">
        <f>-SUM(F6:F9)</f>
        <v>#DIV/0!</v>
      </c>
      <c r="D47" s="79"/>
      <c r="E47" s="79" t="e">
        <f t="shared" si="74"/>
        <v>#DIV/0!</v>
      </c>
      <c r="F47" s="79" t="e">
        <f>F46+C47</f>
        <v>#DIV/0!</v>
      </c>
      <c r="G47" s="73"/>
      <c r="H47" s="269" t="s">
        <v>521</v>
      </c>
      <c r="I47" s="90">
        <v>2</v>
      </c>
      <c r="J47" s="90">
        <v>2</v>
      </c>
      <c r="K47" s="90">
        <v>3</v>
      </c>
      <c r="L47" s="90">
        <v>3</v>
      </c>
      <c r="M47" s="85"/>
      <c r="N47" s="269" t="s">
        <v>654</v>
      </c>
      <c r="O47" s="270"/>
      <c r="P47" s="270"/>
      <c r="Q47" s="270"/>
      <c r="R47" s="270"/>
      <c r="S47" s="141" t="s">
        <v>655</v>
      </c>
      <c r="T47" s="397" t="e">
        <f>R46-T46</f>
        <v>#DIV/0!</v>
      </c>
      <c r="U47" s="269" t="s">
        <v>742</v>
      </c>
      <c r="V47" s="269" t="s">
        <v>513</v>
      </c>
      <c r="W47" s="269" t="s">
        <v>514</v>
      </c>
      <c r="X47" s="269" t="s">
        <v>515</v>
      </c>
      <c r="Y47" s="269" t="s">
        <v>516</v>
      </c>
      <c r="Z47" s="74"/>
      <c r="AA47" s="73"/>
      <c r="AB47" s="74"/>
      <c r="AC47" s="74"/>
      <c r="AD47" s="74"/>
      <c r="AE47" s="74"/>
      <c r="AF47" s="74"/>
      <c r="AG47" s="74"/>
      <c r="AH47" s="73"/>
      <c r="AI47" s="367"/>
      <c r="AJ47" s="368"/>
      <c r="AK47" s="368"/>
      <c r="AL47" s="368"/>
      <c r="AM47" s="368"/>
      <c r="AN47" s="368"/>
      <c r="AO47" s="368"/>
      <c r="AP47" s="368"/>
      <c r="AQ47" s="368"/>
      <c r="AR47" s="368"/>
      <c r="AS47" s="368"/>
      <c r="AT47" s="368"/>
      <c r="AU47" s="368"/>
      <c r="AV47" s="368"/>
      <c r="AW47" s="368"/>
      <c r="AX47" s="368"/>
      <c r="AY47" s="368"/>
      <c r="AZ47" s="193"/>
      <c r="BA47" s="196">
        <f t="shared" si="63"/>
        <v>0</v>
      </c>
      <c r="BB47" s="201">
        <f t="shared" si="64"/>
        <v>0</v>
      </c>
      <c r="BC47" s="201">
        <f t="shared" si="65"/>
        <v>0</v>
      </c>
      <c r="BD47" s="201">
        <f t="shared" si="66"/>
        <v>0</v>
      </c>
      <c r="BE47" s="201">
        <f t="shared" si="67"/>
        <v>0</v>
      </c>
      <c r="BF47" s="202">
        <f>(BB47*初始化表!E$17+BC47*初始化表!F$17+BD47*初始化表!G$17+BE47*初始化表!H$17)/1300</f>
        <v>0</v>
      </c>
      <c r="BG47" s="207">
        <f t="shared" si="68"/>
        <v>0</v>
      </c>
      <c r="BH47" s="207">
        <f t="shared" si="69"/>
        <v>0</v>
      </c>
      <c r="BI47" s="321">
        <f>$BI$51+MAX(0,第3期!BI47)-BF47</f>
        <v>0</v>
      </c>
      <c r="BJ47" s="201" t="str">
        <f t="shared" si="70"/>
        <v/>
      </c>
      <c r="BK47" s="201" t="str">
        <f t="shared" si="71"/>
        <v/>
      </c>
      <c r="BL47" s="203"/>
      <c r="BM47" s="203"/>
      <c r="BN47" s="203"/>
      <c r="BO47" s="203"/>
      <c r="BP47" s="203"/>
      <c r="BQ47" s="203"/>
      <c r="BR47" s="211"/>
      <c r="BS47" s="196">
        <f t="shared" si="46"/>
        <v>0</v>
      </c>
      <c r="BT47" s="213" t="e">
        <f t="shared" si="47"/>
        <v>#DIV/0!</v>
      </c>
      <c r="BU47" s="213" t="e">
        <f t="shared" si="48"/>
        <v>#DIV/0!</v>
      </c>
      <c r="BV47" s="213" t="e">
        <f t="shared" si="49"/>
        <v>#DIV/0!</v>
      </c>
      <c r="BW47" s="213" t="e">
        <f t="shared" si="50"/>
        <v>#DIV/0!</v>
      </c>
      <c r="BX47" s="213" t="e">
        <f t="shared" si="51"/>
        <v>#DIV/0!</v>
      </c>
      <c r="BY47" s="213" t="e">
        <f t="shared" si="52"/>
        <v>#DIV/0!</v>
      </c>
      <c r="BZ47" s="213" t="e">
        <f t="shared" si="53"/>
        <v>#DIV/0!</v>
      </c>
      <c r="CA47" s="213" t="e">
        <f t="shared" si="54"/>
        <v>#DIV/0!</v>
      </c>
      <c r="CB47" s="213" t="e">
        <f t="shared" si="55"/>
        <v>#DIV/0!</v>
      </c>
      <c r="CC47" s="213" t="e">
        <f t="shared" si="56"/>
        <v>#DIV/0!</v>
      </c>
      <c r="CD47" s="213" t="e">
        <f t="shared" si="57"/>
        <v>#DIV/0!</v>
      </c>
      <c r="CE47" s="213" t="e">
        <f t="shared" si="58"/>
        <v>#DIV/0!</v>
      </c>
      <c r="CF47" s="213" t="e">
        <f t="shared" si="59"/>
        <v>#DIV/0!</v>
      </c>
      <c r="CG47" s="213" t="e">
        <f t="shared" si="60"/>
        <v>#DIV/0!</v>
      </c>
      <c r="CH47" s="213" t="e">
        <f t="shared" si="61"/>
        <v>#DIV/0!</v>
      </c>
      <c r="CI47" s="213" t="e">
        <f t="shared" si="62"/>
        <v>#DIV/0!</v>
      </c>
      <c r="CJ47" s="226"/>
      <c r="CK47" s="228"/>
      <c r="CL47" s="228"/>
      <c r="CM47" s="228"/>
      <c r="CN47" s="228"/>
      <c r="CO47" s="228"/>
      <c r="CP47" s="228"/>
      <c r="CQ47" s="228"/>
      <c r="CR47" s="228"/>
      <c r="CS47" s="228"/>
      <c r="CT47" s="228"/>
      <c r="CU47" s="228"/>
      <c r="CV47" s="228"/>
      <c r="CW47" s="228"/>
      <c r="CX47" s="228"/>
      <c r="CY47" s="228"/>
      <c r="CZ47" s="228"/>
      <c r="DA47" s="228"/>
      <c r="DB47" s="228"/>
      <c r="DC47" s="228"/>
      <c r="DD47" s="228"/>
      <c r="DE47" s="228"/>
      <c r="DF47" s="228"/>
      <c r="DG47" s="228"/>
      <c r="DH47" s="228"/>
      <c r="DI47" s="228"/>
      <c r="DJ47" s="228"/>
      <c r="DK47" s="228"/>
      <c r="DL47" s="228"/>
      <c r="DM47" s="228"/>
      <c r="DN47" s="228"/>
      <c r="DO47" s="228"/>
      <c r="DP47" s="228"/>
      <c r="DQ47" s="228"/>
    </row>
    <row r="48" s="61" customFormat="1" ht="16" customHeight="1" spans="1:121">
      <c r="A48" s="269" t="s">
        <v>280</v>
      </c>
      <c r="B48" s="270"/>
      <c r="C48" s="77" t="e">
        <f>-SUM(B10:E10)</f>
        <v>#DIV/0!</v>
      </c>
      <c r="D48" s="79"/>
      <c r="E48" s="79" t="e">
        <f t="shared" si="74"/>
        <v>#DIV/0!</v>
      </c>
      <c r="F48" s="79" t="e">
        <f>F47+C48</f>
        <v>#DIV/0!</v>
      </c>
      <c r="G48" s="73"/>
      <c r="H48" s="269" t="s">
        <v>522</v>
      </c>
      <c r="I48" s="90">
        <v>2</v>
      </c>
      <c r="J48" s="90">
        <v>2</v>
      </c>
      <c r="K48" s="90">
        <v>3</v>
      </c>
      <c r="L48" s="90">
        <v>3</v>
      </c>
      <c r="M48" s="85"/>
      <c r="N48" s="269" t="s">
        <v>657</v>
      </c>
      <c r="O48" s="269" t="s">
        <v>658</v>
      </c>
      <c r="P48" s="269" t="s">
        <v>659</v>
      </c>
      <c r="Q48" s="269" t="s">
        <v>660</v>
      </c>
      <c r="R48" s="269" t="s">
        <v>642</v>
      </c>
      <c r="S48" s="121"/>
      <c r="T48" s="120"/>
      <c r="U48" s="269" t="s">
        <v>521</v>
      </c>
      <c r="V48" s="146">
        <f>IF(第2期!BB27=0,0,第3期!BB27/第2期!BB27)</f>
        <v>0</v>
      </c>
      <c r="W48" s="146">
        <f>IF(第2期!BC27=0,0,第3期!BC27/第2期!BC27)</f>
        <v>0</v>
      </c>
      <c r="X48" s="146">
        <f>IF(第2期!BD27=0,0,第3期!BD27/第2期!BD27)</f>
        <v>0</v>
      </c>
      <c r="Y48" s="146">
        <f>IF(第2期!BE27=0,0,第3期!BE27/第2期!BE27)</f>
        <v>0</v>
      </c>
      <c r="Z48" s="74"/>
      <c r="AA48" s="73"/>
      <c r="AB48" s="74"/>
      <c r="AC48" s="74"/>
      <c r="AD48" s="74"/>
      <c r="AE48" s="74"/>
      <c r="AF48" s="74"/>
      <c r="AG48" s="74"/>
      <c r="AH48" s="73"/>
      <c r="AI48" s="367"/>
      <c r="AJ48" s="368"/>
      <c r="AK48" s="368"/>
      <c r="AL48" s="368"/>
      <c r="AM48" s="368"/>
      <c r="AN48" s="368"/>
      <c r="AO48" s="368"/>
      <c r="AP48" s="368"/>
      <c r="AQ48" s="368"/>
      <c r="AR48" s="368"/>
      <c r="AS48" s="368"/>
      <c r="AT48" s="368"/>
      <c r="AU48" s="368"/>
      <c r="AV48" s="368"/>
      <c r="AW48" s="368"/>
      <c r="AX48" s="368"/>
      <c r="AY48" s="368"/>
      <c r="AZ48" s="193"/>
      <c r="BA48" s="196">
        <f t="shared" si="63"/>
        <v>0</v>
      </c>
      <c r="BB48" s="201">
        <f t="shared" si="64"/>
        <v>0</v>
      </c>
      <c r="BC48" s="201">
        <f t="shared" si="65"/>
        <v>0</v>
      </c>
      <c r="BD48" s="201">
        <f t="shared" si="66"/>
        <v>0</v>
      </c>
      <c r="BE48" s="201">
        <f t="shared" si="67"/>
        <v>0</v>
      </c>
      <c r="BF48" s="202">
        <f>(BB48*初始化表!E$17+BC48*初始化表!F$17+BD48*初始化表!G$17+BE48*初始化表!H$17)/1300</f>
        <v>0</v>
      </c>
      <c r="BG48" s="207">
        <f t="shared" si="68"/>
        <v>0</v>
      </c>
      <c r="BH48" s="207">
        <f t="shared" si="69"/>
        <v>0</v>
      </c>
      <c r="BI48" s="321">
        <f>$BI$51+MAX(0,第3期!BI48)-BF48</f>
        <v>0</v>
      </c>
      <c r="BJ48" s="201" t="str">
        <f t="shared" si="70"/>
        <v/>
      </c>
      <c r="BK48" s="201" t="str">
        <f t="shared" si="71"/>
        <v/>
      </c>
      <c r="BL48" s="203"/>
      <c r="BM48" s="203"/>
      <c r="BN48" s="203"/>
      <c r="BO48" s="203"/>
      <c r="BP48" s="203"/>
      <c r="BQ48" s="203"/>
      <c r="BR48" s="211"/>
      <c r="BS48" s="196">
        <f t="shared" si="46"/>
        <v>0</v>
      </c>
      <c r="BT48" s="213" t="e">
        <f t="shared" si="47"/>
        <v>#DIV/0!</v>
      </c>
      <c r="BU48" s="213" t="e">
        <f t="shared" si="48"/>
        <v>#DIV/0!</v>
      </c>
      <c r="BV48" s="213" t="e">
        <f t="shared" si="49"/>
        <v>#DIV/0!</v>
      </c>
      <c r="BW48" s="213" t="e">
        <f t="shared" si="50"/>
        <v>#DIV/0!</v>
      </c>
      <c r="BX48" s="213" t="e">
        <f t="shared" si="51"/>
        <v>#DIV/0!</v>
      </c>
      <c r="BY48" s="213" t="e">
        <f t="shared" si="52"/>
        <v>#DIV/0!</v>
      </c>
      <c r="BZ48" s="213" t="e">
        <f t="shared" si="53"/>
        <v>#DIV/0!</v>
      </c>
      <c r="CA48" s="213" t="e">
        <f t="shared" si="54"/>
        <v>#DIV/0!</v>
      </c>
      <c r="CB48" s="213" t="e">
        <f t="shared" si="55"/>
        <v>#DIV/0!</v>
      </c>
      <c r="CC48" s="213" t="e">
        <f t="shared" si="56"/>
        <v>#DIV/0!</v>
      </c>
      <c r="CD48" s="213" t="e">
        <f t="shared" si="57"/>
        <v>#DIV/0!</v>
      </c>
      <c r="CE48" s="213" t="e">
        <f t="shared" si="58"/>
        <v>#DIV/0!</v>
      </c>
      <c r="CF48" s="213" t="e">
        <f t="shared" si="59"/>
        <v>#DIV/0!</v>
      </c>
      <c r="CG48" s="213" t="e">
        <f t="shared" si="60"/>
        <v>#DIV/0!</v>
      </c>
      <c r="CH48" s="213" t="e">
        <f t="shared" si="61"/>
        <v>#DIV/0!</v>
      </c>
      <c r="CI48" s="213" t="e">
        <f t="shared" si="62"/>
        <v>#DIV/0!</v>
      </c>
      <c r="CJ48" s="226"/>
      <c r="CK48" s="228"/>
      <c r="CL48" s="228"/>
      <c r="CM48" s="228"/>
      <c r="CN48" s="228"/>
      <c r="CO48" s="228"/>
      <c r="CP48" s="228"/>
      <c r="CQ48" s="228"/>
      <c r="CR48" s="228"/>
      <c r="CS48" s="228"/>
      <c r="CT48" s="228"/>
      <c r="CU48" s="228"/>
      <c r="CV48" s="228"/>
      <c r="CW48" s="228"/>
      <c r="CX48" s="228"/>
      <c r="CY48" s="228"/>
      <c r="CZ48" s="228"/>
      <c r="DA48" s="228"/>
      <c r="DB48" s="228"/>
      <c r="DC48" s="228"/>
      <c r="DD48" s="228"/>
      <c r="DE48" s="228"/>
      <c r="DF48" s="228"/>
      <c r="DG48" s="228"/>
      <c r="DH48" s="228"/>
      <c r="DI48" s="228"/>
      <c r="DJ48" s="228"/>
      <c r="DK48" s="228"/>
      <c r="DL48" s="228"/>
      <c r="DM48" s="228"/>
      <c r="DN48" s="228"/>
      <c r="DO48" s="228"/>
      <c r="DP48" s="228"/>
      <c r="DQ48" s="228"/>
    </row>
    <row r="49" s="61" customFormat="1" ht="16" customHeight="1" spans="1:121">
      <c r="A49" s="269" t="s">
        <v>378</v>
      </c>
      <c r="B49" s="270"/>
      <c r="C49" s="77" t="e">
        <f>IF(AJ24="",SUMPRODUCT(B6:E9,V42:Y45),B6*MAX(0,AM9-AK9)+MAX(0,AM10-AK10)*C6+MAX(0,AM11-AK11)*D6+MAX(0,AM12-AK12)*E6+MAX(0,AM13-AK13)*B7+MAX(0,AM14-AK14)*C7+MAX(0,AM15-AK15)*D7+MAX(0,AM16-AK16)*E7+MAX(0,AM17-AK17)*B8+MAX(0,AM18-AK18)*C8+MAX(0,AM19-AK19)*D8+MAX(0,AM20-AK20)*E8+MAX(0,AM21-AK21)*B9+MAX(0,AM22-AK22)*C9+MAX(0,AM23-AK23)*D9+MAX(0,AM24-AK24)*E9)+MIN(B6,V23)*MIN(V11,B12-V84)+MIN(W11,C12-W84)*MIN(C6,W23)+MIN(X11,D12-X84)*MIN(D6,X23)+MIN(Y11,E12-Y84)*MIN(E6,Y23)+MIN(B7,V24)*MIN(V12,B13-V85)+MIN(W12,C13-W85)*MIN(C7,W24)+MIN(X12,D13-X85)*MIN(D7,X24)+MIN(Y12,E13-Y85)*MIN(E7,Y24)+MIN(B8,V25)*MIN(V13,B14-V86)+MIN(W13,C14-W86)*MIN(C8,W25)+MIN(X13,D14-X86)*MIN(D8,X25)+MIN(Y13,E14-Y86)*MIN(E8,Y25)+MIN(B9,V26)*MIN(V14,B15-V87)+MIN(W14,C15-W87)*MIN(C9,W26)+MIN(X14,D15-X87)*MIN(D9,X26)+MIN(Y14,E15-Y87)*MIN(E9,Y26)</f>
        <v>#DIV/0!</v>
      </c>
      <c r="D49" s="79" t="e">
        <f>D41+C49</f>
        <v>#DIV/0!</v>
      </c>
      <c r="E49" s="79"/>
      <c r="F49" s="79" t="e">
        <f>F48+C49</f>
        <v>#DIV/0!</v>
      </c>
      <c r="G49" s="73"/>
      <c r="H49" s="269" t="s">
        <v>523</v>
      </c>
      <c r="I49" s="90">
        <v>2</v>
      </c>
      <c r="J49" s="90">
        <v>2</v>
      </c>
      <c r="K49" s="90">
        <v>3</v>
      </c>
      <c r="L49" s="90">
        <v>3</v>
      </c>
      <c r="M49" s="85"/>
      <c r="N49" s="77" t="e">
        <f>第3期!F69</f>
        <v>#DIV/0!</v>
      </c>
      <c r="O49" s="77" t="e">
        <f>N49+第3期!R49</f>
        <v>#DIV/0!</v>
      </c>
      <c r="P49" s="77" t="e">
        <f>INT((F61-0.05*C49+0-(F30-F48)*O49/N49)/初始化表!B8)</f>
        <v>#DIV/0!</v>
      </c>
      <c r="Q49" s="77" t="e">
        <f>INT((F61+第5期!P33+第5期!Q35-F30+F48)/初始化表!B8)</f>
        <v>#DIV/0!</v>
      </c>
      <c r="R49" s="90"/>
      <c r="S49" s="74"/>
      <c r="T49" s="120"/>
      <c r="U49" s="269" t="s">
        <v>522</v>
      </c>
      <c r="V49" s="146">
        <f>IF(第2期!BF27=0,0,第3期!BF27/第2期!BF27)</f>
        <v>0</v>
      </c>
      <c r="W49" s="146">
        <f>IF(第2期!BG27=0,0,第3期!BG27/第2期!BG27)</f>
        <v>0</v>
      </c>
      <c r="X49" s="146">
        <f>IF(第2期!BH27=0,0,第3期!BH27/第2期!BH27)</f>
        <v>0</v>
      </c>
      <c r="Y49" s="146">
        <f>IF(第2期!BI27=0,0,第3期!BI27/第2期!BI27)</f>
        <v>0</v>
      </c>
      <c r="Z49" s="74"/>
      <c r="AA49" s="73"/>
      <c r="AB49" s="74"/>
      <c r="AC49" s="74"/>
      <c r="AD49" s="74"/>
      <c r="AE49" s="74"/>
      <c r="AF49" s="74"/>
      <c r="AG49" s="74"/>
      <c r="AH49" s="73"/>
      <c r="AI49" s="367"/>
      <c r="AJ49" s="368"/>
      <c r="AK49" s="368"/>
      <c r="AL49" s="368"/>
      <c r="AM49" s="368"/>
      <c r="AN49" s="368"/>
      <c r="AO49" s="368"/>
      <c r="AP49" s="368"/>
      <c r="AQ49" s="368"/>
      <c r="AR49" s="368"/>
      <c r="AS49" s="368"/>
      <c r="AT49" s="368"/>
      <c r="AU49" s="368"/>
      <c r="AV49" s="368"/>
      <c r="AW49" s="368"/>
      <c r="AX49" s="368"/>
      <c r="AY49" s="368"/>
      <c r="AZ49" s="193"/>
      <c r="BA49" s="196">
        <f t="shared" si="63"/>
        <v>0</v>
      </c>
      <c r="BB49" s="201">
        <f t="shared" si="64"/>
        <v>0</v>
      </c>
      <c r="BC49" s="201">
        <f t="shared" si="65"/>
        <v>0</v>
      </c>
      <c r="BD49" s="201">
        <f t="shared" si="66"/>
        <v>0</v>
      </c>
      <c r="BE49" s="201">
        <f t="shared" si="67"/>
        <v>0</v>
      </c>
      <c r="BF49" s="202">
        <f>(BB49*初始化表!E$17+BC49*初始化表!F$17+BD49*初始化表!G$17+BE49*初始化表!H$17)/1300</f>
        <v>0</v>
      </c>
      <c r="BG49" s="207">
        <f t="shared" si="68"/>
        <v>0</v>
      </c>
      <c r="BH49" s="207">
        <f t="shared" si="69"/>
        <v>0</v>
      </c>
      <c r="BI49" s="321">
        <f>$BI$51+MAX(0,第3期!BI49)-BF49</f>
        <v>0</v>
      </c>
      <c r="BJ49" s="201" t="str">
        <f t="shared" si="70"/>
        <v/>
      </c>
      <c r="BK49" s="201" t="str">
        <f t="shared" si="71"/>
        <v/>
      </c>
      <c r="BL49" s="203"/>
      <c r="BM49" s="203"/>
      <c r="BN49" s="203"/>
      <c r="BO49" s="203"/>
      <c r="BP49" s="203"/>
      <c r="BQ49" s="203"/>
      <c r="BR49" s="211"/>
      <c r="BS49" s="196">
        <f t="shared" si="46"/>
        <v>0</v>
      </c>
      <c r="BT49" s="213" t="e">
        <f t="shared" si="47"/>
        <v>#DIV/0!</v>
      </c>
      <c r="BU49" s="213" t="e">
        <f t="shared" si="48"/>
        <v>#DIV/0!</v>
      </c>
      <c r="BV49" s="213" t="e">
        <f t="shared" si="49"/>
        <v>#DIV/0!</v>
      </c>
      <c r="BW49" s="213" t="e">
        <f t="shared" si="50"/>
        <v>#DIV/0!</v>
      </c>
      <c r="BX49" s="213" t="e">
        <f t="shared" si="51"/>
        <v>#DIV/0!</v>
      </c>
      <c r="BY49" s="213" t="e">
        <f t="shared" si="52"/>
        <v>#DIV/0!</v>
      </c>
      <c r="BZ49" s="213" t="e">
        <f t="shared" si="53"/>
        <v>#DIV/0!</v>
      </c>
      <c r="CA49" s="213" t="e">
        <f t="shared" si="54"/>
        <v>#DIV/0!</v>
      </c>
      <c r="CB49" s="213" t="e">
        <f t="shared" si="55"/>
        <v>#DIV/0!</v>
      </c>
      <c r="CC49" s="213" t="e">
        <f t="shared" si="56"/>
        <v>#DIV/0!</v>
      </c>
      <c r="CD49" s="213" t="e">
        <f t="shared" si="57"/>
        <v>#DIV/0!</v>
      </c>
      <c r="CE49" s="213" t="e">
        <f t="shared" si="58"/>
        <v>#DIV/0!</v>
      </c>
      <c r="CF49" s="213" t="e">
        <f t="shared" si="59"/>
        <v>#DIV/0!</v>
      </c>
      <c r="CG49" s="213" t="e">
        <f t="shared" si="60"/>
        <v>#DIV/0!</v>
      </c>
      <c r="CH49" s="213" t="e">
        <f t="shared" si="61"/>
        <v>#DIV/0!</v>
      </c>
      <c r="CI49" s="213" t="e">
        <f t="shared" si="62"/>
        <v>#DIV/0!</v>
      </c>
      <c r="CJ49" s="226"/>
      <c r="CK49" s="228"/>
      <c r="CL49" s="228"/>
      <c r="CM49" s="228"/>
      <c r="CN49" s="228"/>
      <c r="CO49" s="228"/>
      <c r="CP49" s="228"/>
      <c r="CQ49" s="228"/>
      <c r="CR49" s="228"/>
      <c r="CS49" s="228"/>
      <c r="CT49" s="228"/>
      <c r="CU49" s="228"/>
      <c r="CV49" s="228"/>
      <c r="CW49" s="228"/>
      <c r="CX49" s="228"/>
      <c r="CY49" s="228"/>
      <c r="CZ49" s="228"/>
      <c r="DA49" s="228"/>
      <c r="DB49" s="228"/>
      <c r="DC49" s="228"/>
      <c r="DD49" s="228"/>
      <c r="DE49" s="228"/>
      <c r="DF49" s="228"/>
      <c r="DG49" s="228"/>
      <c r="DH49" s="228"/>
      <c r="DI49" s="228"/>
      <c r="DJ49" s="228"/>
      <c r="DK49" s="228"/>
      <c r="DL49" s="228"/>
      <c r="DM49" s="228"/>
      <c r="DN49" s="228"/>
      <c r="DO49" s="228"/>
      <c r="DP49" s="228"/>
      <c r="DQ49" s="228"/>
    </row>
    <row r="50" s="61" customFormat="1" ht="16" customHeight="1" spans="1:121">
      <c r="A50" s="269" t="s">
        <v>379</v>
      </c>
      <c r="B50" s="270"/>
      <c r="C50" s="77" t="e">
        <f>-IF(AJ24="",0.4*SUMPRODUCT(B6:E9,V84:Y87),0.4*(AQ9*B6+AQ10*C6+AQ11*D6+AQ12*E6+AQ13*B7+AQ14*C7+AQ15*D7+AQ16*E7+AQ17*B8+AQ18*C8+AQ19*D8+AQ20*E8+AQ21*B9+AQ22*C9+AQ23*D9+AQ24*E9))</f>
        <v>#DIV/0!</v>
      </c>
      <c r="D50" s="79"/>
      <c r="E50" s="79" t="e">
        <f>E48-C50</f>
        <v>#DIV/0!</v>
      </c>
      <c r="F50" s="79" t="e">
        <f>F49+C50</f>
        <v>#DIV/0!</v>
      </c>
      <c r="G50" s="73"/>
      <c r="H50" s="269" t="s">
        <v>524</v>
      </c>
      <c r="I50" s="90">
        <v>2</v>
      </c>
      <c r="J50" s="90">
        <v>2</v>
      </c>
      <c r="K50" s="90">
        <v>3</v>
      </c>
      <c r="L50" s="90">
        <v>3</v>
      </c>
      <c r="M50" s="85"/>
      <c r="N50" s="74"/>
      <c r="O50" s="269" t="s">
        <v>574</v>
      </c>
      <c r="P50" s="79" t="e">
        <f>E60</f>
        <v>#DIV/0!</v>
      </c>
      <c r="Q50" s="147"/>
      <c r="R50" s="74"/>
      <c r="S50" s="74"/>
      <c r="T50" s="120"/>
      <c r="U50" s="269" t="s">
        <v>523</v>
      </c>
      <c r="V50" s="146">
        <f>IF(第2期!BJ27=0,0,第3期!BJ27/第2期!BJ27)</f>
        <v>0</v>
      </c>
      <c r="W50" s="146">
        <f>IF(第2期!BK27=0,0,第3期!BK27/第2期!BK27)</f>
        <v>0</v>
      </c>
      <c r="X50" s="146">
        <f>IF(第2期!BL27=0,0,第3期!BL27/第2期!BL27)</f>
        <v>0</v>
      </c>
      <c r="Y50" s="146">
        <f>IF(第2期!BM27=0,0,第3期!BM27/第2期!BM27)</f>
        <v>0</v>
      </c>
      <c r="Z50" s="74"/>
      <c r="AA50" s="73"/>
      <c r="AB50" s="74"/>
      <c r="AC50" s="74"/>
      <c r="AD50" s="74"/>
      <c r="AE50" s="74"/>
      <c r="AF50" s="74"/>
      <c r="AG50" s="74"/>
      <c r="AH50" s="73"/>
      <c r="AI50" s="367"/>
      <c r="AJ50" s="368"/>
      <c r="AK50" s="368"/>
      <c r="AL50" s="368"/>
      <c r="AM50" s="368"/>
      <c r="AN50" s="368"/>
      <c r="AO50" s="368"/>
      <c r="AP50" s="368"/>
      <c r="AQ50" s="368"/>
      <c r="AR50" s="368"/>
      <c r="AS50" s="368"/>
      <c r="AT50" s="368"/>
      <c r="AU50" s="368"/>
      <c r="AV50" s="368"/>
      <c r="AW50" s="368"/>
      <c r="AX50" s="368"/>
      <c r="AY50" s="368"/>
      <c r="AZ50" s="193"/>
      <c r="BA50" s="196">
        <f t="shared" si="63"/>
        <v>0</v>
      </c>
      <c r="BB50" s="201">
        <f t="shared" si="64"/>
        <v>0</v>
      </c>
      <c r="BC50" s="201">
        <f t="shared" si="65"/>
        <v>0</v>
      </c>
      <c r="BD50" s="201">
        <f t="shared" si="66"/>
        <v>0</v>
      </c>
      <c r="BE50" s="201">
        <f t="shared" si="67"/>
        <v>0</v>
      </c>
      <c r="BF50" s="202">
        <f>(BB50*初始化表!E$17+BC50*初始化表!F$17+BD50*初始化表!G$17+BE50*初始化表!H$17)/1300</f>
        <v>0</v>
      </c>
      <c r="BG50" s="207">
        <f t="shared" si="68"/>
        <v>0</v>
      </c>
      <c r="BH50" s="207">
        <f t="shared" si="69"/>
        <v>0</v>
      </c>
      <c r="BI50" s="321">
        <f>$BI$51+MAX(0,第3期!BI50)-BF50</f>
        <v>0</v>
      </c>
      <c r="BJ50" s="201" t="str">
        <f t="shared" si="70"/>
        <v/>
      </c>
      <c r="BK50" s="201" t="str">
        <f t="shared" si="71"/>
        <v/>
      </c>
      <c r="BL50" s="203"/>
      <c r="BM50" s="203"/>
      <c r="BN50" s="203"/>
      <c r="BO50" s="203"/>
      <c r="BP50" s="203"/>
      <c r="BQ50" s="203"/>
      <c r="BR50" s="211"/>
      <c r="BS50" s="194" t="s">
        <v>569</v>
      </c>
      <c r="BT50" s="219" t="e">
        <f>SUM(AJ61:AJ80)/初始化表!$B5</f>
        <v>#DIV/0!</v>
      </c>
      <c r="BU50" s="219" t="e">
        <f>SUM(AK61:AK80)/初始化表!$B5</f>
        <v>#DIV/0!</v>
      </c>
      <c r="BV50" s="219" t="e">
        <f>SUM(AL61:AL80)/初始化表!$B5</f>
        <v>#DIV/0!</v>
      </c>
      <c r="BW50" s="219" t="e">
        <f>SUM(AM61:AM80)/初始化表!$B5</f>
        <v>#DIV/0!</v>
      </c>
      <c r="BX50" s="219" t="e">
        <f>SUM(AN61:AN80)/初始化表!$B5</f>
        <v>#DIV/0!</v>
      </c>
      <c r="BY50" s="219" t="e">
        <f>SUM(AO61:AO80)/初始化表!$B5</f>
        <v>#DIV/0!</v>
      </c>
      <c r="BZ50" s="219" t="e">
        <f>SUM(AP61:AP80)/初始化表!$B5</f>
        <v>#DIV/0!</v>
      </c>
      <c r="CA50" s="219" t="e">
        <f>SUM(AQ61:AQ80)/初始化表!$B5</f>
        <v>#DIV/0!</v>
      </c>
      <c r="CB50" s="219" t="e">
        <f>SUM(AR61:AR80)/初始化表!$B5</f>
        <v>#DIV/0!</v>
      </c>
      <c r="CC50" s="219" t="e">
        <f>SUM(AS61:AS80)/初始化表!$B5</f>
        <v>#DIV/0!</v>
      </c>
      <c r="CD50" s="219" t="e">
        <f>SUM(AT61:AT80)/初始化表!$B5</f>
        <v>#DIV/0!</v>
      </c>
      <c r="CE50" s="219" t="e">
        <f>SUM(AU61:AU80)/初始化表!$B5</f>
        <v>#DIV/0!</v>
      </c>
      <c r="CF50" s="219" t="e">
        <f>SUM(AV61:AV80)/初始化表!$B5</f>
        <v>#DIV/0!</v>
      </c>
      <c r="CG50" s="219" t="e">
        <f>SUM(AW61:AW80)/初始化表!$B5</f>
        <v>#DIV/0!</v>
      </c>
      <c r="CH50" s="219" t="e">
        <f>SUM(AX61:AX80)/初始化表!$B5</f>
        <v>#DIV/0!</v>
      </c>
      <c r="CI50" s="219" t="e">
        <f>SUM(AY61:AY80)/初始化表!$B5</f>
        <v>#DIV/0!</v>
      </c>
      <c r="CJ50" s="226"/>
      <c r="CK50" s="228"/>
      <c r="CL50" s="228"/>
      <c r="CM50" s="228"/>
      <c r="CN50" s="228"/>
      <c r="CO50" s="228"/>
      <c r="CP50" s="228"/>
      <c r="CQ50" s="228"/>
      <c r="CR50" s="228"/>
      <c r="CS50" s="228"/>
      <c r="CT50" s="228"/>
      <c r="CU50" s="228"/>
      <c r="CV50" s="228"/>
      <c r="CW50" s="228"/>
      <c r="CX50" s="228"/>
      <c r="CY50" s="228"/>
      <c r="CZ50" s="228"/>
      <c r="DA50" s="228"/>
      <c r="DB50" s="228"/>
      <c r="DC50" s="228"/>
      <c r="DD50" s="228"/>
      <c r="DE50" s="228"/>
      <c r="DF50" s="228"/>
      <c r="DG50" s="228"/>
      <c r="DH50" s="228"/>
      <c r="DI50" s="228"/>
      <c r="DJ50" s="228"/>
      <c r="DK50" s="228"/>
      <c r="DL50" s="228"/>
      <c r="DM50" s="228"/>
      <c r="DN50" s="228"/>
      <c r="DO50" s="228"/>
      <c r="DP50" s="228"/>
      <c r="DQ50" s="228"/>
    </row>
    <row r="51" s="61" customFormat="1" ht="16" customHeight="1" spans="1:121">
      <c r="A51" s="269" t="s">
        <v>380</v>
      </c>
      <c r="B51" s="270"/>
      <c r="C51" s="77" t="e">
        <f>-初始化表!H5*N49*初始化表!B8</f>
        <v>#DIV/0!</v>
      </c>
      <c r="D51" s="79"/>
      <c r="E51" s="79" t="e">
        <f>E50-C51</f>
        <v>#DIV/0!</v>
      </c>
      <c r="F51" s="79"/>
      <c r="G51" s="73"/>
      <c r="H51" s="269" t="s">
        <v>662</v>
      </c>
      <c r="I51" s="269" t="s">
        <v>521</v>
      </c>
      <c r="J51" s="269" t="s">
        <v>522</v>
      </c>
      <c r="K51" s="269" t="s">
        <v>523</v>
      </c>
      <c r="L51" s="269" t="s">
        <v>524</v>
      </c>
      <c r="M51" s="85"/>
      <c r="N51" s="74"/>
      <c r="O51" s="116" t="s">
        <v>296</v>
      </c>
      <c r="P51" s="79" t="e">
        <f>F64</f>
        <v>#DIV/0!</v>
      </c>
      <c r="Q51" s="147"/>
      <c r="R51" s="74"/>
      <c r="S51" s="74"/>
      <c r="T51" s="120"/>
      <c r="U51" s="269" t="s">
        <v>524</v>
      </c>
      <c r="V51" s="146">
        <f>IF(第2期!BN27=0,0,第3期!BN27/第2期!BN27)</f>
        <v>0</v>
      </c>
      <c r="W51" s="146">
        <f>IF(第2期!BO27=0,0,第3期!BO27/第2期!BO27)</f>
        <v>0</v>
      </c>
      <c r="X51" s="146">
        <f>IF(第2期!BP27=0,0,第3期!BP27/第2期!BP27)</f>
        <v>0</v>
      </c>
      <c r="Y51" s="146">
        <f>IF(第2期!BQ27=0,0,第3期!BQ27/第2期!BQ27)</f>
        <v>0</v>
      </c>
      <c r="Z51" s="74"/>
      <c r="AA51" s="73"/>
      <c r="AB51" s="74"/>
      <c r="AC51" s="74"/>
      <c r="AD51" s="74"/>
      <c r="AE51" s="74"/>
      <c r="AF51" s="74"/>
      <c r="AG51" s="74"/>
      <c r="AH51" s="73"/>
      <c r="AI51" s="367"/>
      <c r="AJ51" s="368"/>
      <c r="AK51" s="368"/>
      <c r="AL51" s="368"/>
      <c r="AM51" s="368"/>
      <c r="AN51" s="368"/>
      <c r="AO51" s="368"/>
      <c r="AP51" s="368"/>
      <c r="AQ51" s="368"/>
      <c r="AR51" s="368"/>
      <c r="AS51" s="368"/>
      <c r="AT51" s="368"/>
      <c r="AU51" s="368"/>
      <c r="AV51" s="368"/>
      <c r="AW51" s="368"/>
      <c r="AX51" s="368"/>
      <c r="AY51" s="368"/>
      <c r="AZ51" s="193"/>
      <c r="BA51" s="194" t="s">
        <v>664</v>
      </c>
      <c r="BB51" s="202" t="e">
        <f>SUM(BB31:BB50)/初始化表!$B$5</f>
        <v>#DIV/0!</v>
      </c>
      <c r="BC51" s="202" t="e">
        <f>SUM(BC31:BC50)/初始化表!$B$5</f>
        <v>#DIV/0!</v>
      </c>
      <c r="BD51" s="202" t="e">
        <f>SUM(BD31:BD50)/初始化表!$B$5</f>
        <v>#DIV/0!</v>
      </c>
      <c r="BE51" s="202" t="e">
        <f>SUM(BE31:BE50)/初始化表!$B$5</f>
        <v>#DIV/0!</v>
      </c>
      <c r="BF51" s="202" t="e">
        <f>SUM(BF31:BF50)/初始化表!$B$5</f>
        <v>#DIV/0!</v>
      </c>
      <c r="BG51" s="202" t="e">
        <f>SUM(BG31:BG50)/初始化表!$B$5</f>
        <v>#DIV/0!</v>
      </c>
      <c r="BH51" s="202" t="e">
        <f>SUM(AJ107:AJ126)/SUM(BF31:BF50)</f>
        <v>#DIV/0!</v>
      </c>
      <c r="BI51" s="208">
        <f>((INT(I52)-SUM(AQ9:AQ12))*初始化表!E17+(INT(J52)-SUM(AQ13:AQ16))*初始化表!F17+(INT(K52)-SUM(AQ17:AQ20))*初始化表!G17+(INT(L52)-SUM(AQ21:AQ24))*初始化表!H17)/1300</f>
        <v>0</v>
      </c>
      <c r="BJ51" s="201"/>
      <c r="BK51" s="201"/>
      <c r="BL51" s="203"/>
      <c r="BM51" s="203"/>
      <c r="BN51" s="203"/>
      <c r="BO51" s="203"/>
      <c r="BP51" s="203"/>
      <c r="BQ51" s="203"/>
      <c r="BR51" s="211"/>
      <c r="BS51" s="194" t="s">
        <v>570</v>
      </c>
      <c r="BT51" s="220" t="e">
        <f t="shared" ref="BT51:CI51" si="75">STDEV.P(AJ61:AJ80)</f>
        <v>#DIV/0!</v>
      </c>
      <c r="BU51" s="220" t="e">
        <f t="shared" si="75"/>
        <v>#DIV/0!</v>
      </c>
      <c r="BV51" s="220" t="e">
        <f t="shared" si="75"/>
        <v>#DIV/0!</v>
      </c>
      <c r="BW51" s="220" t="e">
        <f t="shared" si="75"/>
        <v>#DIV/0!</v>
      </c>
      <c r="BX51" s="220" t="e">
        <f t="shared" si="75"/>
        <v>#DIV/0!</v>
      </c>
      <c r="BY51" s="220" t="e">
        <f t="shared" si="75"/>
        <v>#DIV/0!</v>
      </c>
      <c r="BZ51" s="220" t="e">
        <f t="shared" si="75"/>
        <v>#DIV/0!</v>
      </c>
      <c r="CA51" s="220" t="e">
        <f t="shared" si="75"/>
        <v>#DIV/0!</v>
      </c>
      <c r="CB51" s="220" t="e">
        <f t="shared" si="75"/>
        <v>#DIV/0!</v>
      </c>
      <c r="CC51" s="220" t="e">
        <f t="shared" si="75"/>
        <v>#DIV/0!</v>
      </c>
      <c r="CD51" s="220" t="e">
        <f t="shared" si="75"/>
        <v>#DIV/0!</v>
      </c>
      <c r="CE51" s="220" t="e">
        <f t="shared" si="75"/>
        <v>#DIV/0!</v>
      </c>
      <c r="CF51" s="220" t="e">
        <f t="shared" si="75"/>
        <v>#DIV/0!</v>
      </c>
      <c r="CG51" s="220" t="e">
        <f t="shared" si="75"/>
        <v>#DIV/0!</v>
      </c>
      <c r="CH51" s="220" t="e">
        <f t="shared" si="75"/>
        <v>#DIV/0!</v>
      </c>
      <c r="CI51" s="220" t="e">
        <f t="shared" si="75"/>
        <v>#DIV/0!</v>
      </c>
      <c r="CJ51" s="226"/>
      <c r="CK51" s="228"/>
      <c r="CL51" s="228"/>
      <c r="CM51" s="228"/>
      <c r="CN51" s="228"/>
      <c r="CO51" s="228"/>
      <c r="CP51" s="228"/>
      <c r="CQ51" s="228"/>
      <c r="CR51" s="228"/>
      <c r="CS51" s="228"/>
      <c r="CT51" s="228"/>
      <c r="CU51" s="228"/>
      <c r="CV51" s="228"/>
      <c r="CW51" s="228"/>
      <c r="CX51" s="228"/>
      <c r="CY51" s="228"/>
      <c r="CZ51" s="228"/>
      <c r="DA51" s="228"/>
      <c r="DB51" s="228"/>
      <c r="DC51" s="228"/>
      <c r="DD51" s="228"/>
      <c r="DE51" s="228"/>
      <c r="DF51" s="228"/>
      <c r="DG51" s="228"/>
      <c r="DH51" s="228"/>
      <c r="DI51" s="228"/>
      <c r="DJ51" s="228"/>
      <c r="DK51" s="228"/>
      <c r="DL51" s="228"/>
      <c r="DM51" s="228"/>
      <c r="DN51" s="228"/>
      <c r="DO51" s="228"/>
      <c r="DP51" s="228"/>
      <c r="DQ51" s="228"/>
    </row>
    <row r="52" s="61" customFormat="1" ht="16" customHeight="1" spans="1:88">
      <c r="A52" s="269" t="s">
        <v>381</v>
      </c>
      <c r="B52" s="270"/>
      <c r="C52" s="77">
        <f>IF(AJ24="",0,SUM(AP9:AP12)*初始化表!E22+SUM(AP13:AP16)*初始化表!F22+SUM(AP17:AP20)*初始化表!G22+SUM(AP21:AP24)*初始化表!H22)-(SUM(V5:Z5,-I56)*初始化表!E22+SUM(V6:Z6,-J56)*初始化表!F22+SUM(V7:Z7,-K56)*初始化表!G22+SUM(V8:Z8,-L56)*初始化表!H22)</f>
        <v>0</v>
      </c>
      <c r="D52" s="79"/>
      <c r="E52" s="79" t="e">
        <f>E51-C52</f>
        <v>#DIV/0!</v>
      </c>
      <c r="F52" s="79"/>
      <c r="G52" s="73"/>
      <c r="H52" s="269" t="s">
        <v>665</v>
      </c>
      <c r="I52" s="77">
        <f>Z5+初始化表!B4*SUM(B17:E17)</f>
        <v>0</v>
      </c>
      <c r="J52" s="77">
        <f>Z6+初始化表!B4*SUM(B18:E18)</f>
        <v>0</v>
      </c>
      <c r="K52" s="77">
        <f>Z7+初始化表!B4*SUM(B19:E19)</f>
        <v>0</v>
      </c>
      <c r="L52" s="77">
        <f>Z8+初始化表!B4*SUM(B20:E20)</f>
        <v>0</v>
      </c>
      <c r="M52" s="85"/>
      <c r="N52" s="74"/>
      <c r="O52" s="74"/>
      <c r="P52" s="74"/>
      <c r="Q52" s="74"/>
      <c r="R52" s="74"/>
      <c r="S52" s="74"/>
      <c r="T52" s="120"/>
      <c r="U52" s="396"/>
      <c r="V52" s="420"/>
      <c r="W52" s="420"/>
      <c r="X52" s="420"/>
      <c r="Y52" s="420"/>
      <c r="Z52" s="74"/>
      <c r="AA52" s="73"/>
      <c r="AB52" s="74"/>
      <c r="AC52" s="74"/>
      <c r="AD52" s="74"/>
      <c r="AE52" s="74"/>
      <c r="AF52" s="74"/>
      <c r="AG52" s="74"/>
      <c r="AH52" s="73"/>
      <c r="AI52" s="367"/>
      <c r="AJ52" s="368"/>
      <c r="AK52" s="368"/>
      <c r="AL52" s="368"/>
      <c r="AM52" s="368"/>
      <c r="AN52" s="368"/>
      <c r="AO52" s="368"/>
      <c r="AP52" s="368"/>
      <c r="AQ52" s="368"/>
      <c r="AR52" s="368"/>
      <c r="AS52" s="368"/>
      <c r="AT52" s="368"/>
      <c r="AU52" s="368"/>
      <c r="AV52" s="368"/>
      <c r="AW52" s="368"/>
      <c r="AX52" s="368"/>
      <c r="AY52" s="368"/>
      <c r="AZ52" s="193"/>
      <c r="BA52" s="203"/>
      <c r="BB52" s="203"/>
      <c r="BC52" s="203"/>
      <c r="BD52" s="203"/>
      <c r="BE52" s="203"/>
      <c r="BF52" s="203"/>
      <c r="BG52" s="203"/>
      <c r="BH52" s="203"/>
      <c r="BI52" s="203"/>
      <c r="BJ52" s="203"/>
      <c r="BK52" s="203"/>
      <c r="BL52" s="203"/>
      <c r="BM52" s="203"/>
      <c r="BN52" s="203"/>
      <c r="BO52" s="203"/>
      <c r="BP52" s="203"/>
      <c r="BQ52" s="203"/>
      <c r="BR52" s="211"/>
      <c r="BS52" s="211"/>
      <c r="BT52" s="211"/>
      <c r="BU52" s="211"/>
      <c r="BV52" s="211"/>
      <c r="BW52" s="211"/>
      <c r="BX52" s="211"/>
      <c r="BY52" s="211"/>
      <c r="BZ52" s="211"/>
      <c r="CA52" s="211"/>
      <c r="CB52" s="211"/>
      <c r="CC52" s="211"/>
      <c r="CD52" s="211"/>
      <c r="CE52" s="211"/>
      <c r="CF52" s="211"/>
      <c r="CG52" s="211"/>
      <c r="CH52" s="211"/>
      <c r="CI52" s="211"/>
      <c r="CJ52" s="62"/>
    </row>
    <row r="53" s="61" customFormat="1" ht="16" customHeight="1" spans="1:88">
      <c r="A53" s="269" t="s">
        <v>382</v>
      </c>
      <c r="B53" s="270"/>
      <c r="C53" s="77">
        <f>-(H43+L43)/2*初始化表!B7</f>
        <v>0</v>
      </c>
      <c r="D53" s="79"/>
      <c r="E53" s="79" t="e">
        <f>E52-C53</f>
        <v>#DIV/0!</v>
      </c>
      <c r="F53" s="79" t="e">
        <f>F50+C53</f>
        <v>#DIV/0!</v>
      </c>
      <c r="G53" s="73"/>
      <c r="H53" s="269" t="s">
        <v>671</v>
      </c>
      <c r="I53" s="269" t="s">
        <v>521</v>
      </c>
      <c r="J53" s="269" t="s">
        <v>522</v>
      </c>
      <c r="K53" s="269" t="s">
        <v>523</v>
      </c>
      <c r="L53" s="269" t="s">
        <v>524</v>
      </c>
      <c r="M53" s="85"/>
      <c r="N53" s="74"/>
      <c r="O53" s="74"/>
      <c r="P53" s="74"/>
      <c r="Q53" s="74"/>
      <c r="R53" s="74"/>
      <c r="S53" s="74"/>
      <c r="T53" s="120"/>
      <c r="U53" s="269" t="s">
        <v>731</v>
      </c>
      <c r="V53" s="339" t="s">
        <v>513</v>
      </c>
      <c r="W53" s="339" t="s">
        <v>514</v>
      </c>
      <c r="X53" s="339" t="s">
        <v>515</v>
      </c>
      <c r="Y53" s="339" t="s">
        <v>516</v>
      </c>
      <c r="Z53" s="74"/>
      <c r="AA53" s="269" t="s">
        <v>743</v>
      </c>
      <c r="AB53" s="339" t="s">
        <v>513</v>
      </c>
      <c r="AC53" s="339" t="s">
        <v>514</v>
      </c>
      <c r="AD53" s="339" t="s">
        <v>515</v>
      </c>
      <c r="AE53" s="339" t="s">
        <v>516</v>
      </c>
      <c r="AF53" s="74"/>
      <c r="AG53" s="74"/>
      <c r="AH53" s="73"/>
      <c r="AI53" s="367"/>
      <c r="AJ53" s="368"/>
      <c r="AK53" s="368"/>
      <c r="AL53" s="368"/>
      <c r="AM53" s="368"/>
      <c r="AN53" s="368"/>
      <c r="AO53" s="368"/>
      <c r="AP53" s="368"/>
      <c r="AQ53" s="368"/>
      <c r="AR53" s="368"/>
      <c r="AS53" s="368"/>
      <c r="AT53" s="368"/>
      <c r="AU53" s="368"/>
      <c r="AV53" s="368"/>
      <c r="AW53" s="368"/>
      <c r="AX53" s="368"/>
      <c r="AY53" s="368"/>
      <c r="AZ53" s="193"/>
      <c r="BA53" s="194" t="s">
        <v>37</v>
      </c>
      <c r="BB53" s="194" t="s">
        <v>674</v>
      </c>
      <c r="BC53" s="204"/>
      <c r="BD53" s="194" t="s">
        <v>675</v>
      </c>
      <c r="BE53" s="194" t="s">
        <v>198</v>
      </c>
      <c r="BF53" s="194" t="s">
        <v>202</v>
      </c>
      <c r="BG53" s="194" t="s">
        <v>206</v>
      </c>
      <c r="BH53" s="194" t="s">
        <v>208</v>
      </c>
      <c r="BI53" s="203"/>
      <c r="BJ53" s="203"/>
      <c r="BK53" s="203"/>
      <c r="BL53" s="203"/>
      <c r="BM53" s="203"/>
      <c r="BN53" s="203"/>
      <c r="BO53" s="203"/>
      <c r="BP53" s="203"/>
      <c r="BQ53" s="203"/>
      <c r="BR53" s="211"/>
      <c r="BS53" s="211"/>
      <c r="BT53" s="211"/>
      <c r="BU53" s="211"/>
      <c r="BV53" s="211"/>
      <c r="BW53" s="211"/>
      <c r="BX53" s="211"/>
      <c r="BY53" s="211"/>
      <c r="BZ53" s="211"/>
      <c r="CA53" s="211"/>
      <c r="CB53" s="211"/>
      <c r="CC53" s="211"/>
      <c r="CD53" s="211"/>
      <c r="CE53" s="211"/>
      <c r="CF53" s="211"/>
      <c r="CG53" s="211"/>
      <c r="CH53" s="211"/>
      <c r="CI53" s="211"/>
      <c r="CJ53" s="62"/>
    </row>
    <row r="54" s="61" customFormat="1" ht="16" customHeight="1" spans="1:88">
      <c r="A54" s="269" t="s">
        <v>383</v>
      </c>
      <c r="B54" s="270"/>
      <c r="C54" s="77">
        <f>-(SUM(V5:Z5,I56)/2*初始化表!E5+SUM(V6:Z6,J56)/2*初始化表!E6+SUM(V7:Z7,K56)/2*初始化表!E7+SUM(V8:Z8,L56)/2*初始化表!E8+IF(AJ24="",0,(SUM(AP9:AP12)*初始化表!E5+SUM(AP13:AP16)*初始化表!E6+SUM(AP17:AP20)*初始化表!E7+SUM(AP21:AP24)*初始化表!E8)/2))</f>
        <v>0</v>
      </c>
      <c r="D54" s="79"/>
      <c r="E54" s="79" t="e">
        <f>E53-C54</f>
        <v>#DIV/0!</v>
      </c>
      <c r="F54" s="79" t="e">
        <f t="shared" ref="F54:F64" si="76">F53+C54</f>
        <v>#DIV/0!</v>
      </c>
      <c r="G54" s="73"/>
      <c r="H54" s="269" t="s">
        <v>665</v>
      </c>
      <c r="I54" s="82">
        <f>INT(I52)-SUM(B12:E12)</f>
        <v>0</v>
      </c>
      <c r="J54" s="82">
        <f>INT(J52)-SUM(B13:E13)</f>
        <v>0</v>
      </c>
      <c r="K54" s="82">
        <f>INT(K52)-SUM(B14:E14)</f>
        <v>0</v>
      </c>
      <c r="L54" s="82">
        <f>INT(L52)-SUM(B15:E15)</f>
        <v>0</v>
      </c>
      <c r="M54" s="85"/>
      <c r="N54" s="74"/>
      <c r="O54" s="74"/>
      <c r="P54" s="131"/>
      <c r="Q54" s="74"/>
      <c r="R54" s="74"/>
      <c r="S54" s="74"/>
      <c r="T54" s="120"/>
      <c r="U54" s="269" t="s">
        <v>521</v>
      </c>
      <c r="V54" s="146">
        <f>IF(第2期!BB28=0,0,第3期!BB28/第2期!BB28)</f>
        <v>0</v>
      </c>
      <c r="W54" s="146">
        <f>IF(第2期!BC28=0,0,第3期!BC28/第2期!BC28)</f>
        <v>0</v>
      </c>
      <c r="X54" s="146">
        <f>IF(第2期!BD28=0,0,第3期!BD28/第2期!BD28)</f>
        <v>0</v>
      </c>
      <c r="Y54" s="146">
        <f>IF(第2期!BE28=0,0,第3期!BE28/第2期!BE28)</f>
        <v>0</v>
      </c>
      <c r="Z54" s="74"/>
      <c r="AA54" s="269" t="s">
        <v>521</v>
      </c>
      <c r="AB54" s="150">
        <f>IF(第2期!BB28=0,0,(第3期!BB28-第2期!BB28)/20)</f>
        <v>0</v>
      </c>
      <c r="AC54" s="150">
        <f>IF(第2期!BC28=0,0,(第3期!BC28-第2期!BC28)/20)</f>
        <v>0</v>
      </c>
      <c r="AD54" s="150">
        <f>IF(第2期!BD28=0,0,(第3期!BD28-第2期!BD28)/20)</f>
        <v>0</v>
      </c>
      <c r="AE54" s="150">
        <f>IF(第2期!BE28=0,0,(第3期!BE28-第2期!BE28)/20)</f>
        <v>0</v>
      </c>
      <c r="AF54" s="74"/>
      <c r="AG54" s="74"/>
      <c r="AH54" s="73"/>
      <c r="AI54" s="367"/>
      <c r="AJ54" s="368"/>
      <c r="AK54" s="368"/>
      <c r="AL54" s="368"/>
      <c r="AM54" s="368"/>
      <c r="AN54" s="368"/>
      <c r="AO54" s="368"/>
      <c r="AP54" s="368"/>
      <c r="AQ54" s="368"/>
      <c r="AR54" s="368"/>
      <c r="AS54" s="368"/>
      <c r="AT54" s="368"/>
      <c r="AU54" s="368"/>
      <c r="AV54" s="368"/>
      <c r="AW54" s="368"/>
      <c r="AX54" s="368"/>
      <c r="AY54" s="368"/>
      <c r="AZ54" s="193"/>
      <c r="BA54" s="195">
        <f t="shared" ref="BA54:BA73" si="77">BA31</f>
        <v>0</v>
      </c>
      <c r="BB54" s="205">
        <f>IF(BT5=1,AL107/(第3期!AP107/2+AP107),0)</f>
        <v>0</v>
      </c>
      <c r="BC54" s="203"/>
      <c r="BD54" s="194">
        <f>BA54</f>
        <v>0</v>
      </c>
      <c r="BE54" s="209" t="e">
        <f>BB31/$BE$31</f>
        <v>#DIV/0!</v>
      </c>
      <c r="BF54" s="209" t="e">
        <f>BC31/$BE$31</f>
        <v>#DIV/0!</v>
      </c>
      <c r="BG54" s="209" t="e">
        <f>BD31/$BE$31</f>
        <v>#DIV/0!</v>
      </c>
      <c r="BH54" s="209">
        <v>1</v>
      </c>
      <c r="BI54" s="203"/>
      <c r="BJ54" s="203"/>
      <c r="BK54" s="203"/>
      <c r="BL54" s="203"/>
      <c r="BM54" s="203"/>
      <c r="BN54" s="203"/>
      <c r="BO54" s="203"/>
      <c r="BP54" s="203"/>
      <c r="BQ54" s="203"/>
      <c r="BR54" s="211"/>
      <c r="BS54" s="211"/>
      <c r="BT54" s="211"/>
      <c r="BU54" s="211"/>
      <c r="BV54" s="211"/>
      <c r="BW54" s="211"/>
      <c r="BX54" s="211"/>
      <c r="BY54" s="211"/>
      <c r="BZ54" s="211"/>
      <c r="CA54" s="211"/>
      <c r="CB54" s="211"/>
      <c r="CC54" s="211"/>
      <c r="CD54" s="211"/>
      <c r="CE54" s="211"/>
      <c r="CF54" s="211"/>
      <c r="CG54" s="211"/>
      <c r="CH54" s="211"/>
      <c r="CI54" s="211"/>
      <c r="CJ54" s="62"/>
    </row>
    <row r="55" s="61" customFormat="1" ht="16" customHeight="1" spans="1:88">
      <c r="A55" s="269" t="s">
        <v>384</v>
      </c>
      <c r="B55" s="270"/>
      <c r="C55" s="77">
        <f>N37</f>
        <v>0</v>
      </c>
      <c r="D55" s="79"/>
      <c r="E55" s="79"/>
      <c r="F55" s="79" t="e">
        <f t="shared" si="76"/>
        <v>#DIV/0!</v>
      </c>
      <c r="G55" s="73"/>
      <c r="H55" s="269" t="s">
        <v>677</v>
      </c>
      <c r="I55" s="269" t="s">
        <v>521</v>
      </c>
      <c r="J55" s="269" t="s">
        <v>522</v>
      </c>
      <c r="K55" s="269" t="s">
        <v>523</v>
      </c>
      <c r="L55" s="269" t="s">
        <v>524</v>
      </c>
      <c r="M55" s="85"/>
      <c r="N55" s="91"/>
      <c r="O55" s="74"/>
      <c r="P55" s="74"/>
      <c r="Q55" s="74"/>
      <c r="R55" s="74"/>
      <c r="S55" s="74"/>
      <c r="T55" s="120"/>
      <c r="U55" s="269" t="s">
        <v>522</v>
      </c>
      <c r="V55" s="146">
        <f>IF(第2期!BF28=0,0,第3期!BF28/第2期!BF28)</f>
        <v>0</v>
      </c>
      <c r="W55" s="146">
        <f>IF(第2期!BG28=0,0,第3期!BG28/第2期!BG28)</f>
        <v>0</v>
      </c>
      <c r="X55" s="146">
        <f>IF(第2期!BH28=0,0,第3期!BH28/第2期!BH28)</f>
        <v>0</v>
      </c>
      <c r="Y55" s="146">
        <f>IF(第2期!BI28=0,0,第3期!BI28/第2期!BI28)</f>
        <v>0</v>
      </c>
      <c r="Z55" s="74"/>
      <c r="AA55" s="269" t="s">
        <v>522</v>
      </c>
      <c r="AB55" s="150">
        <f>IF(第2期!BF28=0,0,(第3期!BF28-第2期!BF28)/20)</f>
        <v>0</v>
      </c>
      <c r="AC55" s="150">
        <f>IF(第2期!BG28=0,0,(第3期!BG28-第2期!BG28)/20)</f>
        <v>0</v>
      </c>
      <c r="AD55" s="150">
        <f>IF(第2期!BH28=0,0,(第3期!BH28-第2期!BH28)/20)</f>
        <v>0</v>
      </c>
      <c r="AE55" s="150">
        <f>IF(第2期!BI28=0,0,(第3期!BI28-第2期!BI28)/20)</f>
        <v>0</v>
      </c>
      <c r="AF55" s="74"/>
      <c r="AG55" s="74"/>
      <c r="AH55" s="73"/>
      <c r="AI55" s="367"/>
      <c r="AJ55" s="368"/>
      <c r="AK55" s="368"/>
      <c r="AL55" s="368"/>
      <c r="AM55" s="368"/>
      <c r="AN55" s="368"/>
      <c r="AO55" s="368"/>
      <c r="AP55" s="368"/>
      <c r="AQ55" s="368"/>
      <c r="AR55" s="368"/>
      <c r="AS55" s="368"/>
      <c r="AT55" s="368"/>
      <c r="AU55" s="368"/>
      <c r="AV55" s="368"/>
      <c r="AW55" s="368"/>
      <c r="AX55" s="368"/>
      <c r="AY55" s="368"/>
      <c r="AZ55" s="193"/>
      <c r="BA55" s="195">
        <f t="shared" si="77"/>
        <v>0</v>
      </c>
      <c r="BB55" s="205">
        <f>IF(BT6=1,AL108/(第3期!AP108/2+AP108),0)</f>
        <v>0</v>
      </c>
      <c r="BC55" s="203"/>
      <c r="BD55" s="194">
        <f t="shared" ref="BD55:BD73" si="78">BA55</f>
        <v>0</v>
      </c>
      <c r="BE55" s="209" t="e">
        <f t="shared" ref="BE55:BH70" si="79">BB32/$BE$31</f>
        <v>#DIV/0!</v>
      </c>
      <c r="BF55" s="209" t="e">
        <f t="shared" si="79"/>
        <v>#DIV/0!</v>
      </c>
      <c r="BG55" s="209" t="e">
        <f t="shared" si="79"/>
        <v>#DIV/0!</v>
      </c>
      <c r="BH55" s="209" t="e">
        <f t="shared" ref="BH55:BH60" si="80">BE32/$BE$31</f>
        <v>#DIV/0!</v>
      </c>
      <c r="BI55" s="203"/>
      <c r="BJ55" s="203"/>
      <c r="BK55" s="203"/>
      <c r="BL55" s="203"/>
      <c r="BM55" s="203"/>
      <c r="BN55" s="203"/>
      <c r="BO55" s="203"/>
      <c r="BP55" s="203"/>
      <c r="BQ55" s="203"/>
      <c r="BR55" s="211"/>
      <c r="BS55" s="211"/>
      <c r="BT55" s="211"/>
      <c r="BU55" s="211"/>
      <c r="BV55" s="211"/>
      <c r="BW55" s="211"/>
      <c r="BX55" s="211"/>
      <c r="BY55" s="211"/>
      <c r="BZ55" s="211"/>
      <c r="CA55" s="211"/>
      <c r="CB55" s="211"/>
      <c r="CC55" s="211"/>
      <c r="CD55" s="211"/>
      <c r="CE55" s="211"/>
      <c r="CF55" s="211"/>
      <c r="CG55" s="211"/>
      <c r="CH55" s="211"/>
      <c r="CI55" s="211"/>
      <c r="CJ55" s="62"/>
    </row>
    <row r="56" s="61" customFormat="1" ht="16" customHeight="1" spans="1:88">
      <c r="A56" s="269" t="s">
        <v>385</v>
      </c>
      <c r="B56" s="270"/>
      <c r="C56" s="77">
        <f>N37*初始化表!B23/4</f>
        <v>0</v>
      </c>
      <c r="D56" s="79" t="e">
        <f>D49+C56</f>
        <v>#DIV/0!</v>
      </c>
      <c r="E56" s="79"/>
      <c r="F56" s="79" t="e">
        <f t="shared" si="76"/>
        <v>#DIV/0!</v>
      </c>
      <c r="G56" s="73"/>
      <c r="H56" s="269" t="s">
        <v>665</v>
      </c>
      <c r="I56" s="77">
        <f>SUM(B17:E17)+Z5-SUM(B12:E12)</f>
        <v>0</v>
      </c>
      <c r="J56" s="77">
        <f>SUM(B18:E18)+Z6-SUM(B13:E13)</f>
        <v>0</v>
      </c>
      <c r="K56" s="77">
        <f>SUM(B19:E19)+Z7-SUM(B14:E14)</f>
        <v>0</v>
      </c>
      <c r="L56" s="77">
        <f>SUM(B20:E20)+Z8-SUM(B15:E15)</f>
        <v>0</v>
      </c>
      <c r="M56" s="85"/>
      <c r="N56" s="74"/>
      <c r="O56" s="74"/>
      <c r="P56" s="74"/>
      <c r="Q56" s="74"/>
      <c r="R56" s="74"/>
      <c r="S56" s="74"/>
      <c r="T56" s="120"/>
      <c r="U56" s="269" t="s">
        <v>523</v>
      </c>
      <c r="V56" s="146">
        <f>IF(第2期!BJ28=0,0,第3期!BJ28/第2期!BJ28)</f>
        <v>0</v>
      </c>
      <c r="W56" s="146">
        <f>IF(第2期!BK28=0,0,第3期!BK28/第2期!BK28)</f>
        <v>0</v>
      </c>
      <c r="X56" s="146">
        <f>IF(第2期!BL28=0,0,第3期!BL28/第2期!BL28)</f>
        <v>0</v>
      </c>
      <c r="Y56" s="146">
        <f>IF(第2期!BM28=0,0,第3期!BM28/第2期!BM28)</f>
        <v>0</v>
      </c>
      <c r="Z56" s="74"/>
      <c r="AA56" s="269" t="s">
        <v>523</v>
      </c>
      <c r="AB56" s="150">
        <f>IF(第2期!BJ28=0,0,(第3期!BJ28-第2期!BJ28)/20)</f>
        <v>0</v>
      </c>
      <c r="AC56" s="150">
        <f>IF(第2期!BK28=0,0,(第3期!BK28-第2期!BK28)/20)</f>
        <v>0</v>
      </c>
      <c r="AD56" s="150">
        <f>IF(第2期!BL28=0,0,(第3期!BL28-第2期!BL28)/20)</f>
        <v>0</v>
      </c>
      <c r="AE56" s="150">
        <f>IF(第2期!BM28=0,0,(第3期!BM28-第2期!BM28)/20)</f>
        <v>0</v>
      </c>
      <c r="AF56" s="74"/>
      <c r="AG56" s="74"/>
      <c r="AH56" s="73"/>
      <c r="AI56" s="367"/>
      <c r="AJ56" s="368"/>
      <c r="AK56" s="368"/>
      <c r="AL56" s="368"/>
      <c r="AM56" s="368"/>
      <c r="AN56" s="368"/>
      <c r="AO56" s="368"/>
      <c r="AP56" s="368"/>
      <c r="AQ56" s="368"/>
      <c r="AR56" s="368"/>
      <c r="AS56" s="368"/>
      <c r="AT56" s="368"/>
      <c r="AU56" s="368"/>
      <c r="AV56" s="368"/>
      <c r="AW56" s="368"/>
      <c r="AX56" s="368"/>
      <c r="AY56" s="368"/>
      <c r="AZ56" s="193"/>
      <c r="BA56" s="195">
        <f t="shared" si="77"/>
        <v>0</v>
      </c>
      <c r="BB56" s="205">
        <f>IF(BT7=1,AL109/(第3期!AP109/2+AP109),0)</f>
        <v>0</v>
      </c>
      <c r="BC56" s="203"/>
      <c r="BD56" s="194">
        <f t="shared" si="78"/>
        <v>0</v>
      </c>
      <c r="BE56" s="209" t="e">
        <f t="shared" si="79"/>
        <v>#DIV/0!</v>
      </c>
      <c r="BF56" s="209" t="e">
        <f t="shared" si="79"/>
        <v>#DIV/0!</v>
      </c>
      <c r="BG56" s="209" t="e">
        <f t="shared" si="79"/>
        <v>#DIV/0!</v>
      </c>
      <c r="BH56" s="209" t="e">
        <f t="shared" si="80"/>
        <v>#DIV/0!</v>
      </c>
      <c r="BI56" s="203"/>
      <c r="BJ56" s="203"/>
      <c r="BK56" s="203"/>
      <c r="BL56" s="203"/>
      <c r="BM56" s="203"/>
      <c r="BN56" s="203"/>
      <c r="BO56" s="203"/>
      <c r="BP56" s="203"/>
      <c r="BQ56" s="203"/>
      <c r="BR56" s="211"/>
      <c r="BS56" s="211"/>
      <c r="BT56" s="211"/>
      <c r="BU56" s="211"/>
      <c r="BV56" s="211"/>
      <c r="BW56" s="211"/>
      <c r="BX56" s="211"/>
      <c r="BY56" s="211"/>
      <c r="BZ56" s="211"/>
      <c r="CA56" s="211"/>
      <c r="CB56" s="211"/>
      <c r="CC56" s="211"/>
      <c r="CD56" s="211"/>
      <c r="CE56" s="211"/>
      <c r="CF56" s="211"/>
      <c r="CG56" s="211"/>
      <c r="CH56" s="211"/>
      <c r="CI56" s="211"/>
      <c r="CJ56" s="62"/>
    </row>
    <row r="57" s="61" customFormat="1" ht="16" customHeight="1" spans="1:88">
      <c r="A57" s="269" t="s">
        <v>386</v>
      </c>
      <c r="B57" s="270"/>
      <c r="C57" s="77">
        <f>-B24</f>
        <v>0</v>
      </c>
      <c r="D57" s="79"/>
      <c r="E57" s="79"/>
      <c r="F57" s="79" t="e">
        <f t="shared" si="76"/>
        <v>#DIV/0!</v>
      </c>
      <c r="G57" s="73"/>
      <c r="H57" s="269" t="s">
        <v>680</v>
      </c>
      <c r="I57" s="269" t="s">
        <v>513</v>
      </c>
      <c r="J57" s="269" t="s">
        <v>514</v>
      </c>
      <c r="K57" s="269" t="s">
        <v>515</v>
      </c>
      <c r="L57" s="269" t="s">
        <v>516</v>
      </c>
      <c r="M57" s="85"/>
      <c r="N57" s="74"/>
      <c r="O57" s="74"/>
      <c r="P57" s="74"/>
      <c r="Q57" s="74"/>
      <c r="R57" s="74"/>
      <c r="S57" s="74"/>
      <c r="T57" s="120"/>
      <c r="U57" s="269" t="s">
        <v>524</v>
      </c>
      <c r="V57" s="146">
        <f>IF(第2期!BN28=0,0,第3期!BN28/第2期!BN28)</f>
        <v>0</v>
      </c>
      <c r="W57" s="146">
        <f>IF(第2期!BO28=0,0,第3期!BO28/第2期!BO28)</f>
        <v>0</v>
      </c>
      <c r="X57" s="146">
        <f>IF(第2期!BP28=0,0,第3期!BP28/第2期!BP28)</f>
        <v>0</v>
      </c>
      <c r="Y57" s="146">
        <f>IF(第2期!BQ28=0,0,第3期!BQ28/第2期!BQ28)</f>
        <v>0</v>
      </c>
      <c r="Z57" s="74"/>
      <c r="AA57" s="269" t="s">
        <v>524</v>
      </c>
      <c r="AB57" s="150">
        <f>IF(第2期!BN28=0,0,(第3期!BN28-第2期!BN28)/20)</f>
        <v>0</v>
      </c>
      <c r="AC57" s="150">
        <f>IF(第2期!BO28=0,0,(第3期!BO28-第2期!BO28)/20)</f>
        <v>0</v>
      </c>
      <c r="AD57" s="150">
        <f>IF(第2期!BP28=0,0,(第3期!BP28-第2期!BP28)/20)</f>
        <v>0</v>
      </c>
      <c r="AE57" s="150">
        <f>IF(第2期!BQ28=0,0,(第3期!BQ28-第2期!BQ28)/20)</f>
        <v>0</v>
      </c>
      <c r="AF57" s="74"/>
      <c r="AG57" s="74"/>
      <c r="AH57" s="73"/>
      <c r="AI57" s="179" t="s">
        <v>681</v>
      </c>
      <c r="AJ57" s="180">
        <f>IF(AJ37="",0,SUM(AJ37:AJ56)/TEXT(COUNTA(AJ37:AJ56),"0;;"))</f>
        <v>0</v>
      </c>
      <c r="AK57" s="180">
        <f t="shared" ref="AK57:AY57" si="81">IF(AK37="",0,SUM(AK37:AK56)/TEXT(COUNTA(AK37:AK56),"0;;"))</f>
        <v>0</v>
      </c>
      <c r="AL57" s="180">
        <f t="shared" si="81"/>
        <v>0</v>
      </c>
      <c r="AM57" s="180">
        <f t="shared" si="81"/>
        <v>0</v>
      </c>
      <c r="AN57" s="180">
        <f t="shared" si="81"/>
        <v>0</v>
      </c>
      <c r="AO57" s="180">
        <f t="shared" si="81"/>
        <v>0</v>
      </c>
      <c r="AP57" s="180">
        <f t="shared" si="81"/>
        <v>0</v>
      </c>
      <c r="AQ57" s="180">
        <f t="shared" si="81"/>
        <v>0</v>
      </c>
      <c r="AR57" s="180">
        <f t="shared" si="81"/>
        <v>0</v>
      </c>
      <c r="AS57" s="180">
        <f t="shared" si="81"/>
        <v>0</v>
      </c>
      <c r="AT57" s="180">
        <f t="shared" si="81"/>
        <v>0</v>
      </c>
      <c r="AU57" s="180">
        <f t="shared" si="81"/>
        <v>0</v>
      </c>
      <c r="AV57" s="180">
        <f t="shared" si="81"/>
        <v>0</v>
      </c>
      <c r="AW57" s="180">
        <f t="shared" si="81"/>
        <v>0</v>
      </c>
      <c r="AX57" s="180">
        <f t="shared" si="81"/>
        <v>0</v>
      </c>
      <c r="AY57" s="180">
        <f t="shared" si="81"/>
        <v>0</v>
      </c>
      <c r="AZ57" s="193"/>
      <c r="BA57" s="195">
        <f t="shared" si="77"/>
        <v>0</v>
      </c>
      <c r="BB57" s="205">
        <f>IF(BT8=1,AL110/(第3期!AP110/2+AP110),0)</f>
        <v>0</v>
      </c>
      <c r="BC57" s="203"/>
      <c r="BD57" s="194">
        <f t="shared" si="78"/>
        <v>0</v>
      </c>
      <c r="BE57" s="209" t="e">
        <f t="shared" si="79"/>
        <v>#DIV/0!</v>
      </c>
      <c r="BF57" s="209" t="e">
        <f t="shared" si="79"/>
        <v>#DIV/0!</v>
      </c>
      <c r="BG57" s="209" t="e">
        <f t="shared" si="79"/>
        <v>#DIV/0!</v>
      </c>
      <c r="BH57" s="209" t="e">
        <f t="shared" si="80"/>
        <v>#DIV/0!</v>
      </c>
      <c r="BI57" s="203"/>
      <c r="BJ57" s="203"/>
      <c r="BK57" s="203"/>
      <c r="BL57" s="203"/>
      <c r="BM57" s="203"/>
      <c r="BN57" s="203"/>
      <c r="BO57" s="203"/>
      <c r="BP57" s="203"/>
      <c r="BQ57" s="203"/>
      <c r="BR57" s="211"/>
      <c r="BS57" s="211"/>
      <c r="BT57" s="211"/>
      <c r="BU57" s="211"/>
      <c r="BV57" s="211"/>
      <c r="BW57" s="211"/>
      <c r="BX57" s="211"/>
      <c r="BY57" s="211"/>
      <c r="BZ57" s="211"/>
      <c r="CA57" s="211"/>
      <c r="CB57" s="211"/>
      <c r="CC57" s="211"/>
      <c r="CD57" s="211"/>
      <c r="CE57" s="211"/>
      <c r="CF57" s="211"/>
      <c r="CG57" s="211"/>
      <c r="CH57" s="211"/>
      <c r="CI57" s="211"/>
      <c r="CJ57" s="62"/>
    </row>
    <row r="58" s="61" customFormat="1" ht="16" customHeight="1" spans="1:88">
      <c r="A58" s="269" t="s">
        <v>387</v>
      </c>
      <c r="B58" s="270"/>
      <c r="C58" s="77">
        <f>-B24*初始化表!B22/4</f>
        <v>0</v>
      </c>
      <c r="D58" s="79"/>
      <c r="E58" s="79" t="e">
        <f>E54-C58</f>
        <v>#DIV/0!</v>
      </c>
      <c r="F58" s="79" t="e">
        <f t="shared" si="76"/>
        <v>#DIV/0!</v>
      </c>
      <c r="G58" s="73"/>
      <c r="H58" s="269" t="s">
        <v>521</v>
      </c>
      <c r="I58" s="77">
        <f>INT(IF($F$24=1,IF(MOD(($I52+SUM($V5:$Y5)-SUM($V11:$Y11))*I47/SUM($I47:$L47)-V5+V11-9,20)&gt;11,(($I52+SUM($V5:$Y5)-SUM($V11:$Y11))*I47/SUM($I47:$L47)-V5+V11),(($I52+SUM($V5:$Y5)-SUM($V11:$Y11))*I47/SUM($I47:$L47)-V5+V11)-MOD(($I52+SUM($V5:$Y5)-SUM($V11:$Y11))*I47/SUM($I47:$L47)-V5+V11-9,20)),($I52+SUM($V5:$Y5)-SUM($V11:$Y11))*I47/SUM($I47:$L47)-V5+V11))</f>
        <v>-11</v>
      </c>
      <c r="J58" s="77">
        <f>INT(IF($F$24=1,IF(MOD(($I52+SUM($V5:$Y5)-SUM($V11:$Y11))*J47/SUM($I47:$L47)-W5+W11-9,20)&gt;11,(($I52+SUM($V5:$Y5)-SUM($V11:$Y11))*J47/SUM($I47:$L47)-W5+W11),(($I52+SUM($V5:$Y5)-SUM($V11:$Y11))*J47/SUM($I47:$L47)-W5+W11)-MOD(($I52+SUM($V5:$Y5)-SUM($V11:$Y11))*J47/SUM($I47:$L47)-W5+W11-9,20)),($I52+SUM($V5:$Y5)-SUM($V11:$Y11))*J47/SUM($I47:$L47)-W5+W11))</f>
        <v>-11</v>
      </c>
      <c r="K58" s="77">
        <f>INT(IF($F$24=1,IF(MOD(($I52+SUM($V5:$Y5)-SUM($V11:$Y11))*K47/SUM($I47:$L47)-X5+X11-9,20)&gt;11,(($I52+SUM($V5:$Y5)-SUM($V11:$Y11))*K47/SUM($I47:$L47)-X5+X11),(($I52+SUM($V5:$Y5)-SUM($V11:$Y11))*K47/SUM($I47:$L47)-X5+X11)-MOD(($I52+SUM($V5:$Y5)-SUM($V11:$Y11))*K47/SUM($I47:$L47)-X5+X11-9,20)),($I52+SUM($V5:$Y5)-SUM($V11:$Y11))*K47/SUM($I47:$L47)-X5+X11))</f>
        <v>-11</v>
      </c>
      <c r="L58" s="77">
        <f>INT(IF($F$24=1,IF(MOD(($I52+SUM($V5:$Y5)-SUM($V11:$Y11))*L47/SUM($I47:$L47)-Y5+Y11-9,20)&gt;11,(($I52+SUM($V5:$Y5)-SUM($V11:$Y11))*L47/SUM($I47:$L47)-Y5+Y11),(($I52+SUM($V5:$Y5)-SUM($V11:$Y11))*L47/SUM($I47:$L47)-Y5+Y11)-MOD(($I52+SUM($V5:$Y5)-SUM($V11:$Y11))*L47/SUM($I47:$L47)-Y5+Y11-9,20)),($I52+SUM($V5:$Y5)-SUM($V11:$Y11))*L47/SUM($I47:$L47)-Y5+Y11))</f>
        <v>-11</v>
      </c>
      <c r="M58" s="85"/>
      <c r="N58" s="74"/>
      <c r="O58" s="74"/>
      <c r="P58" s="74"/>
      <c r="Q58" s="74"/>
      <c r="R58" s="74"/>
      <c r="S58" s="74"/>
      <c r="T58" s="120"/>
      <c r="U58" s="123"/>
      <c r="V58" s="74"/>
      <c r="W58" s="74"/>
      <c r="X58" s="74"/>
      <c r="Y58" s="74"/>
      <c r="Z58" s="74"/>
      <c r="AA58" s="73"/>
      <c r="AB58" s="74"/>
      <c r="AC58" s="74"/>
      <c r="AD58" s="74"/>
      <c r="AE58" s="74"/>
      <c r="AF58" s="74"/>
      <c r="AG58" s="74"/>
      <c r="AH58" s="73"/>
      <c r="AI58" s="68" t="s">
        <v>481</v>
      </c>
      <c r="AJ58" s="69"/>
      <c r="AK58" s="69"/>
      <c r="AL58" s="69"/>
      <c r="AM58" s="69"/>
      <c r="AN58" s="69"/>
      <c r="AO58" s="69"/>
      <c r="AP58" s="69"/>
      <c r="AQ58" s="69"/>
      <c r="AR58" s="69"/>
      <c r="AS58" s="69"/>
      <c r="AT58" s="69"/>
      <c r="AU58" s="69"/>
      <c r="AV58" s="69"/>
      <c r="AW58" s="69"/>
      <c r="AX58" s="69"/>
      <c r="AY58" s="69"/>
      <c r="AZ58" s="193"/>
      <c r="BA58" s="195">
        <f t="shared" si="77"/>
        <v>0</v>
      </c>
      <c r="BB58" s="205">
        <f>IF(BT9=1,AL111/(第3期!AP111/2+AP111),0)</f>
        <v>0</v>
      </c>
      <c r="BC58" s="203"/>
      <c r="BD58" s="194">
        <f t="shared" si="78"/>
        <v>0</v>
      </c>
      <c r="BE58" s="209" t="e">
        <f t="shared" si="79"/>
        <v>#DIV/0!</v>
      </c>
      <c r="BF58" s="209" t="e">
        <f t="shared" si="79"/>
        <v>#DIV/0!</v>
      </c>
      <c r="BG58" s="209" t="e">
        <f t="shared" si="79"/>
        <v>#DIV/0!</v>
      </c>
      <c r="BH58" s="209" t="e">
        <f t="shared" si="80"/>
        <v>#DIV/0!</v>
      </c>
      <c r="BI58" s="203"/>
      <c r="BJ58" s="203"/>
      <c r="BK58" s="203"/>
      <c r="BL58" s="203"/>
      <c r="BM58" s="203"/>
      <c r="BN58" s="203"/>
      <c r="BO58" s="203"/>
      <c r="BP58" s="203"/>
      <c r="BQ58" s="203"/>
      <c r="BR58" s="211"/>
      <c r="BS58" s="211"/>
      <c r="BT58" s="211"/>
      <c r="BU58" s="211"/>
      <c r="BV58" s="211"/>
      <c r="BW58" s="211"/>
      <c r="BX58" s="211"/>
      <c r="BY58" s="211"/>
      <c r="BZ58" s="211"/>
      <c r="CA58" s="211"/>
      <c r="CB58" s="211"/>
      <c r="CC58" s="211"/>
      <c r="CD58" s="211"/>
      <c r="CE58" s="211"/>
      <c r="CF58" s="211"/>
      <c r="CG58" s="211"/>
      <c r="CH58" s="211"/>
      <c r="CI58" s="211"/>
      <c r="CJ58" s="62"/>
    </row>
    <row r="59" s="61" customFormat="1" ht="16" customHeight="1" spans="1:88">
      <c r="A59" s="269" t="s">
        <v>388</v>
      </c>
      <c r="B59" s="270"/>
      <c r="C59" s="77" t="e">
        <f>-R33</f>
        <v>#DIV/0!</v>
      </c>
      <c r="D59" s="79"/>
      <c r="E59" s="79"/>
      <c r="F59" s="79" t="e">
        <f t="shared" si="76"/>
        <v>#DIV/0!</v>
      </c>
      <c r="G59" s="73"/>
      <c r="H59" s="269" t="s">
        <v>522</v>
      </c>
      <c r="I59" s="77">
        <f>INT(IF($F$24=1,IF(MOD(($J52+SUM($V6:$Y6)-SUM($V12:$Y12))*I48/SUM($I48:$L48)-V6+V12-9,20)&gt;11,(($J52+SUM($V6:$Y6)-SUM($V12:$Y12))*I48/SUM($I48:$L48)-V6+V12),(($J52+SUM($V6:$Y6)-SUM($V12:$Y12))*I48/SUM($I48:$L48)-V6+V12)-MOD(($J52+SUM($V6:$Y6)-SUM($V12:$Y12))*I48/SUM($I48:$L48)-V6+V12-9,20)),($J52+SUM($V6:$Y6)-SUM($V12:$Y12))*I48/SUM($I48:$L48)-V6+V12))</f>
        <v>-11</v>
      </c>
      <c r="J59" s="77">
        <f>INT(IF($F$24=1,IF(MOD(($J52+SUM($V6:$Y6)-SUM($V12:$Y12))*J48/SUM($I48:$L48)-W6+W12-9,20)&gt;11,(($J52+SUM($V6:$Y6)-SUM($V12:$Y12))*J48/SUM($I48:$L48)-W6+W12),(($J52+SUM($V6:$Y6)-SUM($V12:$Y12))*J48/SUM($I48:$L48)-W6+W12)-MOD(($J52+SUM($V6:$Y6)-SUM($V12:$Y12))*J48/SUM($I48:$L48)-W6+W12-9,20)),($J52+SUM($V6:$Y6)-SUM($V12:$Y12))*J48/SUM($I48:$L48)-W6+W12))</f>
        <v>-11</v>
      </c>
      <c r="K59" s="77">
        <f>INT(IF($F$24=1,IF(MOD(($J52+SUM($V6:$Y6)-SUM($V12:$Y12))*K48/SUM($I48:$L48)-X6+X12-9,20)&gt;11,(($J52+SUM($V6:$Y6)-SUM($V12:$Y12))*K48/SUM($I48:$L48)-X6+X12),(($J52+SUM($V6:$Y6)-SUM($V12:$Y12))*K48/SUM($I48:$L48)-X6+X12)-MOD(($J52+SUM($V6:$Y6)-SUM($V12:$Y12))*K48/SUM($I48:$L48)-X6+X12-9,20)),($J52+SUM($V6:$Y6)-SUM($V12:$Y12))*K48/SUM($I48:$L48)-X6+X12))</f>
        <v>-11</v>
      </c>
      <c r="L59" s="77">
        <f>INT(IF($F$24=1,IF(MOD(($J52+SUM($V6:$Y6)-SUM($V12:$Y12))*L48/SUM($I48:$L48)-Y6+Y12-9,20)&gt;11,(($J52+SUM($V6:$Y6)-SUM($V12:$Y12))*L48/SUM($I48:$L48)-Y6+Y12),(($J52+SUM($V6:$Y6)-SUM($V12:$Y12))*L48/SUM($I48:$L48)-Y6+Y12)-MOD(($J52+SUM($V6:$Y6)-SUM($V12:$Y12))*L48/SUM($I48:$L48)-Y6+Y12-9,20)),($J52+SUM($V6:$Y6)-SUM($V12:$Y12))*L48/SUM($I48:$L48)-Y6+Y12))</f>
        <v>-11</v>
      </c>
      <c r="M59" s="85"/>
      <c r="N59" s="74"/>
      <c r="O59" s="74"/>
      <c r="P59" s="74"/>
      <c r="Q59" s="74"/>
      <c r="R59" s="74"/>
      <c r="S59" s="74"/>
      <c r="T59" s="120"/>
      <c r="U59" s="269" t="s">
        <v>728</v>
      </c>
      <c r="V59" s="269" t="s">
        <v>513</v>
      </c>
      <c r="W59" s="269" t="s">
        <v>514</v>
      </c>
      <c r="X59" s="269" t="s">
        <v>515</v>
      </c>
      <c r="Y59" s="269" t="s">
        <v>516</v>
      </c>
      <c r="Z59" s="269" t="s">
        <v>569</v>
      </c>
      <c r="AA59" s="269" t="s">
        <v>744</v>
      </c>
      <c r="AB59" s="339" t="s">
        <v>513</v>
      </c>
      <c r="AC59" s="339" t="s">
        <v>514</v>
      </c>
      <c r="AD59" s="339" t="s">
        <v>515</v>
      </c>
      <c r="AE59" s="339" t="s">
        <v>516</v>
      </c>
      <c r="AF59" s="339" t="s">
        <v>563</v>
      </c>
      <c r="AG59" s="74"/>
      <c r="AH59" s="73"/>
      <c r="AI59" s="68" t="s">
        <v>37</v>
      </c>
      <c r="AJ59" s="68" t="s">
        <v>35</v>
      </c>
      <c r="AK59" s="69"/>
      <c r="AL59" s="69"/>
      <c r="AM59" s="69"/>
      <c r="AN59" s="68" t="s">
        <v>465</v>
      </c>
      <c r="AO59" s="69"/>
      <c r="AP59" s="69"/>
      <c r="AQ59" s="69"/>
      <c r="AR59" s="68" t="s">
        <v>466</v>
      </c>
      <c r="AS59" s="69"/>
      <c r="AT59" s="69"/>
      <c r="AU59" s="69"/>
      <c r="AV59" s="68" t="s">
        <v>468</v>
      </c>
      <c r="AW59" s="69"/>
      <c r="AX59" s="69"/>
      <c r="AY59" s="69"/>
      <c r="AZ59" s="193"/>
      <c r="BA59" s="195">
        <f t="shared" si="77"/>
        <v>0</v>
      </c>
      <c r="BB59" s="205">
        <f>IF(BT10=1,AL112/(第3期!AP112/2+AP112),0)</f>
        <v>0</v>
      </c>
      <c r="BC59" s="203"/>
      <c r="BD59" s="194">
        <f t="shared" si="78"/>
        <v>0</v>
      </c>
      <c r="BE59" s="209" t="e">
        <f t="shared" si="79"/>
        <v>#DIV/0!</v>
      </c>
      <c r="BF59" s="209" t="e">
        <f t="shared" si="79"/>
        <v>#DIV/0!</v>
      </c>
      <c r="BG59" s="209" t="e">
        <f t="shared" si="79"/>
        <v>#DIV/0!</v>
      </c>
      <c r="BH59" s="209" t="e">
        <f t="shared" si="80"/>
        <v>#DIV/0!</v>
      </c>
      <c r="BI59" s="203"/>
      <c r="BJ59" s="203"/>
      <c r="BK59" s="203"/>
      <c r="BL59" s="203"/>
      <c r="BM59" s="203"/>
      <c r="BN59" s="203"/>
      <c r="BO59" s="203"/>
      <c r="BP59" s="203"/>
      <c r="BQ59" s="203"/>
      <c r="BR59" s="211"/>
      <c r="BS59" s="211"/>
      <c r="BT59" s="211"/>
      <c r="BU59" s="211"/>
      <c r="BV59" s="211"/>
      <c r="BW59" s="211"/>
      <c r="BX59" s="211"/>
      <c r="BY59" s="211"/>
      <c r="BZ59" s="211"/>
      <c r="CA59" s="211"/>
      <c r="CB59" s="211"/>
      <c r="CC59" s="211"/>
      <c r="CD59" s="211"/>
      <c r="CE59" s="211"/>
      <c r="CF59" s="211"/>
      <c r="CG59" s="211"/>
      <c r="CH59" s="211"/>
      <c r="CI59" s="211"/>
      <c r="CJ59" s="62"/>
    </row>
    <row r="60" s="61" customFormat="1" ht="16" customHeight="1" spans="1:88">
      <c r="A60" s="269" t="s">
        <v>389</v>
      </c>
      <c r="B60" s="270"/>
      <c r="C60" s="77" t="e">
        <f>C59*0.1</f>
        <v>#DIV/0!</v>
      </c>
      <c r="D60" s="79"/>
      <c r="E60" s="79" t="e">
        <f>E58-C60</f>
        <v>#DIV/0!</v>
      </c>
      <c r="F60" s="79" t="e">
        <f t="shared" si="76"/>
        <v>#DIV/0!</v>
      </c>
      <c r="G60" s="73"/>
      <c r="H60" s="269" t="s">
        <v>523</v>
      </c>
      <c r="I60" s="77">
        <f>INT(IF($F$24=1,IF(MOD(($K52+SUM($V7:$Y7)-SUM($V13:$Y13))*I49/SUM($I49:$L49)-V7+V13-9,20)&gt;11,(($K52+SUM($V7:$Y7)-SUM($V13:$Y13))*I49/SUM($I49:$L49)-V7+V13),(($K52+SUM($V7:$Y7)-SUM($V13:$Y13))*I49/SUM($I49:$L49)-V7+V13)-MOD(($K52+SUM($V7:$Y7)-SUM($V13:$Y13))*I49/SUM($I49:$L49)-V7+V13-9,20)),($K52+SUM($V7:$Y7)-SUM($V13:$Y13))*I49/SUM($I49:$L49)-V7+V13))</f>
        <v>-11</v>
      </c>
      <c r="J60" s="77">
        <f>INT(IF($F$24=1,IF(MOD(($K52+SUM($V7:$Y7)-SUM($V13:$Y13))*J49/SUM($I49:$L49)-W7+W13-9,20)&gt;11,(($K52+SUM($V7:$Y7)-SUM($V13:$Y13))*J49/SUM($I49:$L49)-W7+W13),(($K52+SUM($V7:$Y7)-SUM($V13:$Y13))*J49/SUM($I49:$L49)-W7+W13)-MOD(($K52+SUM($V7:$Y7)-SUM($V13:$Y13))*J49/SUM($I49:$L49)-W7+W13-9,20)),($K52+SUM($V7:$Y7)-SUM($V13:$Y13))*J49/SUM($I49:$L49)-W7+W13))</f>
        <v>-11</v>
      </c>
      <c r="K60" s="77">
        <f>INT(IF($F$24=1,IF(MOD(($K52+SUM($V7:$Y7)-SUM($V13:$Y13))*K49/SUM($I49:$L49)-X7+X13-9,20)&gt;11,(($K52+SUM($V7:$Y7)-SUM($V13:$Y13))*K49/SUM($I49:$L49)-X7+X13),(($K52+SUM($V7:$Y7)-SUM($V13:$Y13))*K49/SUM($I49:$L49)-X7+X13)-MOD(($K52+SUM($V7:$Y7)-SUM($V13:$Y13))*K49/SUM($I49:$L49)-X7+X13-9,20)),($K52+SUM($V7:$Y7)-SUM($V13:$Y13))*K49/SUM($I49:$L49)-X7+X13))</f>
        <v>-11</v>
      </c>
      <c r="L60" s="77">
        <f>INT(IF($F$24=1,IF(MOD(($K52+SUM($V7:$Y7)-SUM($V13:$Y13))*L49/SUM($I49:$L49)-Y7+Y13-9,20)&gt;11,(($K52+SUM($V7:$Y7)-SUM($V13:$Y13))*L49/SUM($I49:$L49)-Y7+Y13),(($K52+SUM($V7:$Y7)-SUM($V13:$Y13))*L49/SUM($I49:$L49)-Y7+Y13)-MOD(($K52+SUM($V7:$Y7)-SUM($V13:$Y13))*L49/SUM($I49:$L49)-Y7+Y13-9,20)),($K52+SUM($V7:$Y7)-SUM($V13:$Y13))*L49/SUM($I49:$L49)-Y7+Y13))</f>
        <v>-11</v>
      </c>
      <c r="M60" s="85"/>
      <c r="N60" s="74"/>
      <c r="O60" s="74"/>
      <c r="P60" s="74"/>
      <c r="Q60" s="74"/>
      <c r="R60" s="74"/>
      <c r="S60" s="74"/>
      <c r="T60" s="120"/>
      <c r="U60" s="269" t="s">
        <v>521</v>
      </c>
      <c r="V60" s="150">
        <f>V30-第3期!V30</f>
        <v>0</v>
      </c>
      <c r="W60" s="150">
        <f>W30-第3期!W30</f>
        <v>0</v>
      </c>
      <c r="X60" s="150">
        <f>X30-第3期!X30</f>
        <v>0</v>
      </c>
      <c r="Y60" s="150">
        <f>Y30-第3期!Y30</f>
        <v>0</v>
      </c>
      <c r="Z60" s="150">
        <f>SUM(V60:Y60)/4</f>
        <v>0</v>
      </c>
      <c r="AA60" s="269" t="s">
        <v>521</v>
      </c>
      <c r="AB60" s="150">
        <f>第3期!BB28</f>
        <v>0</v>
      </c>
      <c r="AC60" s="150">
        <f>第3期!BC28</f>
        <v>0</v>
      </c>
      <c r="AD60" s="150">
        <f>第3期!BD28</f>
        <v>0</v>
      </c>
      <c r="AE60" s="150">
        <f>第3期!BE28</f>
        <v>0</v>
      </c>
      <c r="AF60" s="150">
        <f>SUM(AB60:AE60)</f>
        <v>0</v>
      </c>
      <c r="AG60" s="74"/>
      <c r="AH60" s="73"/>
      <c r="AI60" s="69"/>
      <c r="AJ60" s="68" t="s">
        <v>320</v>
      </c>
      <c r="AK60" s="68" t="s">
        <v>321</v>
      </c>
      <c r="AL60" s="68" t="s">
        <v>322</v>
      </c>
      <c r="AM60" s="68" t="s">
        <v>319</v>
      </c>
      <c r="AN60" s="68" t="s">
        <v>320</v>
      </c>
      <c r="AO60" s="68" t="s">
        <v>321</v>
      </c>
      <c r="AP60" s="68" t="s">
        <v>322</v>
      </c>
      <c r="AQ60" s="68" t="s">
        <v>319</v>
      </c>
      <c r="AR60" s="68" t="s">
        <v>320</v>
      </c>
      <c r="AS60" s="68" t="s">
        <v>321</v>
      </c>
      <c r="AT60" s="68" t="s">
        <v>322</v>
      </c>
      <c r="AU60" s="68" t="s">
        <v>319</v>
      </c>
      <c r="AV60" s="68" t="s">
        <v>320</v>
      </c>
      <c r="AW60" s="68" t="s">
        <v>321</v>
      </c>
      <c r="AX60" s="68" t="s">
        <v>322</v>
      </c>
      <c r="AY60" s="68" t="s">
        <v>41</v>
      </c>
      <c r="AZ60" s="193"/>
      <c r="BA60" s="195">
        <f t="shared" si="77"/>
        <v>0</v>
      </c>
      <c r="BB60" s="205">
        <f>IF(BT11=1,AL113/(第3期!AP113/2+AP113),0)</f>
        <v>0</v>
      </c>
      <c r="BC60" s="203"/>
      <c r="BD60" s="194">
        <f t="shared" si="78"/>
        <v>0</v>
      </c>
      <c r="BE60" s="209" t="e">
        <f t="shared" si="79"/>
        <v>#DIV/0!</v>
      </c>
      <c r="BF60" s="209" t="e">
        <f t="shared" si="79"/>
        <v>#DIV/0!</v>
      </c>
      <c r="BG60" s="209" t="e">
        <f t="shared" si="79"/>
        <v>#DIV/0!</v>
      </c>
      <c r="BH60" s="209" t="e">
        <f t="shared" si="80"/>
        <v>#DIV/0!</v>
      </c>
      <c r="BI60" s="203"/>
      <c r="BJ60" s="203"/>
      <c r="BK60" s="203"/>
      <c r="BL60" s="203"/>
      <c r="BM60" s="203"/>
      <c r="BN60" s="203"/>
      <c r="BO60" s="203"/>
      <c r="BP60" s="203"/>
      <c r="BQ60" s="203"/>
      <c r="BR60" s="211"/>
      <c r="BS60" s="211"/>
      <c r="BT60" s="211"/>
      <c r="BU60" s="211"/>
      <c r="BV60" s="211"/>
      <c r="BW60" s="211"/>
      <c r="BX60" s="211"/>
      <c r="BY60" s="211"/>
      <c r="BZ60" s="211"/>
      <c r="CA60" s="211"/>
      <c r="CB60" s="211"/>
      <c r="CC60" s="211"/>
      <c r="CD60" s="211"/>
      <c r="CE60" s="211"/>
      <c r="CF60" s="211"/>
      <c r="CG60" s="211"/>
      <c r="CH60" s="211"/>
      <c r="CI60" s="211"/>
      <c r="CJ60" s="62"/>
    </row>
    <row r="61" s="61" customFormat="1" ht="16" customHeight="1" spans="1:88">
      <c r="A61" s="269" t="s">
        <v>684</v>
      </c>
      <c r="B61" s="270"/>
      <c r="C61" s="77" t="e">
        <f>-IF(F77*初始化表!B25&gt;-第3期!F80,F77*初始化表!B25+第3期!F80,0)</f>
        <v>#DIV/0!</v>
      </c>
      <c r="D61" s="79"/>
      <c r="E61" s="79"/>
      <c r="F61" s="79" t="e">
        <f t="shared" si="76"/>
        <v>#DIV/0!</v>
      </c>
      <c r="G61" s="73"/>
      <c r="H61" s="269" t="s">
        <v>524</v>
      </c>
      <c r="I61" s="77">
        <f>INT(IF($F$24=1,IF(MOD(($L52+SUM($V8:$Y8)-SUM($V14:$Y14))*I50/SUM($I50:$L50)-V8+V14-9,20)&gt;11,(($L52+SUM($V8:$Y8)-SUM($V14:$Y14))*I50/SUM($I50:$L50)-V8+V14),(($L52+SUM($V8:$Y8)-SUM($V14:$Y14))*I50/SUM($I50:$L50)-V8+V14)-MOD(($L52+SUM($V8:$Y8)-SUM($V14:$Y14))*I50/SUM($I50:$L50)-V8+V14-9,20)),($L52+SUM($V8:$Y8)-SUM($V14:$Y14))*I50/SUM($I50:$L50)-V8+V14))</f>
        <v>-11</v>
      </c>
      <c r="J61" s="77">
        <f>INT(IF($F$24=1,IF(MOD(($L52+SUM($V8:$Y8)-SUM($V14:$Y14))*J50/SUM($I50:$L50)-W8+W14-9,20)&gt;11,(($L52+SUM($V8:$Y8)-SUM($V14:$Y14))*J50/SUM($I50:$L50)-W8+W14),(($L52+SUM($V8:$Y8)-SUM($V14:$Y14))*J50/SUM($I50:$L50)-W8+W14)-MOD(($L52+SUM($V8:$Y8)-SUM($V14:$Y14))*J50/SUM($I50:$L50)-W8+W14-9,20)),($L52+SUM($V8:$Y8)-SUM($V14:$Y14))*J50/SUM($I50:$L50)-W8+W14))</f>
        <v>-11</v>
      </c>
      <c r="K61" s="77">
        <f>INT(IF($F$24=1,IF(MOD(($L52+SUM($V8:$Y8)-SUM($V14:$Y14))*K50/SUM($I50:$L50)-X8+X14-9,20)&gt;11,(($L52+SUM($V8:$Y8)-SUM($V14:$Y14))*K50/SUM($I50:$L50)-X8+X14),(($L52+SUM($V8:$Y8)-SUM($V14:$Y14))*K50/SUM($I50:$L50)-X8+X14)-MOD(($L52+SUM($V8:$Y8)-SUM($V14:$Y14))*K50/SUM($I50:$L50)-X8+X14-9,20)),($L52+SUM($V8:$Y8)-SUM($V14:$Y14))*K50/SUM($I50:$L50)-X8+X14))</f>
        <v>-11</v>
      </c>
      <c r="L61" s="77">
        <f>INT(IF($F$24=1,IF(MOD(($L52+SUM($V8:$Y8)-SUM($V14:$Y14))*L50/SUM($I50:$L50)-Y8+Y14-9,20)&gt;11,(($L52+SUM($V8:$Y8)-SUM($V14:$Y14))*L50/SUM($I50:$L50)-Y8+Y14),(($L52+SUM($V8:$Y8)-SUM($V14:$Y14))*L50/SUM($I50:$L50)-Y8+Y14)-MOD(($L52+SUM($V8:$Y8)-SUM($V14:$Y14))*L50/SUM($I50:$L50)-Y8+Y14-9,20)),($L52+SUM($V8:$Y8)-SUM($V14:$Y14))*L50/SUM($I50:$L50)-Y8+Y14))</f>
        <v>-11</v>
      </c>
      <c r="M61" s="85"/>
      <c r="N61" s="74"/>
      <c r="O61" s="74"/>
      <c r="P61" s="74"/>
      <c r="Q61" s="74"/>
      <c r="R61" s="74"/>
      <c r="S61" s="74"/>
      <c r="T61" s="120"/>
      <c r="U61" s="269" t="s">
        <v>522</v>
      </c>
      <c r="V61" s="150">
        <f>V31-第3期!V31</f>
        <v>0</v>
      </c>
      <c r="W61" s="150">
        <f>W31-第3期!W31</f>
        <v>0</v>
      </c>
      <c r="X61" s="150">
        <f>X31-第3期!X31</f>
        <v>0</v>
      </c>
      <c r="Y61" s="150">
        <f>Y31-第3期!Y31</f>
        <v>0</v>
      </c>
      <c r="Z61" s="150">
        <f t="shared" ref="Z61:Z63" si="82">SUM(V61:Y61)/4</f>
        <v>0</v>
      </c>
      <c r="AA61" s="269" t="s">
        <v>522</v>
      </c>
      <c r="AB61" s="150">
        <f>第3期!BF28</f>
        <v>0</v>
      </c>
      <c r="AC61" s="150">
        <f>第3期!BG28</f>
        <v>0</v>
      </c>
      <c r="AD61" s="150">
        <f>第3期!BH28</f>
        <v>0</v>
      </c>
      <c r="AE61" s="150">
        <f>第3期!BI28</f>
        <v>0</v>
      </c>
      <c r="AF61" s="150">
        <f t="shared" ref="AF61:AF63" si="83">SUM(AB61:AE61)</f>
        <v>0</v>
      </c>
      <c r="AG61" s="74"/>
      <c r="AH61" s="73"/>
      <c r="AI61" s="367"/>
      <c r="AJ61" s="362"/>
      <c r="AK61" s="362"/>
      <c r="AL61" s="362"/>
      <c r="AM61" s="362"/>
      <c r="AN61" s="362"/>
      <c r="AO61" s="362"/>
      <c r="AP61" s="362"/>
      <c r="AQ61" s="362"/>
      <c r="AR61" s="362"/>
      <c r="AS61" s="362"/>
      <c r="AT61" s="362"/>
      <c r="AU61" s="362"/>
      <c r="AV61" s="362"/>
      <c r="AW61" s="362"/>
      <c r="AX61" s="362"/>
      <c r="AY61" s="362"/>
      <c r="AZ61" s="193"/>
      <c r="BA61" s="195">
        <f t="shared" si="77"/>
        <v>0</v>
      </c>
      <c r="BB61" s="205">
        <f>IF(BT12=1,AL114/(第3期!AP114/2+AP114),0)</f>
        <v>0</v>
      </c>
      <c r="BC61" s="203"/>
      <c r="BD61" s="194">
        <f t="shared" si="78"/>
        <v>0</v>
      </c>
      <c r="BE61" s="209" t="e">
        <f t="shared" si="79"/>
        <v>#DIV/0!</v>
      </c>
      <c r="BF61" s="209" t="e">
        <f t="shared" si="79"/>
        <v>#DIV/0!</v>
      </c>
      <c r="BG61" s="209" t="e">
        <f t="shared" si="79"/>
        <v>#DIV/0!</v>
      </c>
      <c r="BH61" s="209" t="e">
        <f t="shared" si="79"/>
        <v>#DIV/0!</v>
      </c>
      <c r="BI61" s="203"/>
      <c r="BJ61" s="203"/>
      <c r="BK61" s="203"/>
      <c r="BL61" s="203"/>
      <c r="BM61" s="203"/>
      <c r="BN61" s="203"/>
      <c r="BO61" s="203"/>
      <c r="BP61" s="203"/>
      <c r="BQ61" s="203"/>
      <c r="BR61" s="211"/>
      <c r="BS61" s="211"/>
      <c r="BT61" s="211"/>
      <c r="BU61" s="211"/>
      <c r="BV61" s="211"/>
      <c r="BW61" s="211"/>
      <c r="BX61" s="211"/>
      <c r="BY61" s="211"/>
      <c r="BZ61" s="211"/>
      <c r="CA61" s="211"/>
      <c r="CB61" s="211"/>
      <c r="CC61" s="211"/>
      <c r="CD61" s="211"/>
      <c r="CE61" s="211"/>
      <c r="CF61" s="211"/>
      <c r="CG61" s="211"/>
      <c r="CH61" s="211"/>
      <c r="CI61" s="211"/>
      <c r="CJ61" s="62"/>
    </row>
    <row r="62" s="61" customFormat="1" ht="16" customHeight="1" spans="1:88">
      <c r="A62" s="269" t="s">
        <v>306</v>
      </c>
      <c r="B62" s="270"/>
      <c r="C62" s="77">
        <f>-D22*初始化表!B8</f>
        <v>0</v>
      </c>
      <c r="D62" s="79"/>
      <c r="E62" s="79"/>
      <c r="F62" s="79" t="e">
        <f t="shared" si="76"/>
        <v>#DIV/0!</v>
      </c>
      <c r="G62" s="73"/>
      <c r="H62" s="269" t="s">
        <v>685</v>
      </c>
      <c r="I62" s="269" t="s">
        <v>513</v>
      </c>
      <c r="J62" s="269" t="s">
        <v>514</v>
      </c>
      <c r="K62" s="269" t="s">
        <v>515</v>
      </c>
      <c r="L62" s="269" t="s">
        <v>516</v>
      </c>
      <c r="M62" s="85"/>
      <c r="N62" s="117" t="s">
        <v>745</v>
      </c>
      <c r="O62" s="117" t="s">
        <v>38</v>
      </c>
      <c r="P62" s="117" t="s">
        <v>39</v>
      </c>
      <c r="Q62" s="117" t="s">
        <v>40</v>
      </c>
      <c r="R62" s="117" t="s">
        <v>41</v>
      </c>
      <c r="S62" s="74"/>
      <c r="T62" s="120"/>
      <c r="U62" s="269" t="s">
        <v>523</v>
      </c>
      <c r="V62" s="150">
        <f>V32-第3期!V32</f>
        <v>0</v>
      </c>
      <c r="W62" s="150">
        <f>W32-第3期!W32</f>
        <v>0</v>
      </c>
      <c r="X62" s="150">
        <f>X32-第3期!X32</f>
        <v>0</v>
      </c>
      <c r="Y62" s="150">
        <f>Y32-第3期!Y32</f>
        <v>0</v>
      </c>
      <c r="Z62" s="150">
        <f t="shared" si="82"/>
        <v>0</v>
      </c>
      <c r="AA62" s="269" t="s">
        <v>523</v>
      </c>
      <c r="AB62" s="150">
        <f>第3期!BJ28</f>
        <v>0</v>
      </c>
      <c r="AC62" s="150">
        <f>第3期!BK28</f>
        <v>0</v>
      </c>
      <c r="AD62" s="150">
        <f>第3期!BL28</f>
        <v>0</v>
      </c>
      <c r="AE62" s="150">
        <f>第3期!BM28</f>
        <v>0</v>
      </c>
      <c r="AF62" s="150">
        <f t="shared" si="83"/>
        <v>0</v>
      </c>
      <c r="AG62" s="74"/>
      <c r="AH62" s="73"/>
      <c r="AI62" s="367"/>
      <c r="AJ62" s="362"/>
      <c r="AK62" s="362"/>
      <c r="AL62" s="362"/>
      <c r="AM62" s="362"/>
      <c r="AN62" s="362"/>
      <c r="AO62" s="362"/>
      <c r="AP62" s="362"/>
      <c r="AQ62" s="362"/>
      <c r="AR62" s="362"/>
      <c r="AS62" s="362"/>
      <c r="AT62" s="362"/>
      <c r="AU62" s="362"/>
      <c r="AV62" s="362"/>
      <c r="AW62" s="362"/>
      <c r="AX62" s="362"/>
      <c r="AY62" s="362"/>
      <c r="AZ62" s="193"/>
      <c r="BA62" s="195">
        <f t="shared" si="77"/>
        <v>0</v>
      </c>
      <c r="BB62" s="205">
        <f>IF(BT13=1,AL115/(第3期!AP115/2+AP115),0)</f>
        <v>0</v>
      </c>
      <c r="BC62" s="203"/>
      <c r="BD62" s="194">
        <f t="shared" si="78"/>
        <v>0</v>
      </c>
      <c r="BE62" s="209" t="e">
        <f t="shared" si="79"/>
        <v>#DIV/0!</v>
      </c>
      <c r="BF62" s="209" t="e">
        <f t="shared" si="79"/>
        <v>#DIV/0!</v>
      </c>
      <c r="BG62" s="209" t="e">
        <f t="shared" si="79"/>
        <v>#DIV/0!</v>
      </c>
      <c r="BH62" s="209" t="e">
        <f t="shared" si="79"/>
        <v>#DIV/0!</v>
      </c>
      <c r="BI62" s="203"/>
      <c r="BJ62" s="203"/>
      <c r="BK62" s="203"/>
      <c r="BL62" s="203"/>
      <c r="BM62" s="203"/>
      <c r="BN62" s="203"/>
      <c r="BO62" s="203"/>
      <c r="BP62" s="203"/>
      <c r="BQ62" s="203"/>
      <c r="BR62" s="211"/>
      <c r="BS62" s="211"/>
      <c r="BT62" s="211"/>
      <c r="BU62" s="211"/>
      <c r="BV62" s="211"/>
      <c r="BW62" s="211"/>
      <c r="BX62" s="211"/>
      <c r="BY62" s="211"/>
      <c r="BZ62" s="211"/>
      <c r="CA62" s="211"/>
      <c r="CB62" s="211"/>
      <c r="CC62" s="211"/>
      <c r="CD62" s="211"/>
      <c r="CE62" s="211"/>
      <c r="CF62" s="211"/>
      <c r="CG62" s="211"/>
      <c r="CH62" s="211"/>
      <c r="CI62" s="211"/>
      <c r="CJ62" s="62"/>
    </row>
    <row r="63" s="61" customFormat="1" ht="16" customHeight="1" spans="1:88">
      <c r="A63" s="269" t="s">
        <v>686</v>
      </c>
      <c r="B63" s="270"/>
      <c r="C63" s="77" t="e">
        <f>IF(R37&gt;P37,-P37,-R37)</f>
        <v>#DIV/0!</v>
      </c>
      <c r="D63" s="79"/>
      <c r="E63" s="79"/>
      <c r="F63" s="79" t="e">
        <f t="shared" si="76"/>
        <v>#DIV/0!</v>
      </c>
      <c r="G63" s="73"/>
      <c r="H63" s="269" t="s">
        <v>521</v>
      </c>
      <c r="I63" s="97">
        <v>0</v>
      </c>
      <c r="J63" s="97">
        <v>0</v>
      </c>
      <c r="K63" s="97">
        <v>0</v>
      </c>
      <c r="L63" s="97">
        <v>0</v>
      </c>
      <c r="M63" s="85"/>
      <c r="N63" s="117" t="s">
        <v>198</v>
      </c>
      <c r="O63" s="118">
        <f>O68-第3期!O68</f>
        <v>0</v>
      </c>
      <c r="P63" s="118">
        <f>P68-第3期!P68</f>
        <v>0</v>
      </c>
      <c r="Q63" s="118">
        <f>Q68-第3期!Q68</f>
        <v>0</v>
      </c>
      <c r="R63" s="118">
        <f>R68-第3期!R68</f>
        <v>0</v>
      </c>
      <c r="S63" s="74"/>
      <c r="T63" s="120"/>
      <c r="U63" s="269" t="s">
        <v>524</v>
      </c>
      <c r="V63" s="150">
        <f>V33-第3期!V33</f>
        <v>0</v>
      </c>
      <c r="W63" s="150">
        <f>W33-第3期!W33</f>
        <v>0</v>
      </c>
      <c r="X63" s="150">
        <f>X33-第3期!X33</f>
        <v>0</v>
      </c>
      <c r="Y63" s="150">
        <f>Y33-第3期!Y33</f>
        <v>0</v>
      </c>
      <c r="Z63" s="150">
        <f t="shared" si="82"/>
        <v>0</v>
      </c>
      <c r="AA63" s="269" t="s">
        <v>524</v>
      </c>
      <c r="AB63" s="150">
        <f>第3期!BN28</f>
        <v>0</v>
      </c>
      <c r="AC63" s="150">
        <f>第3期!BO28</f>
        <v>0</v>
      </c>
      <c r="AD63" s="150">
        <f>第3期!BP28</f>
        <v>0</v>
      </c>
      <c r="AE63" s="150">
        <f>第3期!BQ28</f>
        <v>0</v>
      </c>
      <c r="AF63" s="150">
        <f t="shared" si="83"/>
        <v>0</v>
      </c>
      <c r="AG63" s="74"/>
      <c r="AH63" s="73"/>
      <c r="AI63" s="367"/>
      <c r="AJ63" s="362"/>
      <c r="AK63" s="362"/>
      <c r="AL63" s="362"/>
      <c r="AM63" s="362"/>
      <c r="AN63" s="362"/>
      <c r="AO63" s="362"/>
      <c r="AP63" s="362"/>
      <c r="AQ63" s="362"/>
      <c r="AR63" s="362"/>
      <c r="AS63" s="362"/>
      <c r="AT63" s="362"/>
      <c r="AU63" s="362"/>
      <c r="AV63" s="362"/>
      <c r="AW63" s="362"/>
      <c r="AX63" s="362"/>
      <c r="AY63" s="362"/>
      <c r="AZ63" s="193"/>
      <c r="BA63" s="195">
        <f t="shared" si="77"/>
        <v>0</v>
      </c>
      <c r="BB63" s="205">
        <f>IF(BT14=1,AL116/(第3期!AP116/2+AP116),0)</f>
        <v>0</v>
      </c>
      <c r="BC63" s="203"/>
      <c r="BD63" s="194">
        <f t="shared" si="78"/>
        <v>0</v>
      </c>
      <c r="BE63" s="209" t="e">
        <f t="shared" si="79"/>
        <v>#DIV/0!</v>
      </c>
      <c r="BF63" s="209" t="e">
        <f t="shared" si="79"/>
        <v>#DIV/0!</v>
      </c>
      <c r="BG63" s="209" t="e">
        <f t="shared" si="79"/>
        <v>#DIV/0!</v>
      </c>
      <c r="BH63" s="209" t="e">
        <f t="shared" si="79"/>
        <v>#DIV/0!</v>
      </c>
      <c r="BI63" s="203"/>
      <c r="BJ63" s="203"/>
      <c r="BK63" s="203"/>
      <c r="BL63" s="203"/>
      <c r="BM63" s="203"/>
      <c r="BN63" s="203"/>
      <c r="BO63" s="203"/>
      <c r="BP63" s="203"/>
      <c r="BQ63" s="203"/>
      <c r="BR63" s="211"/>
      <c r="BS63" s="211"/>
      <c r="BT63" s="211"/>
      <c r="BU63" s="211"/>
      <c r="BV63" s="211"/>
      <c r="BW63" s="211"/>
      <c r="BX63" s="211"/>
      <c r="BY63" s="211"/>
      <c r="BZ63" s="211"/>
      <c r="CA63" s="211"/>
      <c r="CB63" s="211"/>
      <c r="CC63" s="211"/>
      <c r="CD63" s="211"/>
      <c r="CE63" s="211"/>
      <c r="CF63" s="211"/>
      <c r="CG63" s="211"/>
      <c r="CH63" s="211"/>
      <c r="CI63" s="211"/>
      <c r="CJ63" s="62"/>
    </row>
    <row r="64" s="61" customFormat="1" ht="16" customHeight="1" spans="1:88">
      <c r="A64" s="269" t="s">
        <v>392</v>
      </c>
      <c r="B64" s="270"/>
      <c r="C64" s="77">
        <f>-D24</f>
        <v>0</v>
      </c>
      <c r="D64" s="79"/>
      <c r="E64" s="79"/>
      <c r="F64" s="79" t="e">
        <f t="shared" si="76"/>
        <v>#DIV/0!</v>
      </c>
      <c r="G64" s="73"/>
      <c r="H64" s="269" t="s">
        <v>522</v>
      </c>
      <c r="I64" s="97">
        <v>0</v>
      </c>
      <c r="J64" s="97">
        <v>0</v>
      </c>
      <c r="K64" s="97">
        <v>0</v>
      </c>
      <c r="L64" s="97">
        <v>0</v>
      </c>
      <c r="M64" s="85"/>
      <c r="N64" s="117" t="s">
        <v>202</v>
      </c>
      <c r="O64" s="118">
        <f>O69-第3期!O69</f>
        <v>0</v>
      </c>
      <c r="P64" s="118">
        <f>P69-第3期!P69</f>
        <v>0</v>
      </c>
      <c r="Q64" s="118">
        <f>Q69-第3期!Q69</f>
        <v>0</v>
      </c>
      <c r="R64" s="118">
        <f>R69-第3期!R69</f>
        <v>0</v>
      </c>
      <c r="S64" s="74"/>
      <c r="T64" s="120"/>
      <c r="U64" s="74"/>
      <c r="V64" s="74"/>
      <c r="W64" s="74"/>
      <c r="X64" s="74"/>
      <c r="Y64" s="74"/>
      <c r="Z64" s="74"/>
      <c r="AA64" s="73"/>
      <c r="AB64" s="74"/>
      <c r="AC64" s="74"/>
      <c r="AD64" s="74"/>
      <c r="AE64" s="74"/>
      <c r="AF64" s="74"/>
      <c r="AG64" s="74"/>
      <c r="AH64" s="73"/>
      <c r="AI64" s="367"/>
      <c r="AJ64" s="362"/>
      <c r="AK64" s="362"/>
      <c r="AL64" s="362"/>
      <c r="AM64" s="362"/>
      <c r="AN64" s="362"/>
      <c r="AO64" s="362"/>
      <c r="AP64" s="362"/>
      <c r="AQ64" s="362"/>
      <c r="AR64" s="362"/>
      <c r="AS64" s="362"/>
      <c r="AT64" s="362"/>
      <c r="AU64" s="362"/>
      <c r="AV64" s="362"/>
      <c r="AW64" s="362"/>
      <c r="AX64" s="362"/>
      <c r="AY64" s="362"/>
      <c r="AZ64" s="193"/>
      <c r="BA64" s="195">
        <f t="shared" si="77"/>
        <v>0</v>
      </c>
      <c r="BB64" s="205">
        <f>IF(BT15=1,AL117/(第3期!AP117/2+AP117),0)</f>
        <v>0</v>
      </c>
      <c r="BC64" s="203"/>
      <c r="BD64" s="194">
        <f t="shared" si="78"/>
        <v>0</v>
      </c>
      <c r="BE64" s="209" t="e">
        <f t="shared" si="79"/>
        <v>#DIV/0!</v>
      </c>
      <c r="BF64" s="209" t="e">
        <f t="shared" si="79"/>
        <v>#DIV/0!</v>
      </c>
      <c r="BG64" s="209" t="e">
        <f t="shared" si="79"/>
        <v>#DIV/0!</v>
      </c>
      <c r="BH64" s="209" t="e">
        <f t="shared" si="79"/>
        <v>#DIV/0!</v>
      </c>
      <c r="BI64" s="203"/>
      <c r="BJ64" s="203"/>
      <c r="BK64" s="203"/>
      <c r="BL64" s="203"/>
      <c r="BM64" s="203"/>
      <c r="BN64" s="203"/>
      <c r="BO64" s="203"/>
      <c r="BP64" s="203"/>
      <c r="BQ64" s="203"/>
      <c r="BR64" s="211"/>
      <c r="BS64" s="211"/>
      <c r="BT64" s="211"/>
      <c r="BU64" s="211"/>
      <c r="BV64" s="211"/>
      <c r="BW64" s="211"/>
      <c r="BX64" s="211"/>
      <c r="BY64" s="211"/>
      <c r="BZ64" s="211"/>
      <c r="CA64" s="211"/>
      <c r="CB64" s="211"/>
      <c r="CC64" s="211"/>
      <c r="CD64" s="211"/>
      <c r="CE64" s="211"/>
      <c r="CF64" s="211"/>
      <c r="CG64" s="211"/>
      <c r="CH64" s="211"/>
      <c r="CI64" s="211"/>
      <c r="CJ64" s="62"/>
    </row>
    <row r="65" s="61" customFormat="1" ht="16" customHeight="1" spans="1:88">
      <c r="A65" s="74"/>
      <c r="B65" s="74"/>
      <c r="C65" s="74"/>
      <c r="D65" s="74"/>
      <c r="E65" s="74"/>
      <c r="F65" s="74"/>
      <c r="G65" s="73"/>
      <c r="H65" s="269" t="s">
        <v>523</v>
      </c>
      <c r="I65" s="97">
        <v>0</v>
      </c>
      <c r="J65" s="97">
        <v>0</v>
      </c>
      <c r="K65" s="97">
        <v>0</v>
      </c>
      <c r="L65" s="97">
        <v>0</v>
      </c>
      <c r="M65" s="85"/>
      <c r="N65" s="117" t="s">
        <v>206</v>
      </c>
      <c r="O65" s="118">
        <f>O70-第3期!O70</f>
        <v>0</v>
      </c>
      <c r="P65" s="118">
        <f>P70-第3期!P70</f>
        <v>0</v>
      </c>
      <c r="Q65" s="118">
        <f>Q70-第3期!Q70</f>
        <v>0</v>
      </c>
      <c r="R65" s="118">
        <f>R70-第3期!R70</f>
        <v>0</v>
      </c>
      <c r="S65" s="74"/>
      <c r="T65" s="120"/>
      <c r="U65" s="269" t="s">
        <v>746</v>
      </c>
      <c r="V65" s="269" t="s">
        <v>513</v>
      </c>
      <c r="W65" s="269" t="s">
        <v>514</v>
      </c>
      <c r="X65" s="269" t="s">
        <v>515</v>
      </c>
      <c r="Y65" s="269" t="s">
        <v>516</v>
      </c>
      <c r="Z65" s="74"/>
      <c r="AA65" s="73"/>
      <c r="AB65" s="74"/>
      <c r="AC65" s="74"/>
      <c r="AD65" s="74"/>
      <c r="AE65" s="74"/>
      <c r="AF65" s="74"/>
      <c r="AG65" s="74"/>
      <c r="AH65" s="73"/>
      <c r="AI65" s="367"/>
      <c r="AJ65" s="362"/>
      <c r="AK65" s="362"/>
      <c r="AL65" s="362"/>
      <c r="AM65" s="362"/>
      <c r="AN65" s="362"/>
      <c r="AO65" s="362"/>
      <c r="AP65" s="362"/>
      <c r="AQ65" s="362"/>
      <c r="AR65" s="362"/>
      <c r="AS65" s="362"/>
      <c r="AT65" s="362"/>
      <c r="AU65" s="362"/>
      <c r="AV65" s="362"/>
      <c r="AW65" s="362"/>
      <c r="AX65" s="362"/>
      <c r="AY65" s="362"/>
      <c r="AZ65" s="193"/>
      <c r="BA65" s="195">
        <f t="shared" si="77"/>
        <v>0</v>
      </c>
      <c r="BB65" s="205">
        <f>IF(BT16=1,AL118/(第3期!AP118/2+AP118),0)</f>
        <v>0</v>
      </c>
      <c r="BC65" s="203"/>
      <c r="BD65" s="194">
        <f t="shared" si="78"/>
        <v>0</v>
      </c>
      <c r="BE65" s="209" t="e">
        <f t="shared" si="79"/>
        <v>#DIV/0!</v>
      </c>
      <c r="BF65" s="209" t="e">
        <f t="shared" si="79"/>
        <v>#DIV/0!</v>
      </c>
      <c r="BG65" s="209" t="e">
        <f t="shared" si="79"/>
        <v>#DIV/0!</v>
      </c>
      <c r="BH65" s="209" t="e">
        <f t="shared" si="79"/>
        <v>#DIV/0!</v>
      </c>
      <c r="BI65" s="203"/>
      <c r="BJ65" s="203"/>
      <c r="BK65" s="203"/>
      <c r="BL65" s="203"/>
      <c r="BM65" s="203"/>
      <c r="BN65" s="203"/>
      <c r="BO65" s="203"/>
      <c r="BP65" s="203"/>
      <c r="BQ65" s="203"/>
      <c r="BR65" s="211"/>
      <c r="BS65" s="211"/>
      <c r="BT65" s="211"/>
      <c r="BU65" s="211"/>
      <c r="BV65" s="211"/>
      <c r="BW65" s="211"/>
      <c r="BX65" s="211"/>
      <c r="BY65" s="211"/>
      <c r="BZ65" s="211"/>
      <c r="CA65" s="211"/>
      <c r="CB65" s="211"/>
      <c r="CC65" s="211"/>
      <c r="CD65" s="211"/>
      <c r="CE65" s="211"/>
      <c r="CF65" s="211"/>
      <c r="CG65" s="211"/>
      <c r="CH65" s="211"/>
      <c r="CI65" s="211"/>
      <c r="CJ65" s="62"/>
    </row>
    <row r="66" s="61" customFormat="1" ht="16" customHeight="1" spans="1:88">
      <c r="A66" s="269" t="s">
        <v>423</v>
      </c>
      <c r="B66" s="270"/>
      <c r="C66" s="270"/>
      <c r="D66" s="74"/>
      <c r="E66" s="269" t="s">
        <v>448</v>
      </c>
      <c r="F66" s="270"/>
      <c r="G66" s="73"/>
      <c r="H66" s="409" t="s">
        <v>524</v>
      </c>
      <c r="I66" s="428">
        <v>0</v>
      </c>
      <c r="J66" s="428">
        <v>0</v>
      </c>
      <c r="K66" s="428">
        <v>0</v>
      </c>
      <c r="L66" s="428">
        <v>0</v>
      </c>
      <c r="M66" s="85"/>
      <c r="N66" s="117" t="s">
        <v>208</v>
      </c>
      <c r="O66" s="118">
        <f>O71-第3期!O71</f>
        <v>0</v>
      </c>
      <c r="P66" s="118">
        <f>P71-第3期!P71</f>
        <v>0</v>
      </c>
      <c r="Q66" s="118">
        <f>Q71-第3期!Q71</f>
        <v>0</v>
      </c>
      <c r="R66" s="118">
        <f>R71-第3期!R71</f>
        <v>0</v>
      </c>
      <c r="S66" s="74"/>
      <c r="T66" s="120"/>
      <c r="U66" s="269" t="s">
        <v>521</v>
      </c>
      <c r="V66" s="150">
        <f>ABS(IF(AB54=0,0,V60/AB54))</f>
        <v>0</v>
      </c>
      <c r="W66" s="150">
        <f t="shared" ref="W66:Y69" si="84">ABS(IF(AC54=0,0,W60/AC54))</f>
        <v>0</v>
      </c>
      <c r="X66" s="150">
        <f t="shared" si="84"/>
        <v>0</v>
      </c>
      <c r="Y66" s="150">
        <f t="shared" si="84"/>
        <v>0</v>
      </c>
      <c r="Z66" s="74"/>
      <c r="AA66" s="73"/>
      <c r="AB66" s="74"/>
      <c r="AC66" s="74"/>
      <c r="AD66" s="74"/>
      <c r="AE66" s="74"/>
      <c r="AF66" s="74"/>
      <c r="AG66" s="74"/>
      <c r="AH66" s="73"/>
      <c r="AI66" s="367"/>
      <c r="AJ66" s="362"/>
      <c r="AK66" s="362"/>
      <c r="AL66" s="362"/>
      <c r="AM66" s="362"/>
      <c r="AN66" s="362"/>
      <c r="AO66" s="362"/>
      <c r="AP66" s="362"/>
      <c r="AQ66" s="362"/>
      <c r="AR66" s="362"/>
      <c r="AS66" s="362"/>
      <c r="AT66" s="362"/>
      <c r="AU66" s="362"/>
      <c r="AV66" s="362"/>
      <c r="AW66" s="362"/>
      <c r="AX66" s="362"/>
      <c r="AY66" s="362"/>
      <c r="AZ66" s="193"/>
      <c r="BA66" s="195">
        <f t="shared" si="77"/>
        <v>0</v>
      </c>
      <c r="BB66" s="205">
        <f>IF(BT17=1,AL119/(第3期!AP119/2+AP119),0)</f>
        <v>0</v>
      </c>
      <c r="BC66" s="203"/>
      <c r="BD66" s="194">
        <f t="shared" si="78"/>
        <v>0</v>
      </c>
      <c r="BE66" s="209" t="e">
        <f t="shared" si="79"/>
        <v>#DIV/0!</v>
      </c>
      <c r="BF66" s="209" t="e">
        <f t="shared" si="79"/>
        <v>#DIV/0!</v>
      </c>
      <c r="BG66" s="209" t="e">
        <f t="shared" si="79"/>
        <v>#DIV/0!</v>
      </c>
      <c r="BH66" s="209" t="e">
        <f t="shared" si="79"/>
        <v>#DIV/0!</v>
      </c>
      <c r="BI66" s="203"/>
      <c r="BJ66" s="203"/>
      <c r="BK66" s="203"/>
      <c r="BL66" s="203"/>
      <c r="BM66" s="203"/>
      <c r="BN66" s="203"/>
      <c r="BO66" s="203"/>
      <c r="BP66" s="203"/>
      <c r="BQ66" s="203"/>
      <c r="BR66" s="211"/>
      <c r="BS66" s="211"/>
      <c r="BT66" s="211"/>
      <c r="BU66" s="211"/>
      <c r="BV66" s="211"/>
      <c r="BW66" s="211"/>
      <c r="BX66" s="211"/>
      <c r="BY66" s="211"/>
      <c r="BZ66" s="211"/>
      <c r="CA66" s="211"/>
      <c r="CB66" s="211"/>
      <c r="CC66" s="211"/>
      <c r="CD66" s="211"/>
      <c r="CE66" s="211"/>
      <c r="CF66" s="211"/>
      <c r="CG66" s="211"/>
      <c r="CH66" s="211"/>
      <c r="CI66" s="211"/>
      <c r="CJ66" s="62"/>
    </row>
    <row r="67" s="61" customFormat="1" ht="16" customHeight="1" spans="1:88">
      <c r="A67" s="269" t="s">
        <v>688</v>
      </c>
      <c r="B67" s="269" t="s">
        <v>689</v>
      </c>
      <c r="C67" s="269" t="s">
        <v>690</v>
      </c>
      <c r="D67" s="74"/>
      <c r="E67" s="328" t="s">
        <v>691</v>
      </c>
      <c r="F67" s="328" t="s">
        <v>692</v>
      </c>
      <c r="G67" s="73"/>
      <c r="H67" s="269" t="s">
        <v>687</v>
      </c>
      <c r="I67" s="270" t="str">
        <f>I62</f>
        <v>市场1</v>
      </c>
      <c r="J67" s="270" t="str">
        <f>J62</f>
        <v>市场2</v>
      </c>
      <c r="K67" s="270" t="str">
        <f>K62</f>
        <v>市场3</v>
      </c>
      <c r="L67" s="270" t="str">
        <f>L62</f>
        <v>市场4</v>
      </c>
      <c r="M67" s="410" t="s">
        <v>693</v>
      </c>
      <c r="N67" s="117" t="s">
        <v>729</v>
      </c>
      <c r="O67" s="117" t="s">
        <v>38</v>
      </c>
      <c r="P67" s="117" t="s">
        <v>39</v>
      </c>
      <c r="Q67" s="117" t="s">
        <v>40</v>
      </c>
      <c r="R67" s="117" t="s">
        <v>41</v>
      </c>
      <c r="S67" s="74"/>
      <c r="T67" s="120"/>
      <c r="U67" s="269" t="s">
        <v>522</v>
      </c>
      <c r="V67" s="150">
        <f t="shared" ref="V67:V69" si="85">ABS(IF(AB55=0,0,V61/AB55))</f>
        <v>0</v>
      </c>
      <c r="W67" s="150">
        <f t="shared" si="84"/>
        <v>0</v>
      </c>
      <c r="X67" s="150">
        <f t="shared" si="84"/>
        <v>0</v>
      </c>
      <c r="Y67" s="150">
        <f t="shared" si="84"/>
        <v>0</v>
      </c>
      <c r="Z67" s="74"/>
      <c r="AA67" s="73"/>
      <c r="AB67" s="74"/>
      <c r="AC67" s="74"/>
      <c r="AD67" s="74"/>
      <c r="AE67" s="74"/>
      <c r="AF67" s="74"/>
      <c r="AG67" s="74"/>
      <c r="AH67" s="73"/>
      <c r="AI67" s="367"/>
      <c r="AJ67" s="362"/>
      <c r="AK67" s="362"/>
      <c r="AL67" s="362"/>
      <c r="AM67" s="362"/>
      <c r="AN67" s="362"/>
      <c r="AO67" s="362"/>
      <c r="AP67" s="362"/>
      <c r="AQ67" s="362"/>
      <c r="AR67" s="362"/>
      <c r="AS67" s="362"/>
      <c r="AT67" s="362"/>
      <c r="AU67" s="362"/>
      <c r="AV67" s="362"/>
      <c r="AW67" s="362"/>
      <c r="AX67" s="362"/>
      <c r="AY67" s="362"/>
      <c r="AZ67" s="193"/>
      <c r="BA67" s="195">
        <f t="shared" si="77"/>
        <v>0</v>
      </c>
      <c r="BB67" s="205">
        <f>IF(BT18=1,AL120/(第3期!AP120/2+AP120),0)</f>
        <v>0</v>
      </c>
      <c r="BC67" s="203"/>
      <c r="BD67" s="194">
        <f t="shared" si="78"/>
        <v>0</v>
      </c>
      <c r="BE67" s="209" t="e">
        <f t="shared" si="79"/>
        <v>#DIV/0!</v>
      </c>
      <c r="BF67" s="209" t="e">
        <f t="shared" si="79"/>
        <v>#DIV/0!</v>
      </c>
      <c r="BG67" s="209" t="e">
        <f t="shared" si="79"/>
        <v>#DIV/0!</v>
      </c>
      <c r="BH67" s="209" t="e">
        <f t="shared" si="79"/>
        <v>#DIV/0!</v>
      </c>
      <c r="BI67" s="203"/>
      <c r="BJ67" s="203"/>
      <c r="BK67" s="203"/>
      <c r="BL67" s="203"/>
      <c r="BM67" s="203"/>
      <c r="BN67" s="203"/>
      <c r="BO67" s="203"/>
      <c r="BP67" s="203"/>
      <c r="BQ67" s="203"/>
      <c r="BR67" s="211"/>
      <c r="BS67" s="211"/>
      <c r="BT67" s="211"/>
      <c r="BU67" s="211"/>
      <c r="BV67" s="211"/>
      <c r="BW67" s="211"/>
      <c r="BX67" s="211"/>
      <c r="BY67" s="211"/>
      <c r="BZ67" s="211"/>
      <c r="CA67" s="211"/>
      <c r="CB67" s="211"/>
      <c r="CC67" s="211"/>
      <c r="CD67" s="211"/>
      <c r="CE67" s="211"/>
      <c r="CF67" s="211"/>
      <c r="CG67" s="211"/>
      <c r="CH67" s="211"/>
      <c r="CI67" s="211"/>
      <c r="CJ67" s="62"/>
    </row>
    <row r="68" s="61" customFormat="1" ht="16" customHeight="1" spans="1:88">
      <c r="A68" s="269" t="s">
        <v>694</v>
      </c>
      <c r="B68" s="77" t="e">
        <f>F64</f>
        <v>#DIV/0!</v>
      </c>
      <c r="C68" s="77" t="e">
        <f>B68</f>
        <v>#DIV/0!</v>
      </c>
      <c r="D68" s="74"/>
      <c r="E68" s="328" t="s">
        <v>345</v>
      </c>
      <c r="F68" s="235">
        <f>L17</f>
        <v>0</v>
      </c>
      <c r="G68" s="73"/>
      <c r="H68" s="270" t="str">
        <f>H63</f>
        <v>产品1</v>
      </c>
      <c r="I68" s="77">
        <f t="shared" ref="I68:L71" si="86">V84</f>
        <v>0</v>
      </c>
      <c r="J68" s="77">
        <f t="shared" si="86"/>
        <v>0</v>
      </c>
      <c r="K68" s="77">
        <f t="shared" si="86"/>
        <v>0</v>
      </c>
      <c r="L68" s="77">
        <f t="shared" si="86"/>
        <v>0</v>
      </c>
      <c r="M68" s="333">
        <f>SUM(I63:L63)</f>
        <v>0</v>
      </c>
      <c r="N68" s="117" t="s">
        <v>198</v>
      </c>
      <c r="O68" s="118">
        <f>IF(第3期!$AI$9=0,4,ABS((V23-第3期!V23)/((V17-第3期!V17)-IF(第3期!$J6&gt;0,10,0))))</f>
        <v>4</v>
      </c>
      <c r="P68" s="118">
        <f>IF(第3期!$AI$9=0,4,ABS((W23-第3期!W23)/((W17-第3期!W17)-IF(第3期!$J6&gt;0,10,0))))</f>
        <v>4</v>
      </c>
      <c r="Q68" s="118">
        <f>IF(第3期!$AI$9=0,3,ABS((X23-第3期!X23)/((X17-第3期!X17)-IF(第3期!$J6&gt;0,10,0))))</f>
        <v>3</v>
      </c>
      <c r="R68" s="118">
        <f>IF(第3期!$AI$9=0,3,ABS((Y23-第3期!Y23)/((Y17-第3期!Y17)-IF(第3期!$J6&gt;0,10,0))))</f>
        <v>3</v>
      </c>
      <c r="S68" s="74"/>
      <c r="T68" s="120"/>
      <c r="U68" s="269" t="s">
        <v>523</v>
      </c>
      <c r="V68" s="150">
        <f t="shared" si="85"/>
        <v>0</v>
      </c>
      <c r="W68" s="150">
        <f t="shared" si="84"/>
        <v>0</v>
      </c>
      <c r="X68" s="150">
        <f t="shared" si="84"/>
        <v>0</v>
      </c>
      <c r="Y68" s="150">
        <f t="shared" si="84"/>
        <v>0</v>
      </c>
      <c r="Z68" s="74"/>
      <c r="AA68" s="73"/>
      <c r="AB68" s="74"/>
      <c r="AC68" s="74"/>
      <c r="AD68" s="74"/>
      <c r="AE68" s="74"/>
      <c r="AF68" s="74"/>
      <c r="AG68" s="74"/>
      <c r="AH68" s="73"/>
      <c r="AI68" s="367"/>
      <c r="AJ68" s="362"/>
      <c r="AK68" s="362"/>
      <c r="AL68" s="362"/>
      <c r="AM68" s="362"/>
      <c r="AN68" s="362"/>
      <c r="AO68" s="362"/>
      <c r="AP68" s="362"/>
      <c r="AQ68" s="362"/>
      <c r="AR68" s="362"/>
      <c r="AS68" s="362"/>
      <c r="AT68" s="362"/>
      <c r="AU68" s="362"/>
      <c r="AV68" s="362"/>
      <c r="AW68" s="362"/>
      <c r="AX68" s="362"/>
      <c r="AY68" s="362"/>
      <c r="AZ68" s="193"/>
      <c r="BA68" s="195">
        <f t="shared" si="77"/>
        <v>0</v>
      </c>
      <c r="BB68" s="205">
        <f>IF(BT19=1,AL121/(第3期!AP121/2+AP121),0)</f>
        <v>0</v>
      </c>
      <c r="BC68" s="203"/>
      <c r="BD68" s="194">
        <f t="shared" si="78"/>
        <v>0</v>
      </c>
      <c r="BE68" s="209" t="e">
        <f t="shared" si="79"/>
        <v>#DIV/0!</v>
      </c>
      <c r="BF68" s="209" t="e">
        <f t="shared" si="79"/>
        <v>#DIV/0!</v>
      </c>
      <c r="BG68" s="209" t="e">
        <f t="shared" si="79"/>
        <v>#DIV/0!</v>
      </c>
      <c r="BH68" s="209" t="e">
        <f t="shared" si="79"/>
        <v>#DIV/0!</v>
      </c>
      <c r="BI68" s="203"/>
      <c r="BJ68" s="203"/>
      <c r="BK68" s="203"/>
      <c r="BL68" s="203"/>
      <c r="BM68" s="203"/>
      <c r="BN68" s="203"/>
      <c r="BO68" s="203"/>
      <c r="BP68" s="203"/>
      <c r="BQ68" s="203"/>
      <c r="BR68" s="211"/>
      <c r="BS68" s="211"/>
      <c r="BT68" s="211"/>
      <c r="BU68" s="211"/>
      <c r="BV68" s="211"/>
      <c r="BW68" s="211"/>
      <c r="BX68" s="211"/>
      <c r="BY68" s="211"/>
      <c r="BZ68" s="211"/>
      <c r="CA68" s="211"/>
      <c r="CB68" s="211"/>
      <c r="CC68" s="211"/>
      <c r="CD68" s="211"/>
      <c r="CE68" s="211"/>
      <c r="CF68" s="211"/>
      <c r="CG68" s="211"/>
      <c r="CH68" s="211"/>
      <c r="CI68" s="211"/>
      <c r="CJ68" s="62"/>
    </row>
    <row r="69" s="61" customFormat="1" ht="16" customHeight="1" spans="1:88">
      <c r="A69" s="269" t="s">
        <v>695</v>
      </c>
      <c r="B69" s="77">
        <f>D24</f>
        <v>0</v>
      </c>
      <c r="C69" s="77" t="e">
        <f t="shared" ref="C69:C76" si="87">C68+B69</f>
        <v>#DIV/0!</v>
      </c>
      <c r="D69" s="74"/>
      <c r="E69" s="328" t="s">
        <v>346</v>
      </c>
      <c r="F69" s="235" t="e">
        <f>O49</f>
        <v>#DIV/0!</v>
      </c>
      <c r="G69" s="73"/>
      <c r="H69" s="270" t="str">
        <f>H64</f>
        <v>产品2</v>
      </c>
      <c r="I69" s="77">
        <f t="shared" si="86"/>
        <v>0</v>
      </c>
      <c r="J69" s="77">
        <f t="shared" si="86"/>
        <v>0</v>
      </c>
      <c r="K69" s="77">
        <f t="shared" si="86"/>
        <v>0</v>
      </c>
      <c r="L69" s="77">
        <f t="shared" si="86"/>
        <v>0</v>
      </c>
      <c r="M69" s="333">
        <f>SUM(I64:L64)</f>
        <v>0</v>
      </c>
      <c r="N69" s="117" t="s">
        <v>202</v>
      </c>
      <c r="O69" s="118">
        <f>IF(第3期!$AI$9=0,5,ABS((V24-第3期!V24)/((V18-第3期!V18)-IF(第3期!$J7&gt;0,10,0))))</f>
        <v>5</v>
      </c>
      <c r="P69" s="118">
        <f>IF(第3期!$AI$9=0,5,ABS((W24-第3期!W24)/((W18-第3期!W18)-IF(第3期!$J7&gt;0,10,0))))</f>
        <v>5</v>
      </c>
      <c r="Q69" s="118">
        <f>IF(第3期!$AI$9=0,4,ABS((X24-第3期!X24)/((X18-第3期!X18)-IF(第3期!$J7&gt;0,10,0))))</f>
        <v>4</v>
      </c>
      <c r="R69" s="118">
        <f>IF(第3期!$AI$9=0,4,ABS((Y24-第3期!Y24)/((Y18-第3期!Y18)-IF(第3期!$J7&gt;0,10,0))))</f>
        <v>4</v>
      </c>
      <c r="S69" s="74"/>
      <c r="T69" s="120"/>
      <c r="U69" s="269" t="s">
        <v>524</v>
      </c>
      <c r="V69" s="150">
        <f t="shared" si="85"/>
        <v>0</v>
      </c>
      <c r="W69" s="150">
        <f t="shared" si="84"/>
        <v>0</v>
      </c>
      <c r="X69" s="150">
        <f t="shared" si="84"/>
        <v>0</v>
      </c>
      <c r="Y69" s="150">
        <f t="shared" si="84"/>
        <v>0</v>
      </c>
      <c r="Z69" s="74"/>
      <c r="AA69" s="73"/>
      <c r="AB69" s="74"/>
      <c r="AC69" s="74"/>
      <c r="AD69" s="74"/>
      <c r="AE69" s="74"/>
      <c r="AF69" s="74"/>
      <c r="AG69" s="74"/>
      <c r="AH69" s="73"/>
      <c r="AI69" s="367"/>
      <c r="AJ69" s="362"/>
      <c r="AK69" s="362"/>
      <c r="AL69" s="362"/>
      <c r="AM69" s="362"/>
      <c r="AN69" s="362"/>
      <c r="AO69" s="362"/>
      <c r="AP69" s="362"/>
      <c r="AQ69" s="362"/>
      <c r="AR69" s="362"/>
      <c r="AS69" s="362"/>
      <c r="AT69" s="362"/>
      <c r="AU69" s="362"/>
      <c r="AV69" s="362"/>
      <c r="AW69" s="362"/>
      <c r="AX69" s="362"/>
      <c r="AY69" s="362"/>
      <c r="AZ69" s="193"/>
      <c r="BA69" s="195">
        <f t="shared" si="77"/>
        <v>0</v>
      </c>
      <c r="BB69" s="205">
        <f>IF(BT20=1,AL122/(第3期!AP122/2+AP122),0)</f>
        <v>0</v>
      </c>
      <c r="BC69" s="203"/>
      <c r="BD69" s="194">
        <f t="shared" si="78"/>
        <v>0</v>
      </c>
      <c r="BE69" s="209" t="e">
        <f t="shared" si="79"/>
        <v>#DIV/0!</v>
      </c>
      <c r="BF69" s="209" t="e">
        <f t="shared" si="79"/>
        <v>#DIV/0!</v>
      </c>
      <c r="BG69" s="209" t="e">
        <f t="shared" si="79"/>
        <v>#DIV/0!</v>
      </c>
      <c r="BH69" s="209" t="e">
        <f t="shared" si="79"/>
        <v>#DIV/0!</v>
      </c>
      <c r="BI69" s="203"/>
      <c r="BJ69" s="203"/>
      <c r="BK69" s="203"/>
      <c r="BL69" s="203"/>
      <c r="BM69" s="203"/>
      <c r="BN69" s="203"/>
      <c r="BO69" s="203"/>
      <c r="BP69" s="203"/>
      <c r="BQ69" s="203"/>
      <c r="BR69" s="211"/>
      <c r="BS69" s="211"/>
      <c r="BT69" s="211"/>
      <c r="BU69" s="211"/>
      <c r="BV69" s="211"/>
      <c r="BW69" s="211"/>
      <c r="BX69" s="211"/>
      <c r="BY69" s="211"/>
      <c r="BZ69" s="211"/>
      <c r="CA69" s="211"/>
      <c r="CB69" s="211"/>
      <c r="CC69" s="211"/>
      <c r="CD69" s="211"/>
      <c r="CE69" s="211"/>
      <c r="CF69" s="211"/>
      <c r="CG69" s="211"/>
      <c r="CH69" s="211"/>
      <c r="CI69" s="211"/>
      <c r="CJ69" s="62"/>
    </row>
    <row r="70" s="61" customFormat="1" ht="16" customHeight="1" spans="1:88">
      <c r="A70" s="269" t="s">
        <v>441</v>
      </c>
      <c r="B70" s="77">
        <f>L43</f>
        <v>0</v>
      </c>
      <c r="C70" s="77" t="e">
        <f t="shared" si="87"/>
        <v>#DIV/0!</v>
      </c>
      <c r="D70" s="74"/>
      <c r="E70" s="328" t="s">
        <v>441</v>
      </c>
      <c r="F70" s="236">
        <f>L43</f>
        <v>0</v>
      </c>
      <c r="G70" s="73"/>
      <c r="H70" s="270" t="str">
        <f>H65</f>
        <v>产品3</v>
      </c>
      <c r="I70" s="77">
        <f t="shared" si="86"/>
        <v>0</v>
      </c>
      <c r="J70" s="77">
        <f t="shared" si="86"/>
        <v>0</v>
      </c>
      <c r="K70" s="77">
        <f t="shared" si="86"/>
        <v>0</v>
      </c>
      <c r="L70" s="77">
        <f t="shared" si="86"/>
        <v>0</v>
      </c>
      <c r="M70" s="333">
        <f>SUM(I65:L65)</f>
        <v>0</v>
      </c>
      <c r="N70" s="117" t="s">
        <v>206</v>
      </c>
      <c r="O70" s="118">
        <f>IF(第3期!$AI$9=0,8,ABS((V25-第3期!V25)/((V19-第3期!V19)-IF(第3期!$J8&gt;0,5,0))))</f>
        <v>8</v>
      </c>
      <c r="P70" s="118">
        <f>IF(第3期!$AI$9=0,8,ABS((W25-第3期!W25)/((W19-第3期!W19)-IF(第3期!$J8&gt;0,5,0))))</f>
        <v>8</v>
      </c>
      <c r="Q70" s="118">
        <f>IF(第3期!$AI$9=0,7,ABS((X25-第3期!X25)/((X19-第3期!X19)-IF(第3期!$J8&gt;0,5,0))))</f>
        <v>7</v>
      </c>
      <c r="R70" s="118">
        <f>IF(第3期!$AI$9=0,7,ABS((Y25-第3期!Y25)/((Y19-第3期!Y19)-IF(第3期!$J8&gt;0,5,0))))</f>
        <v>7</v>
      </c>
      <c r="S70" s="74"/>
      <c r="T70" s="120"/>
      <c r="U70" s="74"/>
      <c r="V70" s="74"/>
      <c r="W70" s="74"/>
      <c r="X70" s="74"/>
      <c r="Y70" s="74"/>
      <c r="Z70" s="74"/>
      <c r="AA70" s="73"/>
      <c r="AB70" s="74"/>
      <c r="AC70" s="74"/>
      <c r="AD70" s="74"/>
      <c r="AE70" s="74"/>
      <c r="AF70" s="74"/>
      <c r="AG70" s="74"/>
      <c r="AH70" s="73"/>
      <c r="AI70" s="367"/>
      <c r="AJ70" s="362"/>
      <c r="AK70" s="362"/>
      <c r="AL70" s="362"/>
      <c r="AM70" s="362"/>
      <c r="AN70" s="362"/>
      <c r="AO70" s="362"/>
      <c r="AP70" s="362"/>
      <c r="AQ70" s="362"/>
      <c r="AR70" s="362"/>
      <c r="AS70" s="362"/>
      <c r="AT70" s="362"/>
      <c r="AU70" s="362"/>
      <c r="AV70" s="362"/>
      <c r="AW70" s="362"/>
      <c r="AX70" s="362"/>
      <c r="AY70" s="362"/>
      <c r="AZ70" s="193"/>
      <c r="BA70" s="195">
        <f t="shared" si="77"/>
        <v>0</v>
      </c>
      <c r="BB70" s="205">
        <f>IF(BT21=1,AL123/(第3期!AP123/2+AP123),0)</f>
        <v>0</v>
      </c>
      <c r="BC70" s="203"/>
      <c r="BD70" s="194">
        <f t="shared" si="78"/>
        <v>0</v>
      </c>
      <c r="BE70" s="209" t="e">
        <f t="shared" si="79"/>
        <v>#DIV/0!</v>
      </c>
      <c r="BF70" s="209" t="e">
        <f t="shared" si="79"/>
        <v>#DIV/0!</v>
      </c>
      <c r="BG70" s="209" t="e">
        <f t="shared" si="79"/>
        <v>#DIV/0!</v>
      </c>
      <c r="BH70" s="209" t="e">
        <f t="shared" si="79"/>
        <v>#DIV/0!</v>
      </c>
      <c r="BI70" s="203"/>
      <c r="BJ70" s="203"/>
      <c r="BK70" s="203"/>
      <c r="BL70" s="203"/>
      <c r="BM70" s="203"/>
      <c r="BN70" s="203"/>
      <c r="BO70" s="203"/>
      <c r="BP70" s="203"/>
      <c r="BQ70" s="203"/>
      <c r="BR70" s="211"/>
      <c r="BS70" s="211"/>
      <c r="BT70" s="211"/>
      <c r="BU70" s="211"/>
      <c r="BV70" s="211"/>
      <c r="BW70" s="211"/>
      <c r="BX70" s="211"/>
      <c r="BY70" s="211"/>
      <c r="BZ70" s="211"/>
      <c r="CA70" s="211"/>
      <c r="CB70" s="211"/>
      <c r="CC70" s="211"/>
      <c r="CD70" s="211"/>
      <c r="CE70" s="211"/>
      <c r="CF70" s="211"/>
      <c r="CG70" s="211"/>
      <c r="CH70" s="211"/>
      <c r="CI70" s="211"/>
      <c r="CJ70" s="62"/>
    </row>
    <row r="71" s="61" customFormat="1" ht="16" customHeight="1" spans="1:88">
      <c r="A71" s="269" t="s">
        <v>696</v>
      </c>
      <c r="B71" s="77">
        <f>(SUM(AP9:AP12)+I56)*初始化表!E22</f>
        <v>0</v>
      </c>
      <c r="C71" s="77" t="e">
        <f t="shared" si="87"/>
        <v>#DIV/0!</v>
      </c>
      <c r="D71" s="74"/>
      <c r="E71" s="328" t="s">
        <v>697</v>
      </c>
      <c r="F71" s="236" t="e">
        <f>F64</f>
        <v>#DIV/0!</v>
      </c>
      <c r="G71" s="73"/>
      <c r="H71" s="270" t="str">
        <f>H66</f>
        <v>产品4</v>
      </c>
      <c r="I71" s="77">
        <f t="shared" si="86"/>
        <v>0</v>
      </c>
      <c r="J71" s="77">
        <f t="shared" si="86"/>
        <v>0</v>
      </c>
      <c r="K71" s="77">
        <f t="shared" si="86"/>
        <v>0</v>
      </c>
      <c r="L71" s="77">
        <f t="shared" si="86"/>
        <v>0</v>
      </c>
      <c r="M71" s="333">
        <f>SUM(I66:L66)</f>
        <v>0</v>
      </c>
      <c r="N71" s="117" t="s">
        <v>208</v>
      </c>
      <c r="O71" s="118">
        <f>IF(第3期!$AI$9=0,12,ABS((V26-第3期!V26)/((V20-第3期!V20)-IF(第3期!$J9&gt;0,5,0))))</f>
        <v>12</v>
      </c>
      <c r="P71" s="118">
        <f>IF(第3期!$AI$9=0,12,ABS((W26-第3期!W26)/((W20-第3期!W20)-IF(第3期!$J9&gt;0,5,0))))</f>
        <v>12</v>
      </c>
      <c r="Q71" s="118">
        <f>IF(第3期!$AI$9=0,10,ABS((X26-第3期!X26)/((X20-第3期!X20)-IF(第3期!$J9&gt;0,5,0))))</f>
        <v>10</v>
      </c>
      <c r="R71" s="118">
        <f>IF(第3期!$AI$9=0,10,ABS((Y26-第3期!Y26)/((Y20-第3期!Y20)-IF(第3期!$J9&gt;0,5,0))))</f>
        <v>10</v>
      </c>
      <c r="S71" s="74"/>
      <c r="T71" s="120"/>
      <c r="U71" s="68" t="s">
        <v>656</v>
      </c>
      <c r="V71" s="68" t="s">
        <v>459</v>
      </c>
      <c r="W71" s="68" t="s">
        <v>460</v>
      </c>
      <c r="X71" s="68" t="s">
        <v>461</v>
      </c>
      <c r="Y71" s="68" t="s">
        <v>462</v>
      </c>
      <c r="Z71" s="74"/>
      <c r="AA71" s="73"/>
      <c r="AB71" s="74"/>
      <c r="AC71" s="74"/>
      <c r="AD71" s="74"/>
      <c r="AE71" s="74"/>
      <c r="AF71" s="74"/>
      <c r="AG71" s="74"/>
      <c r="AH71" s="73"/>
      <c r="AI71" s="367"/>
      <c r="AJ71" s="362"/>
      <c r="AK71" s="362"/>
      <c r="AL71" s="362"/>
      <c r="AM71" s="362"/>
      <c r="AN71" s="362"/>
      <c r="AO71" s="362"/>
      <c r="AP71" s="362"/>
      <c r="AQ71" s="362"/>
      <c r="AR71" s="362"/>
      <c r="AS71" s="362"/>
      <c r="AT71" s="362"/>
      <c r="AU71" s="362"/>
      <c r="AV71" s="362"/>
      <c r="AW71" s="362"/>
      <c r="AX71" s="362"/>
      <c r="AY71" s="362"/>
      <c r="AZ71" s="193"/>
      <c r="BA71" s="195">
        <f t="shared" si="77"/>
        <v>0</v>
      </c>
      <c r="BB71" s="205">
        <f>IF(BT22=1,AL124/(第3期!AP124/2+AP124),0)</f>
        <v>0</v>
      </c>
      <c r="BC71" s="203"/>
      <c r="BD71" s="194">
        <f t="shared" si="78"/>
        <v>0</v>
      </c>
      <c r="BE71" s="209" t="e">
        <f t="shared" ref="BE71:BH73" si="88">BB48/$BE$31</f>
        <v>#DIV/0!</v>
      </c>
      <c r="BF71" s="209" t="e">
        <f t="shared" si="88"/>
        <v>#DIV/0!</v>
      </c>
      <c r="BG71" s="209" t="e">
        <f t="shared" si="88"/>
        <v>#DIV/0!</v>
      </c>
      <c r="BH71" s="209" t="e">
        <f t="shared" si="88"/>
        <v>#DIV/0!</v>
      </c>
      <c r="BI71" s="203"/>
      <c r="BJ71" s="203"/>
      <c r="BK71" s="203"/>
      <c r="BL71" s="203"/>
      <c r="BM71" s="203"/>
      <c r="BN71" s="203"/>
      <c r="BO71" s="203"/>
      <c r="BP71" s="203"/>
      <c r="BQ71" s="203"/>
      <c r="BR71" s="211"/>
      <c r="BS71" s="211"/>
      <c r="BT71" s="211"/>
      <c r="BU71" s="211"/>
      <c r="BV71" s="211"/>
      <c r="BW71" s="211"/>
      <c r="BX71" s="211"/>
      <c r="BY71" s="211"/>
      <c r="BZ71" s="211"/>
      <c r="CA71" s="211"/>
      <c r="CB71" s="211"/>
      <c r="CC71" s="211"/>
      <c r="CD71" s="211"/>
      <c r="CE71" s="211"/>
      <c r="CF71" s="211"/>
      <c r="CG71" s="211"/>
      <c r="CH71" s="211"/>
      <c r="CI71" s="211"/>
      <c r="CJ71" s="62"/>
    </row>
    <row r="72" s="61" customFormat="1" ht="16" customHeight="1" spans="1:88">
      <c r="A72" s="269" t="s">
        <v>699</v>
      </c>
      <c r="B72" s="77">
        <f>(SUM(AP13:AP16)+J56)*初始化表!F22</f>
        <v>0</v>
      </c>
      <c r="C72" s="77" t="e">
        <f t="shared" si="87"/>
        <v>#DIV/0!</v>
      </c>
      <c r="D72" s="74"/>
      <c r="E72" s="328" t="s">
        <v>457</v>
      </c>
      <c r="F72" s="236" t="e">
        <f>B77</f>
        <v>#DIV/0!</v>
      </c>
      <c r="G72" s="73"/>
      <c r="H72" s="270" t="str">
        <f t="shared" ref="H72:L76" si="89">U41</f>
        <v>本期待销</v>
      </c>
      <c r="I72" s="270" t="str">
        <f t="shared" si="89"/>
        <v>市场1</v>
      </c>
      <c r="J72" s="270" t="str">
        <f t="shared" si="89"/>
        <v>市场2</v>
      </c>
      <c r="K72" s="270" t="str">
        <f t="shared" si="89"/>
        <v>市场3</v>
      </c>
      <c r="L72" s="270" t="str">
        <f t="shared" si="89"/>
        <v>市场4</v>
      </c>
      <c r="M72" s="410" t="s">
        <v>700</v>
      </c>
      <c r="N72" s="117" t="s">
        <v>720</v>
      </c>
      <c r="O72" s="117" t="s">
        <v>38</v>
      </c>
      <c r="P72" s="117" t="s">
        <v>39</v>
      </c>
      <c r="Q72" s="117" t="s">
        <v>40</v>
      </c>
      <c r="R72" s="117" t="s">
        <v>41</v>
      </c>
      <c r="S72" s="117" t="s">
        <v>721</v>
      </c>
      <c r="T72" s="120"/>
      <c r="U72" s="68" t="s">
        <v>464</v>
      </c>
      <c r="V72" s="248" t="e">
        <f t="shared" ref="V72:Y75" si="90">INT(IF(IF(B6&lt;V23,(1+((V23-B6)/V23+O10)*15)*IF($F17&gt;$L6,1.1,1)*V17,(1+((V23-B6)/V23+O10)*5)*IF($F17&gt;$L6,1.1,1)*V17)&gt;0,IF(B6&lt;V23,(1+((V23-B6)/V23+O10)*15)*IF($F17&gt;$L6,1.1,1)*V17,(1+((V23-B6)/V23+O10)*5)*IF($F17&gt;$L6,1.1,1)*V17),0))</f>
        <v>#DIV/0!</v>
      </c>
      <c r="W72" s="248" t="e">
        <f t="shared" si="90"/>
        <v>#DIV/0!</v>
      </c>
      <c r="X72" s="248" t="e">
        <f t="shared" si="90"/>
        <v>#DIV/0!</v>
      </c>
      <c r="Y72" s="248" t="e">
        <f t="shared" si="90"/>
        <v>#DIV/0!</v>
      </c>
      <c r="Z72" s="249"/>
      <c r="AA72" s="254"/>
      <c r="AB72" s="249"/>
      <c r="AC72" s="68" t="s">
        <v>673</v>
      </c>
      <c r="AD72" s="68" t="s">
        <v>459</v>
      </c>
      <c r="AE72" s="68" t="s">
        <v>460</v>
      </c>
      <c r="AF72" s="68" t="s">
        <v>461</v>
      </c>
      <c r="AG72" s="68" t="s">
        <v>462</v>
      </c>
      <c r="AH72" s="73"/>
      <c r="AI72" s="367"/>
      <c r="AJ72" s="362"/>
      <c r="AK72" s="362"/>
      <c r="AL72" s="362"/>
      <c r="AM72" s="362"/>
      <c r="AN72" s="362"/>
      <c r="AO72" s="362"/>
      <c r="AP72" s="362"/>
      <c r="AQ72" s="362"/>
      <c r="AR72" s="362"/>
      <c r="AS72" s="362"/>
      <c r="AT72" s="362"/>
      <c r="AU72" s="362"/>
      <c r="AV72" s="362"/>
      <c r="AW72" s="362"/>
      <c r="AX72" s="362"/>
      <c r="AY72" s="362"/>
      <c r="AZ72" s="193"/>
      <c r="BA72" s="195">
        <f t="shared" si="77"/>
        <v>0</v>
      </c>
      <c r="BB72" s="205">
        <f>IF(BT23=1,AL125/(第3期!AP125/2+AP125),0)</f>
        <v>0</v>
      </c>
      <c r="BC72" s="203"/>
      <c r="BD72" s="194">
        <f t="shared" si="78"/>
        <v>0</v>
      </c>
      <c r="BE72" s="209" t="e">
        <f t="shared" si="88"/>
        <v>#DIV/0!</v>
      </c>
      <c r="BF72" s="209" t="e">
        <f t="shared" si="88"/>
        <v>#DIV/0!</v>
      </c>
      <c r="BG72" s="209" t="e">
        <f t="shared" si="88"/>
        <v>#DIV/0!</v>
      </c>
      <c r="BH72" s="209" t="e">
        <f t="shared" si="88"/>
        <v>#DIV/0!</v>
      </c>
      <c r="BI72" s="203"/>
      <c r="BJ72" s="203"/>
      <c r="BK72" s="203"/>
      <c r="BL72" s="203"/>
      <c r="BM72" s="203"/>
      <c r="BN72" s="203"/>
      <c r="BO72" s="203"/>
      <c r="BP72" s="203"/>
      <c r="BQ72" s="203"/>
      <c r="BR72" s="211"/>
      <c r="BS72" s="211"/>
      <c r="BT72" s="211"/>
      <c r="BU72" s="211"/>
      <c r="BV72" s="211"/>
      <c r="BW72" s="211"/>
      <c r="BX72" s="211"/>
      <c r="BY72" s="211"/>
      <c r="BZ72" s="211"/>
      <c r="CA72" s="211"/>
      <c r="CB72" s="211"/>
      <c r="CC72" s="211"/>
      <c r="CD72" s="211"/>
      <c r="CE72" s="211"/>
      <c r="CF72" s="211"/>
      <c r="CG72" s="211"/>
      <c r="CH72" s="211"/>
      <c r="CI72" s="211"/>
      <c r="CJ72" s="62"/>
    </row>
    <row r="73" s="61" customFormat="1" ht="16" customHeight="1" spans="1:88">
      <c r="A73" s="269" t="s">
        <v>701</v>
      </c>
      <c r="B73" s="77">
        <f>(SUM(AP17:AP20)+K56)*初始化表!G22</f>
        <v>0</v>
      </c>
      <c r="C73" s="77" t="e">
        <f t="shared" si="87"/>
        <v>#DIV/0!</v>
      </c>
      <c r="D73" s="74"/>
      <c r="E73" s="328" t="s">
        <v>463</v>
      </c>
      <c r="F73" s="236">
        <f>MAX(P33-B24,0)</f>
        <v>0</v>
      </c>
      <c r="G73" s="73"/>
      <c r="H73" s="270" t="str">
        <f t="shared" si="89"/>
        <v>产品1</v>
      </c>
      <c r="I73" s="77">
        <f t="shared" si="89"/>
        <v>0</v>
      </c>
      <c r="J73" s="77">
        <f t="shared" si="89"/>
        <v>0</v>
      </c>
      <c r="K73" s="77">
        <f t="shared" si="89"/>
        <v>0</v>
      </c>
      <c r="L73" s="77">
        <f t="shared" si="89"/>
        <v>0</v>
      </c>
      <c r="M73" s="334" t="e">
        <f>INT((M68-Z5)/初始化表!$B$4)</f>
        <v>#DIV/0!</v>
      </c>
      <c r="N73" s="117" t="s">
        <v>198</v>
      </c>
      <c r="O73" s="244">
        <f>V42-IF(V17=0,第3期!I73,V17)</f>
        <v>0</v>
      </c>
      <c r="P73" s="244">
        <f>W42-IF(W17=0,第3期!J73,W17)</f>
        <v>0</v>
      </c>
      <c r="Q73" s="244">
        <f>X42-IF(X17=0,第3期!K73,X17)</f>
        <v>0</v>
      </c>
      <c r="R73" s="244">
        <f>Y42-IF(Y17=0,第3期!L73,Y17)</f>
        <v>0</v>
      </c>
      <c r="S73" s="244">
        <f>IF(I85=0,0,ABS(P85-O85)/ABS(I85-J85))</f>
        <v>0</v>
      </c>
      <c r="T73" s="120"/>
      <c r="U73" s="68" t="s">
        <v>465</v>
      </c>
      <c r="V73" s="248" t="e">
        <f t="shared" si="90"/>
        <v>#DIV/0!</v>
      </c>
      <c r="W73" s="248" t="e">
        <f t="shared" si="90"/>
        <v>#DIV/0!</v>
      </c>
      <c r="X73" s="248" t="e">
        <f t="shared" si="90"/>
        <v>#DIV/0!</v>
      </c>
      <c r="Y73" s="248" t="e">
        <f t="shared" si="90"/>
        <v>#DIV/0!</v>
      </c>
      <c r="Z73" s="249"/>
      <c r="AA73" s="254"/>
      <c r="AB73" s="249"/>
      <c r="AC73" s="68" t="s">
        <v>464</v>
      </c>
      <c r="AD73" s="248" t="e">
        <f t="shared" ref="AD73:AG76" si="91">IF(V42&gt;V72,V42-V72,0)</f>
        <v>#DIV/0!</v>
      </c>
      <c r="AE73" s="248" t="e">
        <f t="shared" si="91"/>
        <v>#DIV/0!</v>
      </c>
      <c r="AF73" s="248" t="e">
        <f t="shared" si="91"/>
        <v>#DIV/0!</v>
      </c>
      <c r="AG73" s="248" t="e">
        <f t="shared" si="91"/>
        <v>#DIV/0!</v>
      </c>
      <c r="AH73" s="73"/>
      <c r="AI73" s="367"/>
      <c r="AJ73" s="362"/>
      <c r="AK73" s="362"/>
      <c r="AL73" s="362"/>
      <c r="AM73" s="362"/>
      <c r="AN73" s="362"/>
      <c r="AO73" s="362"/>
      <c r="AP73" s="362"/>
      <c r="AQ73" s="362"/>
      <c r="AR73" s="362"/>
      <c r="AS73" s="362"/>
      <c r="AT73" s="362"/>
      <c r="AU73" s="362"/>
      <c r="AV73" s="362"/>
      <c r="AW73" s="362"/>
      <c r="AX73" s="362"/>
      <c r="AY73" s="362"/>
      <c r="AZ73" s="193"/>
      <c r="BA73" s="195">
        <f t="shared" si="77"/>
        <v>0</v>
      </c>
      <c r="BB73" s="205">
        <f>IF(BT24=1,AL126/(第3期!AP126/2+AP126),0)</f>
        <v>0</v>
      </c>
      <c r="BC73" s="203"/>
      <c r="BD73" s="194">
        <f t="shared" si="78"/>
        <v>0</v>
      </c>
      <c r="BE73" s="209" t="e">
        <f t="shared" si="88"/>
        <v>#DIV/0!</v>
      </c>
      <c r="BF73" s="209" t="e">
        <f t="shared" si="88"/>
        <v>#DIV/0!</v>
      </c>
      <c r="BG73" s="209" t="e">
        <f t="shared" si="88"/>
        <v>#DIV/0!</v>
      </c>
      <c r="BH73" s="209" t="e">
        <f t="shared" si="88"/>
        <v>#DIV/0!</v>
      </c>
      <c r="BI73" s="203"/>
      <c r="BJ73" s="203"/>
      <c r="BK73" s="203"/>
      <c r="BL73" s="203"/>
      <c r="BM73" s="203"/>
      <c r="BN73" s="203"/>
      <c r="BO73" s="203"/>
      <c r="BP73" s="203"/>
      <c r="BQ73" s="203"/>
      <c r="BR73" s="211"/>
      <c r="BS73" s="211"/>
      <c r="BT73" s="211"/>
      <c r="BU73" s="211"/>
      <c r="BV73" s="211"/>
      <c r="BW73" s="211"/>
      <c r="BX73" s="211"/>
      <c r="BY73" s="211"/>
      <c r="BZ73" s="211"/>
      <c r="CA73" s="211"/>
      <c r="CB73" s="211"/>
      <c r="CC73" s="211"/>
      <c r="CD73" s="211"/>
      <c r="CE73" s="211"/>
      <c r="CF73" s="211"/>
      <c r="CG73" s="211"/>
      <c r="CH73" s="211"/>
      <c r="CI73" s="211"/>
      <c r="CJ73" s="62"/>
    </row>
    <row r="74" s="61" customFormat="1" ht="16" customHeight="1" spans="1:88">
      <c r="A74" s="269" t="s">
        <v>702</v>
      </c>
      <c r="B74" s="77">
        <f>(SUM(AP21:AP24)+L56)*初始化表!H22</f>
        <v>0</v>
      </c>
      <c r="C74" s="77" t="e">
        <f t="shared" si="87"/>
        <v>#DIV/0!</v>
      </c>
      <c r="D74" s="74"/>
      <c r="E74" s="328" t="s">
        <v>703</v>
      </c>
      <c r="F74" s="236">
        <f>D24</f>
        <v>0</v>
      </c>
      <c r="G74" s="73"/>
      <c r="H74" s="270" t="str">
        <f t="shared" si="89"/>
        <v>产品2</v>
      </c>
      <c r="I74" s="77">
        <f t="shared" si="89"/>
        <v>0</v>
      </c>
      <c r="J74" s="77">
        <f t="shared" si="89"/>
        <v>0</v>
      </c>
      <c r="K74" s="77">
        <f t="shared" si="89"/>
        <v>0</v>
      </c>
      <c r="L74" s="77">
        <f t="shared" si="89"/>
        <v>0</v>
      </c>
      <c r="M74" s="334" t="e">
        <f>INT((M69-Z6)/初始化表!$B$4)</f>
        <v>#DIV/0!</v>
      </c>
      <c r="N74" s="117" t="s">
        <v>202</v>
      </c>
      <c r="O74" s="244">
        <f>V43-IF(V18=0,第3期!I74,V18)</f>
        <v>0</v>
      </c>
      <c r="P74" s="244">
        <f>W43-IF(W18=0,第3期!J74,W18)</f>
        <v>0</v>
      </c>
      <c r="Q74" s="244">
        <f>X43-IF(X18=0,第3期!K74,X18)</f>
        <v>0</v>
      </c>
      <c r="R74" s="244">
        <f>Y43-IF(Y18=0,第3期!L74,Y18)</f>
        <v>0</v>
      </c>
      <c r="S74" s="244">
        <f>IF(I86=0,0,ABS(P86-O86)/ABS(I86-J86))</f>
        <v>0</v>
      </c>
      <c r="T74" s="120"/>
      <c r="U74" s="68" t="s">
        <v>466</v>
      </c>
      <c r="V74" s="248" t="e">
        <f t="shared" si="90"/>
        <v>#DIV/0!</v>
      </c>
      <c r="W74" s="248" t="e">
        <f t="shared" si="90"/>
        <v>#DIV/0!</v>
      </c>
      <c r="X74" s="248" t="e">
        <f t="shared" si="90"/>
        <v>#DIV/0!</v>
      </c>
      <c r="Y74" s="248" t="e">
        <f t="shared" si="90"/>
        <v>#DIV/0!</v>
      </c>
      <c r="Z74" s="249"/>
      <c r="AA74" s="254"/>
      <c r="AB74" s="249"/>
      <c r="AC74" s="68" t="s">
        <v>465</v>
      </c>
      <c r="AD74" s="248" t="e">
        <f t="shared" si="91"/>
        <v>#DIV/0!</v>
      </c>
      <c r="AE74" s="248" t="e">
        <f t="shared" si="91"/>
        <v>#DIV/0!</v>
      </c>
      <c r="AF74" s="248" t="e">
        <f t="shared" si="91"/>
        <v>#DIV/0!</v>
      </c>
      <c r="AG74" s="248" t="e">
        <f t="shared" si="91"/>
        <v>#DIV/0!</v>
      </c>
      <c r="AH74" s="73"/>
      <c r="AI74" s="367"/>
      <c r="AJ74" s="362"/>
      <c r="AK74" s="362"/>
      <c r="AL74" s="362"/>
      <c r="AM74" s="362"/>
      <c r="AN74" s="362"/>
      <c r="AO74" s="362"/>
      <c r="AP74" s="362"/>
      <c r="AQ74" s="362"/>
      <c r="AR74" s="362"/>
      <c r="AS74" s="362"/>
      <c r="AT74" s="362"/>
      <c r="AU74" s="362"/>
      <c r="AV74" s="362"/>
      <c r="AW74" s="362"/>
      <c r="AX74" s="362"/>
      <c r="AY74" s="362"/>
      <c r="AZ74" s="193"/>
      <c r="BA74" s="429"/>
      <c r="BB74" s="208"/>
      <c r="BC74" s="203"/>
      <c r="BD74" s="203"/>
      <c r="BE74" s="203"/>
      <c r="BF74" s="203"/>
      <c r="BG74" s="203"/>
      <c r="BH74" s="203"/>
      <c r="BI74" s="203"/>
      <c r="BJ74" s="203"/>
      <c r="BK74" s="203"/>
      <c r="BL74" s="203"/>
      <c r="BM74" s="203"/>
      <c r="BN74" s="203"/>
      <c r="BO74" s="203"/>
      <c r="BP74" s="203"/>
      <c r="BQ74" s="203"/>
      <c r="BR74" s="211"/>
      <c r="BS74" s="211"/>
      <c r="BT74" s="211"/>
      <c r="BU74" s="211"/>
      <c r="BV74" s="211"/>
      <c r="BW74" s="211"/>
      <c r="BX74" s="211"/>
      <c r="BY74" s="211"/>
      <c r="BZ74" s="211"/>
      <c r="CA74" s="211"/>
      <c r="CB74" s="211"/>
      <c r="CC74" s="211"/>
      <c r="CD74" s="211"/>
      <c r="CE74" s="211"/>
      <c r="CF74" s="211"/>
      <c r="CG74" s="211"/>
      <c r="CH74" s="211"/>
      <c r="CI74" s="211"/>
      <c r="CJ74" s="62"/>
    </row>
    <row r="75" s="61" customFormat="1" ht="16" customHeight="1" spans="1:88">
      <c r="A75" s="269" t="s">
        <v>442</v>
      </c>
      <c r="B75" s="77">
        <f>SUM(F17:F20)/2</f>
        <v>0</v>
      </c>
      <c r="C75" s="77" t="e">
        <f t="shared" si="87"/>
        <v>#DIV/0!</v>
      </c>
      <c r="D75" s="74"/>
      <c r="E75" s="328" t="s">
        <v>704</v>
      </c>
      <c r="F75" s="236">
        <f>B78</f>
        <v>0</v>
      </c>
      <c r="G75" s="73"/>
      <c r="H75" s="270" t="str">
        <f t="shared" si="89"/>
        <v>产品3</v>
      </c>
      <c r="I75" s="77">
        <f t="shared" si="89"/>
        <v>0</v>
      </c>
      <c r="J75" s="77">
        <f t="shared" si="89"/>
        <v>0</v>
      </c>
      <c r="K75" s="77">
        <f t="shared" si="89"/>
        <v>0</v>
      </c>
      <c r="L75" s="77">
        <f t="shared" si="89"/>
        <v>0</v>
      </c>
      <c r="M75" s="334" t="e">
        <f>INT((M70-Z7)/初始化表!$B$4)</f>
        <v>#DIV/0!</v>
      </c>
      <c r="N75" s="117" t="s">
        <v>206</v>
      </c>
      <c r="O75" s="244">
        <f>V44-IF(V19=0,第3期!I75,V19)</f>
        <v>0</v>
      </c>
      <c r="P75" s="244">
        <f>W44-IF(W19=0,第3期!J75,W19)</f>
        <v>0</v>
      </c>
      <c r="Q75" s="244">
        <f>X44-IF(X19=0,第3期!K75,X19)</f>
        <v>0</v>
      </c>
      <c r="R75" s="244">
        <f>Y44-IF(Y19=0,第3期!L75,Y19)</f>
        <v>0</v>
      </c>
      <c r="S75" s="244">
        <f t="shared" ref="S75:S76" si="92">IF(I87=0,0,ABS(P87-O87)/ABS(I87-J87))</f>
        <v>0</v>
      </c>
      <c r="T75" s="120"/>
      <c r="U75" s="68" t="s">
        <v>468</v>
      </c>
      <c r="V75" s="248" t="e">
        <f t="shared" si="90"/>
        <v>#DIV/0!</v>
      </c>
      <c r="W75" s="248" t="e">
        <f t="shared" si="90"/>
        <v>#DIV/0!</v>
      </c>
      <c r="X75" s="248" t="e">
        <f t="shared" si="90"/>
        <v>#DIV/0!</v>
      </c>
      <c r="Y75" s="248" t="e">
        <f t="shared" si="90"/>
        <v>#DIV/0!</v>
      </c>
      <c r="Z75" s="249"/>
      <c r="AA75" s="254"/>
      <c r="AB75" s="249"/>
      <c r="AC75" s="68" t="s">
        <v>466</v>
      </c>
      <c r="AD75" s="248" t="e">
        <f t="shared" si="91"/>
        <v>#DIV/0!</v>
      </c>
      <c r="AE75" s="248" t="e">
        <f t="shared" si="91"/>
        <v>#DIV/0!</v>
      </c>
      <c r="AF75" s="248" t="e">
        <f t="shared" si="91"/>
        <v>#DIV/0!</v>
      </c>
      <c r="AG75" s="248" t="e">
        <f t="shared" si="91"/>
        <v>#DIV/0!</v>
      </c>
      <c r="AH75" s="73"/>
      <c r="AI75" s="367"/>
      <c r="AJ75" s="362"/>
      <c r="AK75" s="362"/>
      <c r="AL75" s="362"/>
      <c r="AM75" s="362"/>
      <c r="AN75" s="362"/>
      <c r="AO75" s="362"/>
      <c r="AP75" s="362"/>
      <c r="AQ75" s="362"/>
      <c r="AR75" s="362"/>
      <c r="AS75" s="362"/>
      <c r="AT75" s="362"/>
      <c r="AU75" s="362"/>
      <c r="AV75" s="362"/>
      <c r="AW75" s="362"/>
      <c r="AX75" s="362"/>
      <c r="AY75" s="362"/>
      <c r="AZ75" s="193"/>
      <c r="BA75" s="203"/>
      <c r="BB75" s="203"/>
      <c r="BC75" s="203"/>
      <c r="BD75" s="203"/>
      <c r="BE75" s="203"/>
      <c r="BF75" s="203"/>
      <c r="BG75" s="203"/>
      <c r="BH75" s="203"/>
      <c r="BI75" s="203"/>
      <c r="BJ75" s="203"/>
      <c r="BK75" s="203"/>
      <c r="BL75" s="203"/>
      <c r="BM75" s="203"/>
      <c r="BN75" s="203"/>
      <c r="BO75" s="203"/>
      <c r="BP75" s="203"/>
      <c r="BQ75" s="203"/>
      <c r="BR75" s="211"/>
      <c r="BS75" s="211"/>
      <c r="BT75" s="211"/>
      <c r="BU75" s="211"/>
      <c r="BV75" s="211"/>
      <c r="BW75" s="211"/>
      <c r="BX75" s="211"/>
      <c r="BY75" s="211"/>
      <c r="BZ75" s="211"/>
      <c r="CA75" s="211"/>
      <c r="CB75" s="211"/>
      <c r="CC75" s="211"/>
      <c r="CD75" s="211"/>
      <c r="CE75" s="211"/>
      <c r="CF75" s="211"/>
      <c r="CG75" s="211"/>
      <c r="CH75" s="211"/>
      <c r="CI75" s="211"/>
      <c r="CJ75" s="62"/>
    </row>
    <row r="76" s="61" customFormat="1" ht="16" customHeight="1" spans="1:88">
      <c r="A76" s="269" t="s">
        <v>443</v>
      </c>
      <c r="B76" s="77" t="e">
        <f>O49*初始化表!B8</f>
        <v>#DIV/0!</v>
      </c>
      <c r="C76" s="77" t="e">
        <f t="shared" si="87"/>
        <v>#DIV/0!</v>
      </c>
      <c r="D76" s="74"/>
      <c r="E76" s="328" t="s">
        <v>467</v>
      </c>
      <c r="F76" s="236">
        <f>SUM(I6:I9,F17:F20)</f>
        <v>0</v>
      </c>
      <c r="G76" s="73"/>
      <c r="H76" s="270" t="str">
        <f t="shared" si="89"/>
        <v>产品4</v>
      </c>
      <c r="I76" s="77">
        <f t="shared" si="89"/>
        <v>0</v>
      </c>
      <c r="J76" s="77">
        <f t="shared" si="89"/>
        <v>0</v>
      </c>
      <c r="K76" s="77">
        <f t="shared" si="89"/>
        <v>0</v>
      </c>
      <c r="L76" s="77">
        <f t="shared" si="89"/>
        <v>0</v>
      </c>
      <c r="M76" s="334" t="e">
        <f>INT((M71-Z8)/初始化表!$B$4)</f>
        <v>#DIV/0!</v>
      </c>
      <c r="N76" s="117" t="s">
        <v>208</v>
      </c>
      <c r="O76" s="244">
        <f>V45-IF(V20=0,第3期!I76,V20)</f>
        <v>0</v>
      </c>
      <c r="P76" s="244">
        <f>W45-IF(W20=0,第3期!J76,W20)</f>
        <v>0</v>
      </c>
      <c r="Q76" s="244">
        <f>X45-IF(X20=0,第3期!K76,X20)</f>
        <v>0</v>
      </c>
      <c r="R76" s="244">
        <f>Y45-IF(Y20=0,第3期!L76,Y20)</f>
        <v>0</v>
      </c>
      <c r="S76" s="244">
        <f t="shared" si="92"/>
        <v>0</v>
      </c>
      <c r="T76" s="120"/>
      <c r="U76" s="249"/>
      <c r="V76" s="249"/>
      <c r="W76" s="249"/>
      <c r="X76" s="249"/>
      <c r="Y76" s="249"/>
      <c r="Z76" s="249"/>
      <c r="AA76" s="254"/>
      <c r="AB76" s="249"/>
      <c r="AC76" s="68" t="s">
        <v>468</v>
      </c>
      <c r="AD76" s="248" t="e">
        <f t="shared" si="91"/>
        <v>#DIV/0!</v>
      </c>
      <c r="AE76" s="248" t="e">
        <f t="shared" si="91"/>
        <v>#DIV/0!</v>
      </c>
      <c r="AF76" s="248" t="e">
        <f t="shared" si="91"/>
        <v>#DIV/0!</v>
      </c>
      <c r="AG76" s="248" t="e">
        <f t="shared" si="91"/>
        <v>#DIV/0!</v>
      </c>
      <c r="AH76" s="73"/>
      <c r="AI76" s="367"/>
      <c r="AJ76" s="362"/>
      <c r="AK76" s="362"/>
      <c r="AL76" s="362"/>
      <c r="AM76" s="362"/>
      <c r="AN76" s="362"/>
      <c r="AO76" s="362"/>
      <c r="AP76" s="362"/>
      <c r="AQ76" s="362"/>
      <c r="AR76" s="362"/>
      <c r="AS76" s="362"/>
      <c r="AT76" s="362"/>
      <c r="AU76" s="362"/>
      <c r="AV76" s="362"/>
      <c r="AW76" s="362"/>
      <c r="AX76" s="362"/>
      <c r="AY76" s="362"/>
      <c r="AZ76" s="193"/>
      <c r="BA76" s="203"/>
      <c r="BB76" s="203"/>
      <c r="BC76" s="203"/>
      <c r="BD76" s="203"/>
      <c r="BE76" s="203"/>
      <c r="BF76" s="203"/>
      <c r="BG76" s="203"/>
      <c r="BH76" s="203"/>
      <c r="BI76" s="203"/>
      <c r="BJ76" s="203"/>
      <c r="BK76" s="203"/>
      <c r="BL76" s="203"/>
      <c r="BM76" s="203"/>
      <c r="BN76" s="203"/>
      <c r="BO76" s="203"/>
      <c r="BP76" s="203"/>
      <c r="BQ76" s="203"/>
      <c r="BR76" s="211"/>
      <c r="BS76" s="211"/>
      <c r="BT76" s="211"/>
      <c r="BU76" s="211"/>
      <c r="BV76" s="211"/>
      <c r="BW76" s="211"/>
      <c r="BX76" s="211"/>
      <c r="BY76" s="211"/>
      <c r="BZ76" s="211"/>
      <c r="CA76" s="211"/>
      <c r="CB76" s="211"/>
      <c r="CC76" s="211"/>
      <c r="CD76" s="211"/>
      <c r="CE76" s="211"/>
      <c r="CF76" s="211"/>
      <c r="CG76" s="211"/>
      <c r="CH76" s="211"/>
      <c r="CI76" s="211"/>
      <c r="CJ76" s="62"/>
    </row>
    <row r="77" s="61" customFormat="1" ht="16" customHeight="1" spans="1:88">
      <c r="A77" s="269" t="s">
        <v>444</v>
      </c>
      <c r="B77" s="77" t="e">
        <f>第3期!B77-C51</f>
        <v>#DIV/0!</v>
      </c>
      <c r="C77" s="77" t="e">
        <f>C76-B77</f>
        <v>#DIV/0!</v>
      </c>
      <c r="D77" s="74"/>
      <c r="E77" s="328" t="s">
        <v>255</v>
      </c>
      <c r="F77" s="408" t="e">
        <f>D56-E60</f>
        <v>#DIV/0!</v>
      </c>
      <c r="G77" s="73"/>
      <c r="H77" s="269" t="s">
        <v>722</v>
      </c>
      <c r="I77" s="269"/>
      <c r="J77" s="269"/>
      <c r="K77" s="269"/>
      <c r="L77" s="269"/>
      <c r="M77" s="289" t="s">
        <v>723</v>
      </c>
      <c r="N77" s="117" t="s">
        <v>730</v>
      </c>
      <c r="O77" s="117" t="s">
        <v>38</v>
      </c>
      <c r="P77" s="117" t="s">
        <v>39</v>
      </c>
      <c r="Q77" s="117" t="s">
        <v>40</v>
      </c>
      <c r="R77" s="117" t="s">
        <v>41</v>
      </c>
      <c r="S77" s="245" t="s">
        <v>747</v>
      </c>
      <c r="T77" s="120"/>
      <c r="U77" s="68" t="s">
        <v>682</v>
      </c>
      <c r="V77" s="68" t="s">
        <v>38</v>
      </c>
      <c r="W77" s="68" t="s">
        <v>39</v>
      </c>
      <c r="X77" s="68" t="s">
        <v>40</v>
      </c>
      <c r="Y77" s="68" t="s">
        <v>41</v>
      </c>
      <c r="Z77" s="249"/>
      <c r="AA77" s="254"/>
      <c r="AB77" s="249"/>
      <c r="AC77" s="249"/>
      <c r="AD77" s="249"/>
      <c r="AE77" s="249"/>
      <c r="AF77" s="249"/>
      <c r="AG77" s="249"/>
      <c r="AH77" s="73"/>
      <c r="AI77" s="367"/>
      <c r="AJ77" s="362"/>
      <c r="AK77" s="362"/>
      <c r="AL77" s="362"/>
      <c r="AM77" s="362"/>
      <c r="AN77" s="362"/>
      <c r="AO77" s="362"/>
      <c r="AP77" s="362"/>
      <c r="AQ77" s="362"/>
      <c r="AR77" s="362"/>
      <c r="AS77" s="362"/>
      <c r="AT77" s="362"/>
      <c r="AU77" s="362"/>
      <c r="AV77" s="362"/>
      <c r="AW77" s="362"/>
      <c r="AX77" s="362"/>
      <c r="AY77" s="362"/>
      <c r="AZ77" s="193"/>
      <c r="BA77" s="203"/>
      <c r="BB77" s="203"/>
      <c r="BC77" s="203"/>
      <c r="BD77" s="203"/>
      <c r="BE77" s="203"/>
      <c r="BF77" s="203"/>
      <c r="BG77" s="203"/>
      <c r="BH77" s="203"/>
      <c r="BI77" s="203"/>
      <c r="BJ77" s="203"/>
      <c r="BK77" s="203"/>
      <c r="BL77" s="203"/>
      <c r="BM77" s="203"/>
      <c r="BN77" s="203"/>
      <c r="BO77" s="203"/>
      <c r="BP77" s="203"/>
      <c r="BQ77" s="203"/>
      <c r="BR77" s="211"/>
      <c r="BS77" s="211"/>
      <c r="BT77" s="211"/>
      <c r="BU77" s="211"/>
      <c r="BV77" s="211"/>
      <c r="BW77" s="203"/>
      <c r="BX77" s="264"/>
      <c r="BY77" s="211"/>
      <c r="BZ77" s="211"/>
      <c r="CA77" s="211"/>
      <c r="CB77" s="211"/>
      <c r="CC77" s="211"/>
      <c r="CD77" s="211"/>
      <c r="CE77" s="211"/>
      <c r="CF77" s="211"/>
      <c r="CG77" s="211"/>
      <c r="CH77" s="211"/>
      <c r="CI77" s="211"/>
      <c r="CJ77" s="62"/>
    </row>
    <row r="78" s="61" customFormat="1" ht="16" customHeight="1" spans="1:88">
      <c r="A78" s="269" t="s">
        <v>310</v>
      </c>
      <c r="B78" s="71">
        <f>O35+C24+C31</f>
        <v>0</v>
      </c>
      <c r="C78" s="71" t="e">
        <f>C77-B78</f>
        <v>#DIV/0!</v>
      </c>
      <c r="D78" s="74"/>
      <c r="E78" s="328" t="s">
        <v>469</v>
      </c>
      <c r="F78" s="236" t="e">
        <f>-C61</f>
        <v>#DIV/0!</v>
      </c>
      <c r="G78" s="73"/>
      <c r="H78" s="269" t="s">
        <v>521</v>
      </c>
      <c r="I78" s="77" t="e">
        <f>第3期!BN42</f>
        <v>#DIV/0!</v>
      </c>
      <c r="J78" s="77" t="e">
        <f>第3期!BO42</f>
        <v>#DIV/0!</v>
      </c>
      <c r="K78" s="77" t="e">
        <f>第3期!BP42</f>
        <v>#DIV/0!</v>
      </c>
      <c r="L78" s="77" t="e">
        <f>第3期!BQ42</f>
        <v>#DIV/0!</v>
      </c>
      <c r="M78" s="334" t="e">
        <f>SUM(I78:L78)</f>
        <v>#DIV/0!</v>
      </c>
      <c r="N78" s="117" t="s">
        <v>198</v>
      </c>
      <c r="O78" s="244" t="e">
        <f>V23-O68*(O73-IF($J6&gt;0,10,0))</f>
        <v>#DIV/0!</v>
      </c>
      <c r="P78" s="244" t="e">
        <f t="shared" ref="P78:R79" si="93">W23-P68*(P73-IF($J6&gt;0,10,0))</f>
        <v>#DIV/0!</v>
      </c>
      <c r="Q78" s="244" t="e">
        <f t="shared" si="93"/>
        <v>#DIV/0!</v>
      </c>
      <c r="R78" s="244" t="e">
        <f t="shared" si="93"/>
        <v>#DIV/0!</v>
      </c>
      <c r="S78" s="250">
        <f>SUM(第3期!AY107:AY126)</f>
        <v>0</v>
      </c>
      <c r="T78" s="120"/>
      <c r="U78" s="68" t="s">
        <v>198</v>
      </c>
      <c r="V78" s="248" t="e">
        <f>IF(V72&gt;V42,INT((V72-V42)*初始化表!E11),0)</f>
        <v>#DIV/0!</v>
      </c>
      <c r="W78" s="248" t="e">
        <f>IF(W72&gt;W42,INT((W72-W42)*初始化表!F11),0)</f>
        <v>#DIV/0!</v>
      </c>
      <c r="X78" s="248" t="e">
        <f>IF(X72&gt;X42,INT((X72-X42)*初始化表!G11),0)</f>
        <v>#DIV/0!</v>
      </c>
      <c r="Y78" s="248" t="e">
        <f>IF(Y72&gt;Y42,INT((Y72-Y42)*初始化表!H11),0)</f>
        <v>#DIV/0!</v>
      </c>
      <c r="Z78" s="249"/>
      <c r="AA78" s="254"/>
      <c r="AB78" s="249"/>
      <c r="AC78" s="249"/>
      <c r="AD78" s="249"/>
      <c r="AE78" s="249"/>
      <c r="AF78" s="249"/>
      <c r="AG78" s="249"/>
      <c r="AH78" s="73"/>
      <c r="AI78" s="367"/>
      <c r="AJ78" s="362"/>
      <c r="AK78" s="362"/>
      <c r="AL78" s="362"/>
      <c r="AM78" s="362"/>
      <c r="AN78" s="362"/>
      <c r="AO78" s="362"/>
      <c r="AP78" s="362"/>
      <c r="AQ78" s="362"/>
      <c r="AR78" s="362"/>
      <c r="AS78" s="362"/>
      <c r="AT78" s="362"/>
      <c r="AU78" s="362"/>
      <c r="AV78" s="362"/>
      <c r="AW78" s="362"/>
      <c r="AX78" s="362"/>
      <c r="AY78" s="362"/>
      <c r="AZ78" s="63"/>
      <c r="BR78" s="62"/>
      <c r="BS78" s="62"/>
      <c r="BT78" s="62"/>
      <c r="BU78" s="62"/>
      <c r="BV78" s="62"/>
      <c r="BW78" s="62"/>
      <c r="BX78" s="62"/>
      <c r="BY78" s="62"/>
      <c r="BZ78" s="62"/>
      <c r="CA78" s="62"/>
      <c r="CB78" s="62"/>
      <c r="CC78" s="62"/>
      <c r="CD78" s="62"/>
      <c r="CE78" s="62"/>
      <c r="CF78" s="62"/>
      <c r="CG78" s="62"/>
      <c r="CH78" s="62"/>
      <c r="CI78" s="62"/>
      <c r="CJ78" s="62"/>
    </row>
    <row r="79" s="61" customFormat="1" ht="16" customHeight="1" spans="1:88">
      <c r="A79" s="269" t="s">
        <v>446</v>
      </c>
      <c r="B79" s="77">
        <f>-C62</f>
        <v>0</v>
      </c>
      <c r="C79" s="77" t="e">
        <f>C78+B79</f>
        <v>#DIV/0!</v>
      </c>
      <c r="D79" s="74"/>
      <c r="E79" s="328" t="s">
        <v>470</v>
      </c>
      <c r="F79" s="236" t="e">
        <f>第3期!F79*(1+初始化表!B27/4)+F78</f>
        <v>#DIV/0!</v>
      </c>
      <c r="G79" s="73"/>
      <c r="H79" s="269" t="s">
        <v>522</v>
      </c>
      <c r="I79" s="77" t="e">
        <f>第3期!BN43</f>
        <v>#DIV/0!</v>
      </c>
      <c r="J79" s="77" t="e">
        <f>第3期!BO43</f>
        <v>#DIV/0!</v>
      </c>
      <c r="K79" s="77" t="e">
        <f>第3期!BP43</f>
        <v>#DIV/0!</v>
      </c>
      <c r="L79" s="77" t="e">
        <f>第3期!BQ43</f>
        <v>#DIV/0!</v>
      </c>
      <c r="M79" s="334" t="e">
        <f>SUM(I79:L79)</f>
        <v>#DIV/0!</v>
      </c>
      <c r="N79" s="117" t="s">
        <v>202</v>
      </c>
      <c r="O79" s="244" t="e">
        <f t="shared" ref="O79" si="94">V24-O69*(O74-IF($J7&gt;0,10,0))</f>
        <v>#DIV/0!</v>
      </c>
      <c r="P79" s="244" t="e">
        <f t="shared" si="93"/>
        <v>#DIV/0!</v>
      </c>
      <c r="Q79" s="244" t="e">
        <f t="shared" si="93"/>
        <v>#DIV/0!</v>
      </c>
      <c r="R79" s="244" t="e">
        <f t="shared" si="93"/>
        <v>#DIV/0!</v>
      </c>
      <c r="S79" s="74"/>
      <c r="T79" s="120"/>
      <c r="U79" s="68" t="s">
        <v>202</v>
      </c>
      <c r="V79" s="248" t="e">
        <f>IF(V73&gt;V43,INT((V73-V43)*初始化表!E12),0)</f>
        <v>#DIV/0!</v>
      </c>
      <c r="W79" s="248" t="e">
        <f>IF(W73&gt;W43,INT((W73-W43)*初始化表!F12),0)</f>
        <v>#DIV/0!</v>
      </c>
      <c r="X79" s="248" t="e">
        <f>IF(X73&gt;X43,INT((X73-X43)*初始化表!G12),0)</f>
        <v>#DIV/0!</v>
      </c>
      <c r="Y79" s="248" t="e">
        <f>IF(Y73&gt;Y43,INT((Y73-Y43)*初始化表!H12),0)</f>
        <v>#DIV/0!</v>
      </c>
      <c r="Z79" s="249"/>
      <c r="AA79" s="254"/>
      <c r="AB79" s="249"/>
      <c r="AC79" s="249"/>
      <c r="AD79" s="249"/>
      <c r="AE79" s="249"/>
      <c r="AF79" s="249"/>
      <c r="AG79" s="249"/>
      <c r="AH79" s="73"/>
      <c r="AI79" s="367"/>
      <c r="AJ79" s="362"/>
      <c r="AK79" s="362"/>
      <c r="AL79" s="362"/>
      <c r="AM79" s="362"/>
      <c r="AN79" s="362"/>
      <c r="AO79" s="362"/>
      <c r="AP79" s="362"/>
      <c r="AQ79" s="362"/>
      <c r="AR79" s="362"/>
      <c r="AS79" s="362"/>
      <c r="AT79" s="362"/>
      <c r="AU79" s="362"/>
      <c r="AV79" s="362"/>
      <c r="AW79" s="362"/>
      <c r="AX79" s="362"/>
      <c r="AY79" s="362"/>
      <c r="AZ79" s="63"/>
      <c r="BR79" s="62"/>
      <c r="BS79" s="62"/>
      <c r="BT79" s="62"/>
      <c r="BU79" s="62"/>
      <c r="BV79" s="62"/>
      <c r="BW79" s="62"/>
      <c r="BX79" s="62"/>
      <c r="BY79" s="62"/>
      <c r="BZ79" s="62"/>
      <c r="CA79" s="62"/>
      <c r="CB79" s="62"/>
      <c r="CC79" s="62"/>
      <c r="CD79" s="62"/>
      <c r="CE79" s="62"/>
      <c r="CF79" s="62"/>
      <c r="CG79" s="62"/>
      <c r="CH79" s="62"/>
      <c r="CI79" s="62"/>
      <c r="CJ79" s="62"/>
    </row>
    <row r="80" s="61" customFormat="1" ht="16" customHeight="1" spans="1:88">
      <c r="A80" s="269" t="s">
        <v>705</v>
      </c>
      <c r="B80" s="77" t="e">
        <f>C79</f>
        <v>#DIV/0!</v>
      </c>
      <c r="C80" s="77"/>
      <c r="D80" s="74"/>
      <c r="E80" s="328" t="s">
        <v>471</v>
      </c>
      <c r="F80" s="408" t="e">
        <f>IF(F77&lt;0,F77*初始化表!B26+第3期!F80,IF(F77*初始化表!B25&gt;-第3期!F80,0,第3期!F80+F77*初始化表!B25))</f>
        <v>#DIV/0!</v>
      </c>
      <c r="G80" s="73"/>
      <c r="H80" s="269" t="s">
        <v>523</v>
      </c>
      <c r="I80" s="77" t="e">
        <f>第3期!BN44</f>
        <v>#DIV/0!</v>
      </c>
      <c r="J80" s="77" t="e">
        <f>第3期!BO44</f>
        <v>#DIV/0!</v>
      </c>
      <c r="K80" s="77" t="e">
        <f>第3期!BP44</f>
        <v>#DIV/0!</v>
      </c>
      <c r="L80" s="77" t="e">
        <f>第3期!BQ44</f>
        <v>#DIV/0!</v>
      </c>
      <c r="M80" s="334" t="e">
        <f>SUM(I80:L80)</f>
        <v>#DIV/0!</v>
      </c>
      <c r="N80" s="117" t="s">
        <v>206</v>
      </c>
      <c r="O80" s="244" t="e">
        <f>V25-O70*(O75-IF($J8&gt;0,5,0))</f>
        <v>#DIV/0!</v>
      </c>
      <c r="P80" s="244" t="e">
        <f t="shared" ref="P80:R80" si="95">W25-P70*(P75-IF($J8&gt;0,5,0))</f>
        <v>#DIV/0!</v>
      </c>
      <c r="Q80" s="244" t="e">
        <f t="shared" si="95"/>
        <v>#DIV/0!</v>
      </c>
      <c r="R80" s="244" t="e">
        <f t="shared" si="95"/>
        <v>#DIV/0!</v>
      </c>
      <c r="S80" s="74"/>
      <c r="T80" s="120"/>
      <c r="U80" s="68" t="s">
        <v>206</v>
      </c>
      <c r="V80" s="248" t="e">
        <f>IF(V74&gt;V44,INT((V74-V44)*初始化表!E13),0)</f>
        <v>#DIV/0!</v>
      </c>
      <c r="W80" s="248" t="e">
        <f>IF(W74&gt;W44,INT((W74-W44)*初始化表!F13),0)</f>
        <v>#DIV/0!</v>
      </c>
      <c r="X80" s="248" t="e">
        <f>IF(X74&gt;X44,INT((X74-X44)*初始化表!G13),0)</f>
        <v>#DIV/0!</v>
      </c>
      <c r="Y80" s="248" t="e">
        <f>IF(Y74&gt;Y44,INT((Y74-Y44)*初始化表!H13),0)</f>
        <v>#DIV/0!</v>
      </c>
      <c r="Z80" s="249"/>
      <c r="AA80" s="254"/>
      <c r="AB80" s="249"/>
      <c r="AC80" s="249"/>
      <c r="AD80" s="249"/>
      <c r="AE80" s="249"/>
      <c r="AF80" s="249"/>
      <c r="AG80" s="249"/>
      <c r="AH80" s="73"/>
      <c r="AI80" s="367"/>
      <c r="AJ80" s="362"/>
      <c r="AK80" s="362"/>
      <c r="AL80" s="362"/>
      <c r="AM80" s="362"/>
      <c r="AN80" s="362"/>
      <c r="AO80" s="362"/>
      <c r="AP80" s="362"/>
      <c r="AQ80" s="362"/>
      <c r="AR80" s="362"/>
      <c r="AS80" s="362"/>
      <c r="AT80" s="362"/>
      <c r="AU80" s="362"/>
      <c r="AV80" s="362"/>
      <c r="AW80" s="362"/>
      <c r="AX80" s="362"/>
      <c r="AY80" s="362"/>
      <c r="AZ80" s="63"/>
      <c r="BR80" s="62"/>
      <c r="BS80" s="62"/>
      <c r="BT80" s="62"/>
      <c r="BU80" s="62"/>
      <c r="BV80" s="62"/>
      <c r="BW80" s="62"/>
      <c r="BX80" s="62"/>
      <c r="BY80" s="62"/>
      <c r="BZ80" s="62"/>
      <c r="CA80" s="62"/>
      <c r="CB80" s="62"/>
      <c r="CC80" s="62"/>
      <c r="CD80" s="62"/>
      <c r="CE80" s="62"/>
      <c r="CF80" s="62"/>
      <c r="CG80" s="62"/>
      <c r="CH80" s="62"/>
      <c r="CI80" s="62"/>
      <c r="CJ80" s="62"/>
    </row>
    <row r="81" s="61" customFormat="1" ht="16" customHeight="1" spans="1:88">
      <c r="A81" s="74"/>
      <c r="B81" s="74"/>
      <c r="C81" s="74"/>
      <c r="D81" s="74"/>
      <c r="E81" s="328" t="s">
        <v>264</v>
      </c>
      <c r="F81" s="236" t="e">
        <f>第3期!F81*(1+初始化表!B27/4)+E24</f>
        <v>#DIV/0!</v>
      </c>
      <c r="G81" s="73"/>
      <c r="H81" s="409" t="s">
        <v>524</v>
      </c>
      <c r="I81" s="335" t="e">
        <f>第3期!BN45</f>
        <v>#DIV/0!</v>
      </c>
      <c r="J81" s="335" t="e">
        <f>第3期!BO45</f>
        <v>#DIV/0!</v>
      </c>
      <c r="K81" s="335" t="e">
        <f>第3期!BP45</f>
        <v>#DIV/0!</v>
      </c>
      <c r="L81" s="335" t="e">
        <f>第3期!BQ45</f>
        <v>#DIV/0!</v>
      </c>
      <c r="M81" s="336" t="e">
        <f>SUM(I81:L81)</f>
        <v>#DIV/0!</v>
      </c>
      <c r="N81" s="117" t="s">
        <v>208</v>
      </c>
      <c r="O81" s="244" t="e">
        <f t="shared" ref="O81:R81" si="96">V26-O71*(O76-IF($J9&gt;0,5,0))</f>
        <v>#DIV/0!</v>
      </c>
      <c r="P81" s="244" t="e">
        <f t="shared" si="96"/>
        <v>#DIV/0!</v>
      </c>
      <c r="Q81" s="244" t="e">
        <f t="shared" si="96"/>
        <v>#DIV/0!</v>
      </c>
      <c r="R81" s="244" t="e">
        <f t="shared" si="96"/>
        <v>#DIV/0!</v>
      </c>
      <c r="S81" s="74"/>
      <c r="T81" s="120"/>
      <c r="U81" s="68" t="s">
        <v>208</v>
      </c>
      <c r="V81" s="248" t="e">
        <f>IF(V75&gt;V45,INT((V75-V45)*初始化表!E14),0)</f>
        <v>#DIV/0!</v>
      </c>
      <c r="W81" s="248" t="e">
        <f>IF(W75&gt;W45,INT((W75-W45)*初始化表!F14),0)</f>
        <v>#DIV/0!</v>
      </c>
      <c r="X81" s="248" t="e">
        <f>IF(X75&gt;X45,INT((X75-X45)*初始化表!G14),0)</f>
        <v>#DIV/0!</v>
      </c>
      <c r="Y81" s="248" t="e">
        <f>IF(Y75&gt;Y45,INT((Y75-Y45)*初始化表!H14),0)</f>
        <v>#DIV/0!</v>
      </c>
      <c r="Z81" s="249"/>
      <c r="AA81" s="254"/>
      <c r="AB81" s="249"/>
      <c r="AC81" s="249"/>
      <c r="AD81" s="249"/>
      <c r="AE81" s="249"/>
      <c r="AF81" s="249"/>
      <c r="AG81" s="249"/>
      <c r="AH81" s="73"/>
      <c r="AZ81" s="63"/>
      <c r="BR81" s="62"/>
      <c r="BS81" s="62"/>
      <c r="BT81" s="62"/>
      <c r="BU81" s="62"/>
      <c r="BV81" s="62"/>
      <c r="BW81" s="62"/>
      <c r="BX81" s="62"/>
      <c r="BY81" s="62"/>
      <c r="BZ81" s="62"/>
      <c r="CA81" s="62"/>
      <c r="CB81" s="62"/>
      <c r="CC81" s="62"/>
      <c r="CD81" s="62"/>
      <c r="CE81" s="62"/>
      <c r="CF81" s="62"/>
      <c r="CG81" s="62"/>
      <c r="CH81" s="62"/>
      <c r="CI81" s="62"/>
      <c r="CJ81" s="62"/>
    </row>
    <row r="82" s="61" customFormat="1" ht="16" customHeight="1" spans="1:88">
      <c r="A82" s="74"/>
      <c r="B82" s="74"/>
      <c r="C82" s="74"/>
      <c r="D82" s="74"/>
      <c r="E82" s="328" t="s">
        <v>268</v>
      </c>
      <c r="F82" s="408" t="e">
        <f>B80</f>
        <v>#DIV/0!</v>
      </c>
      <c r="G82" s="73"/>
      <c r="H82" s="376" t="s">
        <v>724</v>
      </c>
      <c r="I82" s="377"/>
      <c r="J82" s="377"/>
      <c r="K82" s="377"/>
      <c r="L82" s="377"/>
      <c r="M82" s="377"/>
      <c r="N82" s="377"/>
      <c r="O82" s="377"/>
      <c r="P82" s="377"/>
      <c r="Q82" s="377"/>
      <c r="R82" s="377"/>
      <c r="S82" s="74"/>
      <c r="T82" s="120"/>
      <c r="U82" s="249"/>
      <c r="V82" s="249"/>
      <c r="W82" s="249"/>
      <c r="X82" s="249"/>
      <c r="Y82" s="249"/>
      <c r="Z82" s="249"/>
      <c r="AA82" s="254"/>
      <c r="AB82" s="249"/>
      <c r="AC82" s="249"/>
      <c r="AD82" s="249"/>
      <c r="AE82" s="249"/>
      <c r="AF82" s="249"/>
      <c r="AG82" s="249"/>
      <c r="AH82" s="73"/>
      <c r="AI82" s="68" t="s">
        <v>488</v>
      </c>
      <c r="AJ82" s="69"/>
      <c r="AK82" s="69"/>
      <c r="AL82" s="69"/>
      <c r="AM82" s="69"/>
      <c r="AN82" s="69"/>
      <c r="AO82" s="69"/>
      <c r="AP82" s="69"/>
      <c r="AQ82" s="69"/>
      <c r="AR82" s="69"/>
      <c r="AS82" s="69"/>
      <c r="AT82" s="69"/>
      <c r="AU82" s="69"/>
      <c r="AV82" s="69"/>
      <c r="AZ82" s="63"/>
      <c r="BR82" s="62"/>
      <c r="BS82" s="62"/>
      <c r="BT82" s="62"/>
      <c r="BU82" s="62"/>
      <c r="BV82" s="62"/>
      <c r="BW82" s="62"/>
      <c r="BX82" s="62"/>
      <c r="BY82" s="62"/>
      <c r="BZ82" s="62"/>
      <c r="CA82" s="62"/>
      <c r="CB82" s="62"/>
      <c r="CC82" s="62"/>
      <c r="CD82" s="62"/>
      <c r="CE82" s="62"/>
      <c r="CF82" s="62"/>
      <c r="CG82" s="62"/>
      <c r="CH82" s="62"/>
      <c r="CI82" s="62"/>
      <c r="CJ82" s="62"/>
    </row>
    <row r="83" s="61" customFormat="1" ht="16" customHeight="1" spans="1:88">
      <c r="A83" s="74"/>
      <c r="B83" s="74"/>
      <c r="C83" s="74"/>
      <c r="D83" s="74"/>
      <c r="E83" s="328" t="s">
        <v>270</v>
      </c>
      <c r="F83" s="236" t="e">
        <f>IF(初始化表!B1=1,F77/(L17+K18),F77/L17)</f>
        <v>#DIV/0!</v>
      </c>
      <c r="G83" s="73"/>
      <c r="H83" s="377"/>
      <c r="I83" s="377"/>
      <c r="J83" s="377"/>
      <c r="K83" s="377"/>
      <c r="L83" s="377"/>
      <c r="M83" s="377"/>
      <c r="N83" s="377"/>
      <c r="O83" s="377"/>
      <c r="P83" s="377"/>
      <c r="Q83" s="377"/>
      <c r="R83" s="377"/>
      <c r="S83" s="74"/>
      <c r="T83" s="120"/>
      <c r="U83" s="269" t="s">
        <v>687</v>
      </c>
      <c r="V83" s="269" t="s">
        <v>513</v>
      </c>
      <c r="W83" s="269" t="s">
        <v>514</v>
      </c>
      <c r="X83" s="269" t="s">
        <v>515</v>
      </c>
      <c r="Y83" s="269" t="s">
        <v>516</v>
      </c>
      <c r="Z83" s="249"/>
      <c r="AA83" s="254"/>
      <c r="AB83" s="249"/>
      <c r="AC83" s="249"/>
      <c r="AD83" s="249"/>
      <c r="AE83" s="249"/>
      <c r="AF83" s="249"/>
      <c r="AG83" s="249"/>
      <c r="AH83" s="73"/>
      <c r="AI83" s="163" t="s">
        <v>37</v>
      </c>
      <c r="AJ83" s="69" t="s">
        <v>343</v>
      </c>
      <c r="AK83" s="69" t="s">
        <v>344</v>
      </c>
      <c r="AL83" s="69" t="s">
        <v>345</v>
      </c>
      <c r="AM83" s="69" t="s">
        <v>346</v>
      </c>
      <c r="AN83" s="69" t="s">
        <v>310</v>
      </c>
      <c r="AO83" s="69" t="s">
        <v>313</v>
      </c>
      <c r="AP83" s="69" t="s">
        <v>347</v>
      </c>
      <c r="AQ83" s="69" t="s">
        <v>264</v>
      </c>
      <c r="AR83" s="69" t="s">
        <v>268</v>
      </c>
      <c r="AS83" s="69" t="s">
        <v>270</v>
      </c>
      <c r="AT83" s="69" t="s">
        <v>272</v>
      </c>
      <c r="AU83" s="69" t="str">
        <f>IF(初始化表!$B1=1,"综合评分","")</f>
        <v/>
      </c>
      <c r="AV83" s="69" t="str">
        <f>IF(初始化表!$B1=1,"总评名次","")</f>
        <v/>
      </c>
      <c r="AZ83" s="63"/>
      <c r="BR83" s="62"/>
      <c r="BS83" s="62"/>
      <c r="BT83" s="62"/>
      <c r="BU83" s="62"/>
      <c r="BV83" s="62"/>
      <c r="BW83" s="62"/>
      <c r="BX83" s="62"/>
      <c r="BY83" s="62"/>
      <c r="BZ83" s="62"/>
      <c r="CA83" s="62"/>
      <c r="CB83" s="62"/>
      <c r="CC83" s="62"/>
      <c r="CD83" s="62"/>
      <c r="CE83" s="62"/>
      <c r="CF83" s="62"/>
      <c r="CG83" s="62"/>
      <c r="CH83" s="62"/>
      <c r="CI83" s="62"/>
      <c r="CJ83" s="62"/>
    </row>
    <row r="84" s="61" customFormat="1" ht="16" customHeight="1" spans="1:88">
      <c r="A84" s="74"/>
      <c r="B84" s="74"/>
      <c r="C84" s="74"/>
      <c r="D84" s="74"/>
      <c r="E84" s="328" t="s">
        <v>707</v>
      </c>
      <c r="F84" s="239" t="e">
        <f>F77/(F82+F75+C37)</f>
        <v>#DIV/0!</v>
      </c>
      <c r="G84" s="73"/>
      <c r="H84" s="269" t="s">
        <v>548</v>
      </c>
      <c r="I84" s="269" t="s">
        <v>513</v>
      </c>
      <c r="J84" s="269" t="s">
        <v>514</v>
      </c>
      <c r="K84" s="269" t="s">
        <v>515</v>
      </c>
      <c r="L84" s="269" t="s">
        <v>516</v>
      </c>
      <c r="M84" s="269" t="s">
        <v>549</v>
      </c>
      <c r="N84" s="269" t="s">
        <v>561</v>
      </c>
      <c r="O84" s="269" t="s">
        <v>513</v>
      </c>
      <c r="P84" s="269" t="s">
        <v>514</v>
      </c>
      <c r="Q84" s="269" t="s">
        <v>515</v>
      </c>
      <c r="R84" s="269" t="s">
        <v>516</v>
      </c>
      <c r="S84" s="74"/>
      <c r="T84" s="120"/>
      <c r="U84" s="269" t="s">
        <v>521</v>
      </c>
      <c r="V84" s="251">
        <f>INT(B12*(1-$O$43)+0.5)</f>
        <v>0</v>
      </c>
      <c r="W84" s="251">
        <f>INT(C12*(1-$O$43)+0.5)</f>
        <v>0</v>
      </c>
      <c r="X84" s="251">
        <f>INT(D12*(1-$O$43)+0.5)</f>
        <v>0</v>
      </c>
      <c r="Y84" s="251">
        <f>INT(E12*(1-$O$43)+0.5)</f>
        <v>0</v>
      </c>
      <c r="Z84" s="249"/>
      <c r="AA84" s="254"/>
      <c r="AB84" s="249"/>
      <c r="AC84" s="249"/>
      <c r="AD84" s="249"/>
      <c r="AE84" s="249"/>
      <c r="AF84" s="249"/>
      <c r="AG84" s="249"/>
      <c r="AH84" s="73"/>
      <c r="AI84" s="367"/>
      <c r="AJ84" s="360"/>
      <c r="AK84" s="360"/>
      <c r="AL84" s="360"/>
      <c r="AM84" s="360"/>
      <c r="AN84" s="360"/>
      <c r="AO84" s="360"/>
      <c r="AP84" s="360"/>
      <c r="AQ84" s="360"/>
      <c r="AR84" s="360"/>
      <c r="AS84" s="360"/>
      <c r="AT84" s="360"/>
      <c r="AU84" s="261"/>
      <c r="AV84" s="261"/>
      <c r="AZ84" s="63"/>
      <c r="BR84" s="62"/>
      <c r="BS84" s="62"/>
      <c r="BT84" s="62"/>
      <c r="BU84" s="62"/>
      <c r="BV84" s="62"/>
      <c r="BW84" s="62"/>
      <c r="BX84" s="62"/>
      <c r="BY84" s="62"/>
      <c r="BZ84" s="62"/>
      <c r="CA84" s="62"/>
      <c r="CB84" s="62"/>
      <c r="CC84" s="62"/>
      <c r="CD84" s="62"/>
      <c r="CE84" s="62"/>
      <c r="CF84" s="62"/>
      <c r="CG84" s="62"/>
      <c r="CH84" s="62"/>
      <c r="CI84" s="62"/>
      <c r="CJ84" s="62"/>
    </row>
    <row r="85" s="61" customFormat="1" ht="16" customHeight="1" spans="1:88">
      <c r="A85" s="74"/>
      <c r="B85" s="74"/>
      <c r="C85" s="74"/>
      <c r="D85" s="74"/>
      <c r="E85" s="74"/>
      <c r="F85" s="74"/>
      <c r="G85" s="73"/>
      <c r="H85" s="269" t="s">
        <v>521</v>
      </c>
      <c r="I85" s="115">
        <f>V17</f>
        <v>0</v>
      </c>
      <c r="J85" s="115">
        <f t="shared" ref="J85:L88" si="97">W17</f>
        <v>0</v>
      </c>
      <c r="K85" s="115">
        <f t="shared" si="97"/>
        <v>0</v>
      </c>
      <c r="L85" s="115">
        <f t="shared" si="97"/>
        <v>0</v>
      </c>
      <c r="M85" s="115">
        <f>SUM(I85:L85)</f>
        <v>0</v>
      </c>
      <c r="N85" s="68" t="s">
        <v>464</v>
      </c>
      <c r="O85" s="115" t="e">
        <f>V23</f>
        <v>#DIV/0!</v>
      </c>
      <c r="P85" s="115" t="e">
        <f t="shared" ref="P85:R88" si="98">W23</f>
        <v>#DIV/0!</v>
      </c>
      <c r="Q85" s="115" t="e">
        <f t="shared" si="98"/>
        <v>#DIV/0!</v>
      </c>
      <c r="R85" s="115" t="e">
        <f t="shared" si="98"/>
        <v>#DIV/0!</v>
      </c>
      <c r="S85" s="74"/>
      <c r="T85" s="120"/>
      <c r="U85" s="269" t="s">
        <v>522</v>
      </c>
      <c r="V85" s="251">
        <f>INT(B13*(1-$P$43)+0.5)</f>
        <v>0</v>
      </c>
      <c r="W85" s="251">
        <f>INT(C13*(1-$P$43)+0.5)</f>
        <v>0</v>
      </c>
      <c r="X85" s="251">
        <f>INT(D13*(1-$P$43)+0.5)</f>
        <v>0</v>
      </c>
      <c r="Y85" s="251">
        <f>INT(E13*(1-$P$43)+0.5)</f>
        <v>0</v>
      </c>
      <c r="Z85" s="249"/>
      <c r="AA85" s="254"/>
      <c r="AB85" s="249"/>
      <c r="AC85" s="249"/>
      <c r="AD85" s="249"/>
      <c r="AE85" s="249"/>
      <c r="AF85" s="249"/>
      <c r="AG85" s="249"/>
      <c r="AH85" s="73"/>
      <c r="AI85" s="367"/>
      <c r="AJ85" s="360"/>
      <c r="AK85" s="360"/>
      <c r="AL85" s="360"/>
      <c r="AM85" s="360"/>
      <c r="AN85" s="360"/>
      <c r="AO85" s="360"/>
      <c r="AP85" s="360"/>
      <c r="AQ85" s="360"/>
      <c r="AR85" s="360"/>
      <c r="AS85" s="360"/>
      <c r="AT85" s="360"/>
      <c r="AU85" s="261"/>
      <c r="AV85" s="261"/>
      <c r="AZ85" s="63"/>
      <c r="BR85" s="62"/>
      <c r="BS85" s="62"/>
      <c r="BT85" s="62"/>
      <c r="BU85" s="62"/>
      <c r="BV85" s="62"/>
      <c r="BW85" s="62"/>
      <c r="BX85" s="62"/>
      <c r="BY85" s="62"/>
      <c r="BZ85" s="62"/>
      <c r="CA85" s="62"/>
      <c r="CB85" s="62"/>
      <c r="CC85" s="62"/>
      <c r="CD85" s="62"/>
      <c r="CE85" s="62"/>
      <c r="CF85" s="62"/>
      <c r="CG85" s="62"/>
      <c r="CH85" s="62"/>
      <c r="CI85" s="62"/>
      <c r="CJ85" s="62"/>
    </row>
    <row r="86" s="61" customFormat="1" ht="16" customHeight="1" spans="1:88">
      <c r="A86" s="74"/>
      <c r="B86" s="74"/>
      <c r="C86" s="74"/>
      <c r="D86" s="74"/>
      <c r="E86" s="74"/>
      <c r="F86" s="74"/>
      <c r="G86" s="73"/>
      <c r="H86" s="269" t="s">
        <v>522</v>
      </c>
      <c r="I86" s="115">
        <f t="shared" ref="I86:I88" si="99">V18</f>
        <v>0</v>
      </c>
      <c r="J86" s="115">
        <f t="shared" si="97"/>
        <v>0</v>
      </c>
      <c r="K86" s="115">
        <f t="shared" si="97"/>
        <v>0</v>
      </c>
      <c r="L86" s="115">
        <f t="shared" si="97"/>
        <v>0</v>
      </c>
      <c r="M86" s="115">
        <f t="shared" ref="M86:M88" si="100">SUM(I86:L86)</f>
        <v>0</v>
      </c>
      <c r="N86" s="68" t="s">
        <v>465</v>
      </c>
      <c r="O86" s="115" t="e">
        <f t="shared" ref="O86:O88" si="101">V24</f>
        <v>#DIV/0!</v>
      </c>
      <c r="P86" s="115" t="e">
        <f t="shared" si="98"/>
        <v>#DIV/0!</v>
      </c>
      <c r="Q86" s="115" t="e">
        <f t="shared" si="98"/>
        <v>#DIV/0!</v>
      </c>
      <c r="R86" s="115" t="e">
        <f t="shared" si="98"/>
        <v>#DIV/0!</v>
      </c>
      <c r="S86" s="74"/>
      <c r="T86" s="120"/>
      <c r="U86" s="269" t="s">
        <v>523</v>
      </c>
      <c r="V86" s="251">
        <f>INT(B14*(1-$Q$43)+0.5)</f>
        <v>0</v>
      </c>
      <c r="W86" s="251">
        <f>INT(C14*(1-$Q$43)+0.5)</f>
        <v>0</v>
      </c>
      <c r="X86" s="251">
        <f>INT(D14*(1-$Q$43)+0.5)</f>
        <v>0</v>
      </c>
      <c r="Y86" s="251">
        <f>INT(E14*(1-$Q$43)+0.5)</f>
        <v>0</v>
      </c>
      <c r="Z86" s="74"/>
      <c r="AA86" s="73"/>
      <c r="AB86" s="74"/>
      <c r="AC86" s="74"/>
      <c r="AD86" s="74"/>
      <c r="AE86" s="74"/>
      <c r="AF86" s="74"/>
      <c r="AG86" s="74"/>
      <c r="AH86" s="73"/>
      <c r="AI86" s="367"/>
      <c r="AJ86" s="360"/>
      <c r="AK86" s="360"/>
      <c r="AL86" s="360"/>
      <c r="AM86" s="360"/>
      <c r="AN86" s="360"/>
      <c r="AO86" s="360"/>
      <c r="AP86" s="360"/>
      <c r="AQ86" s="360"/>
      <c r="AR86" s="360"/>
      <c r="AS86" s="360"/>
      <c r="AT86" s="360"/>
      <c r="AU86" s="261"/>
      <c r="AV86" s="261"/>
      <c r="AZ86" s="63"/>
      <c r="BR86" s="62"/>
      <c r="BS86" s="62"/>
      <c r="BT86" s="62"/>
      <c r="BU86" s="62"/>
      <c r="BV86" s="62"/>
      <c r="BW86" s="62"/>
      <c r="BX86" s="62"/>
      <c r="BY86" s="62"/>
      <c r="BZ86" s="62"/>
      <c r="CA86" s="62"/>
      <c r="CB86" s="62"/>
      <c r="CC86" s="62"/>
      <c r="CD86" s="62"/>
      <c r="CE86" s="62"/>
      <c r="CF86" s="62"/>
      <c r="CG86" s="62"/>
      <c r="CH86" s="62"/>
      <c r="CI86" s="62"/>
      <c r="CJ86" s="62"/>
    </row>
    <row r="87" s="61" customFormat="1" ht="16" customHeight="1" spans="1:88">
      <c r="A87" s="74"/>
      <c r="B87" s="74"/>
      <c r="C87" s="74"/>
      <c r="D87" s="74"/>
      <c r="E87" s="74"/>
      <c r="F87" s="74"/>
      <c r="G87" s="73"/>
      <c r="H87" s="269" t="s">
        <v>523</v>
      </c>
      <c r="I87" s="115">
        <f t="shared" si="99"/>
        <v>0</v>
      </c>
      <c r="J87" s="115">
        <f t="shared" si="97"/>
        <v>0</v>
      </c>
      <c r="K87" s="115">
        <f t="shared" si="97"/>
        <v>0</v>
      </c>
      <c r="L87" s="115">
        <f t="shared" si="97"/>
        <v>0</v>
      </c>
      <c r="M87" s="115">
        <f t="shared" si="100"/>
        <v>0</v>
      </c>
      <c r="N87" s="68" t="s">
        <v>466</v>
      </c>
      <c r="O87" s="115" t="e">
        <f t="shared" si="101"/>
        <v>#DIV/0!</v>
      </c>
      <c r="P87" s="115" t="e">
        <f t="shared" si="98"/>
        <v>#DIV/0!</v>
      </c>
      <c r="Q87" s="115" t="e">
        <f t="shared" si="98"/>
        <v>#DIV/0!</v>
      </c>
      <c r="R87" s="115" t="e">
        <f t="shared" si="98"/>
        <v>#DIV/0!</v>
      </c>
      <c r="S87" s="74"/>
      <c r="T87" s="120"/>
      <c r="U87" s="269" t="s">
        <v>524</v>
      </c>
      <c r="V87" s="251">
        <f>INT(B15*(1-$R$43)+0.5)</f>
        <v>0</v>
      </c>
      <c r="W87" s="251">
        <f>INT(C15*(1-$R$43)+0.5)</f>
        <v>0</v>
      </c>
      <c r="X87" s="251">
        <f>INT(D15*(1-$R$43)+0.5)</f>
        <v>0</v>
      </c>
      <c r="Y87" s="251">
        <f>INT(E15*(1-$R$43)+0.5)</f>
        <v>0</v>
      </c>
      <c r="Z87" s="74"/>
      <c r="AA87" s="73"/>
      <c r="AB87" s="74"/>
      <c r="AC87" s="74"/>
      <c r="AD87" s="74"/>
      <c r="AE87" s="74"/>
      <c r="AF87" s="74"/>
      <c r="AG87" s="74"/>
      <c r="AH87" s="73"/>
      <c r="AI87" s="367"/>
      <c r="AJ87" s="360"/>
      <c r="AK87" s="360"/>
      <c r="AL87" s="360"/>
      <c r="AM87" s="360"/>
      <c r="AN87" s="360"/>
      <c r="AO87" s="360"/>
      <c r="AP87" s="360"/>
      <c r="AQ87" s="360"/>
      <c r="AR87" s="360"/>
      <c r="AS87" s="360"/>
      <c r="AT87" s="360"/>
      <c r="AU87" s="261"/>
      <c r="AV87" s="261"/>
      <c r="AZ87" s="63"/>
      <c r="BR87" s="62"/>
      <c r="BS87" s="62"/>
      <c r="BT87" s="62"/>
      <c r="BU87" s="62"/>
      <c r="BV87" s="62"/>
      <c r="BW87" s="62"/>
      <c r="BX87" s="62"/>
      <c r="BY87" s="62"/>
      <c r="BZ87" s="62"/>
      <c r="CA87" s="62"/>
      <c r="CB87" s="62"/>
      <c r="CC87" s="62"/>
      <c r="CD87" s="62"/>
      <c r="CE87" s="62"/>
      <c r="CF87" s="62"/>
      <c r="CG87" s="62"/>
      <c r="CH87" s="62"/>
      <c r="CI87" s="62"/>
      <c r="CJ87" s="62"/>
    </row>
    <row r="88" s="61" customFormat="1" ht="16" customHeight="1" spans="1:88">
      <c r="A88" s="74"/>
      <c r="B88" s="74"/>
      <c r="C88" s="74"/>
      <c r="D88" s="74"/>
      <c r="E88" s="74"/>
      <c r="F88" s="74"/>
      <c r="G88" s="73"/>
      <c r="H88" s="269" t="s">
        <v>524</v>
      </c>
      <c r="I88" s="115">
        <f t="shared" si="99"/>
        <v>0</v>
      </c>
      <c r="J88" s="115">
        <f t="shared" si="97"/>
        <v>0</v>
      </c>
      <c r="K88" s="115">
        <f t="shared" si="97"/>
        <v>0</v>
      </c>
      <c r="L88" s="115">
        <f t="shared" si="97"/>
        <v>0</v>
      </c>
      <c r="M88" s="115">
        <f t="shared" si="100"/>
        <v>0</v>
      </c>
      <c r="N88" s="68" t="s">
        <v>468</v>
      </c>
      <c r="O88" s="115" t="e">
        <f t="shared" si="101"/>
        <v>#DIV/0!</v>
      </c>
      <c r="P88" s="115" t="e">
        <f t="shared" si="98"/>
        <v>#DIV/0!</v>
      </c>
      <c r="Q88" s="115" t="e">
        <f t="shared" si="98"/>
        <v>#DIV/0!</v>
      </c>
      <c r="R88" s="115" t="e">
        <f t="shared" si="98"/>
        <v>#DIV/0!</v>
      </c>
      <c r="S88" s="74"/>
      <c r="T88" s="120"/>
      <c r="U88" s="74"/>
      <c r="V88" s="74"/>
      <c r="W88" s="74"/>
      <c r="X88" s="74"/>
      <c r="Y88" s="74"/>
      <c r="Z88" s="74"/>
      <c r="AA88" s="73"/>
      <c r="AB88" s="74"/>
      <c r="AC88" s="74"/>
      <c r="AD88" s="74"/>
      <c r="AE88" s="74"/>
      <c r="AF88" s="74"/>
      <c r="AG88" s="74"/>
      <c r="AH88" s="73"/>
      <c r="AI88" s="367"/>
      <c r="AJ88" s="360"/>
      <c r="AK88" s="360"/>
      <c r="AL88" s="360"/>
      <c r="AM88" s="360"/>
      <c r="AN88" s="360"/>
      <c r="AO88" s="360"/>
      <c r="AP88" s="360"/>
      <c r="AQ88" s="360"/>
      <c r="AR88" s="360"/>
      <c r="AS88" s="360"/>
      <c r="AT88" s="360"/>
      <c r="AU88" s="261"/>
      <c r="AV88" s="261"/>
      <c r="AZ88" s="63"/>
      <c r="BR88" s="62"/>
      <c r="BS88" s="62"/>
      <c r="BT88" s="62"/>
      <c r="BU88" s="62"/>
      <c r="BV88" s="62"/>
      <c r="BW88" s="62"/>
      <c r="BX88" s="62"/>
      <c r="BY88" s="62"/>
      <c r="BZ88" s="62"/>
      <c r="CA88" s="62"/>
      <c r="CB88" s="62"/>
      <c r="CC88" s="62"/>
      <c r="CD88" s="62"/>
      <c r="CE88" s="62"/>
      <c r="CF88" s="62"/>
      <c r="CG88" s="62"/>
      <c r="CH88" s="62"/>
      <c r="CI88" s="62"/>
      <c r="CJ88" s="62"/>
    </row>
    <row r="89" s="61" customFormat="1" ht="16" customHeight="1" spans="1:88">
      <c r="A89" s="74"/>
      <c r="B89" s="74"/>
      <c r="C89" s="74"/>
      <c r="D89" s="74"/>
      <c r="E89" s="74"/>
      <c r="F89" s="74"/>
      <c r="G89" s="73"/>
      <c r="H89" s="74"/>
      <c r="I89" s="74"/>
      <c r="J89" s="74"/>
      <c r="K89" s="74"/>
      <c r="L89" s="74"/>
      <c r="M89" s="85"/>
      <c r="N89" s="74"/>
      <c r="O89" s="74"/>
      <c r="P89" s="74"/>
      <c r="Q89" s="74"/>
      <c r="R89" s="74"/>
      <c r="S89" s="74"/>
      <c r="T89" s="120"/>
      <c r="U89" s="74"/>
      <c r="V89" s="74"/>
      <c r="W89" s="74"/>
      <c r="X89" s="74"/>
      <c r="Y89" s="74"/>
      <c r="Z89" s="74"/>
      <c r="AA89" s="73"/>
      <c r="AB89" s="74"/>
      <c r="AC89" s="74"/>
      <c r="AD89" s="74"/>
      <c r="AE89" s="74"/>
      <c r="AF89" s="74"/>
      <c r="AG89" s="74"/>
      <c r="AH89" s="73"/>
      <c r="AI89" s="367"/>
      <c r="AJ89" s="360"/>
      <c r="AK89" s="360"/>
      <c r="AL89" s="360"/>
      <c r="AM89" s="360"/>
      <c r="AN89" s="360"/>
      <c r="AO89" s="360"/>
      <c r="AP89" s="360"/>
      <c r="AQ89" s="360"/>
      <c r="AR89" s="360"/>
      <c r="AS89" s="360"/>
      <c r="AT89" s="360"/>
      <c r="AU89" s="261"/>
      <c r="AV89" s="261"/>
      <c r="AZ89" s="63"/>
      <c r="BR89" s="62"/>
      <c r="BS89" s="62"/>
      <c r="BT89" s="62"/>
      <c r="BU89" s="62"/>
      <c r="BV89" s="62"/>
      <c r="BW89" s="62"/>
      <c r="BX89" s="62"/>
      <c r="BY89" s="62"/>
      <c r="BZ89" s="62"/>
      <c r="CA89" s="62"/>
      <c r="CB89" s="62"/>
      <c r="CC89" s="62"/>
      <c r="CD89" s="62"/>
      <c r="CE89" s="62"/>
      <c r="CF89" s="62"/>
      <c r="CG89" s="62"/>
      <c r="CH89" s="62"/>
      <c r="CI89" s="62"/>
      <c r="CJ89" s="62"/>
    </row>
    <row r="90" s="61" customFormat="1" ht="16" customHeight="1" spans="1:88">
      <c r="A90" s="74"/>
      <c r="B90" s="74"/>
      <c r="C90" s="74"/>
      <c r="D90" s="74"/>
      <c r="E90" s="74"/>
      <c r="F90" s="74"/>
      <c r="G90" s="73"/>
      <c r="H90" s="269" t="s">
        <v>731</v>
      </c>
      <c r="I90" s="339" t="s">
        <v>513</v>
      </c>
      <c r="J90" s="339" t="s">
        <v>514</v>
      </c>
      <c r="K90" s="339" t="s">
        <v>515</v>
      </c>
      <c r="L90" s="339" t="s">
        <v>516</v>
      </c>
      <c r="M90" s="340" t="s">
        <v>748</v>
      </c>
      <c r="N90" s="151" t="s">
        <v>562</v>
      </c>
      <c r="O90" s="151" t="s">
        <v>459</v>
      </c>
      <c r="P90" s="151" t="s">
        <v>460</v>
      </c>
      <c r="Q90" s="151" t="s">
        <v>461</v>
      </c>
      <c r="R90" s="151" t="s">
        <v>462</v>
      </c>
      <c r="S90" s="74"/>
      <c r="T90" s="120"/>
      <c r="U90" s="74"/>
      <c r="V90" s="74"/>
      <c r="W90" s="74"/>
      <c r="X90" s="74"/>
      <c r="Y90" s="74"/>
      <c r="Z90" s="74"/>
      <c r="AA90" s="73"/>
      <c r="AB90" s="74"/>
      <c r="AC90" s="74"/>
      <c r="AD90" s="74"/>
      <c r="AE90" s="74"/>
      <c r="AF90" s="74"/>
      <c r="AG90" s="74"/>
      <c r="AH90" s="73"/>
      <c r="AI90" s="367"/>
      <c r="AJ90" s="360"/>
      <c r="AK90" s="360"/>
      <c r="AL90" s="360"/>
      <c r="AM90" s="360"/>
      <c r="AN90" s="360"/>
      <c r="AO90" s="360"/>
      <c r="AP90" s="360"/>
      <c r="AQ90" s="360"/>
      <c r="AR90" s="360"/>
      <c r="AS90" s="360"/>
      <c r="AT90" s="360"/>
      <c r="AU90" s="261"/>
      <c r="AV90" s="261"/>
      <c r="AZ90" s="63"/>
      <c r="BR90" s="62"/>
      <c r="BS90" s="62"/>
      <c r="BT90" s="62"/>
      <c r="BU90" s="62"/>
      <c r="BV90" s="62"/>
      <c r="BW90" s="62"/>
      <c r="BX90" s="62"/>
      <c r="BY90" s="62"/>
      <c r="BZ90" s="62"/>
      <c r="CA90" s="62"/>
      <c r="CB90" s="62"/>
      <c r="CC90" s="62"/>
      <c r="CD90" s="62"/>
      <c r="CE90" s="62"/>
      <c r="CF90" s="62"/>
      <c r="CG90" s="62"/>
      <c r="CH90" s="62"/>
      <c r="CI90" s="62"/>
      <c r="CJ90" s="62"/>
    </row>
    <row r="91" s="61" customFormat="1" ht="16" customHeight="1" spans="1:88">
      <c r="A91" s="74"/>
      <c r="B91" s="74"/>
      <c r="C91" s="74"/>
      <c r="D91" s="74"/>
      <c r="E91" s="74"/>
      <c r="F91" s="74"/>
      <c r="G91" s="73"/>
      <c r="H91" s="269" t="s">
        <v>521</v>
      </c>
      <c r="I91" s="146">
        <f>V54</f>
        <v>0</v>
      </c>
      <c r="J91" s="146">
        <f t="shared" ref="J91:L91" si="102">W54</f>
        <v>0</v>
      </c>
      <c r="K91" s="146">
        <f t="shared" si="102"/>
        <v>0</v>
      </c>
      <c r="L91" s="146">
        <f t="shared" si="102"/>
        <v>0</v>
      </c>
      <c r="M91" s="246" t="str">
        <f>IF((IF(I91&lt;1.1,1,0)+IF(J91&lt;1.1,1,0)+IF(K91&lt;1.1,1,0)+IF(L91&lt;1.1,1,0))&gt;=1,"市场异常","市场正常")</f>
        <v>市场异常</v>
      </c>
      <c r="N91" s="151" t="s">
        <v>464</v>
      </c>
      <c r="O91" s="157" t="e">
        <f>IF(O20="","",AC23)</f>
        <v>#DIV/0!</v>
      </c>
      <c r="P91" s="157" t="e">
        <f t="shared" ref="P91:R94" si="103">IF(P20="","",AD23)</f>
        <v>#DIV/0!</v>
      </c>
      <c r="Q91" s="157" t="e">
        <f t="shared" si="103"/>
        <v>#DIV/0!</v>
      </c>
      <c r="R91" s="157" t="e">
        <f t="shared" si="103"/>
        <v>#DIV/0!</v>
      </c>
      <c r="S91" s="74"/>
      <c r="T91" s="120"/>
      <c r="U91" s="74"/>
      <c r="V91" s="74"/>
      <c r="W91" s="74"/>
      <c r="X91" s="74"/>
      <c r="Y91" s="74"/>
      <c r="Z91" s="74"/>
      <c r="AA91" s="73"/>
      <c r="AB91" s="74"/>
      <c r="AC91" s="74"/>
      <c r="AD91" s="74"/>
      <c r="AE91" s="74"/>
      <c r="AF91" s="74"/>
      <c r="AG91" s="74"/>
      <c r="AH91" s="73"/>
      <c r="AI91" s="367"/>
      <c r="AJ91" s="360"/>
      <c r="AK91" s="360"/>
      <c r="AL91" s="360"/>
      <c r="AM91" s="360"/>
      <c r="AN91" s="360"/>
      <c r="AO91" s="360"/>
      <c r="AP91" s="360"/>
      <c r="AQ91" s="360"/>
      <c r="AR91" s="360"/>
      <c r="AS91" s="360"/>
      <c r="AT91" s="360"/>
      <c r="AU91" s="261"/>
      <c r="AV91" s="261"/>
      <c r="AZ91" s="63"/>
      <c r="BR91" s="62"/>
      <c r="BS91" s="62"/>
      <c r="BT91" s="62"/>
      <c r="BU91" s="62"/>
      <c r="BV91" s="62"/>
      <c r="BW91" s="62"/>
      <c r="BX91" s="62"/>
      <c r="BY91" s="62"/>
      <c r="BZ91" s="62"/>
      <c r="CA91" s="62"/>
      <c r="CB91" s="62"/>
      <c r="CC91" s="62"/>
      <c r="CD91" s="62"/>
      <c r="CE91" s="62"/>
      <c r="CF91" s="62"/>
      <c r="CG91" s="62"/>
      <c r="CH91" s="62"/>
      <c r="CI91" s="62"/>
      <c r="CJ91" s="62"/>
    </row>
    <row r="92" s="61" customFormat="1" ht="16" customHeight="1" spans="1:88">
      <c r="A92" s="74"/>
      <c r="B92" s="74"/>
      <c r="C92" s="74"/>
      <c r="D92" s="74"/>
      <c r="E92" s="74"/>
      <c r="F92" s="74"/>
      <c r="G92" s="73"/>
      <c r="H92" s="269" t="s">
        <v>522</v>
      </c>
      <c r="I92" s="146">
        <f t="shared" ref="I92:I94" si="104">V55</f>
        <v>0</v>
      </c>
      <c r="J92" s="146">
        <f t="shared" ref="J92:J94" si="105">W55</f>
        <v>0</v>
      </c>
      <c r="K92" s="146">
        <f t="shared" ref="K92:K94" si="106">X55</f>
        <v>0</v>
      </c>
      <c r="L92" s="146">
        <f t="shared" ref="L92:L94" si="107">Y55</f>
        <v>0</v>
      </c>
      <c r="M92" s="246" t="str">
        <f t="shared" ref="M92:M94" si="108">IF((IF(I92&lt;1.1,1,0)+IF(J92&lt;1.1,1,0)+IF(K92&lt;1.1,1,0)+IF(L92&lt;1.1,1,0))&gt;=1,"市场异常","市场正常")</f>
        <v>市场异常</v>
      </c>
      <c r="N92" s="151" t="s">
        <v>465</v>
      </c>
      <c r="O92" s="157" t="e">
        <f t="shared" ref="O92:O94" si="109">IF(O21="","",AC24)</f>
        <v>#DIV/0!</v>
      </c>
      <c r="P92" s="157" t="e">
        <f t="shared" si="103"/>
        <v>#DIV/0!</v>
      </c>
      <c r="Q92" s="157" t="e">
        <f t="shared" si="103"/>
        <v>#DIV/0!</v>
      </c>
      <c r="R92" s="157" t="e">
        <f t="shared" si="103"/>
        <v>#DIV/0!</v>
      </c>
      <c r="S92" s="74"/>
      <c r="T92" s="120"/>
      <c r="U92" s="74"/>
      <c r="V92" s="74"/>
      <c r="W92" s="74"/>
      <c r="X92" s="74"/>
      <c r="Y92" s="74"/>
      <c r="Z92" s="74"/>
      <c r="AA92" s="73"/>
      <c r="AB92" s="74"/>
      <c r="AC92" s="74"/>
      <c r="AD92" s="74"/>
      <c r="AE92" s="74"/>
      <c r="AF92" s="74"/>
      <c r="AG92" s="74"/>
      <c r="AH92" s="73"/>
      <c r="AI92" s="367"/>
      <c r="AJ92" s="360"/>
      <c r="AK92" s="360"/>
      <c r="AL92" s="360"/>
      <c r="AM92" s="360"/>
      <c r="AN92" s="360"/>
      <c r="AO92" s="360"/>
      <c r="AP92" s="360"/>
      <c r="AQ92" s="360"/>
      <c r="AR92" s="360"/>
      <c r="AS92" s="360"/>
      <c r="AT92" s="360"/>
      <c r="AU92" s="261"/>
      <c r="AV92" s="261"/>
      <c r="AZ92" s="63"/>
      <c r="BR92" s="62"/>
      <c r="BS92" s="62"/>
      <c r="BT92" s="62"/>
      <c r="BU92" s="62"/>
      <c r="BV92" s="62"/>
      <c r="BW92" s="62"/>
      <c r="BX92" s="62"/>
      <c r="BY92" s="62"/>
      <c r="BZ92" s="62"/>
      <c r="CA92" s="62"/>
      <c r="CB92" s="62"/>
      <c r="CC92" s="62"/>
      <c r="CD92" s="62"/>
      <c r="CE92" s="62"/>
      <c r="CF92" s="62"/>
      <c r="CG92" s="62"/>
      <c r="CH92" s="62"/>
      <c r="CI92" s="62"/>
      <c r="CJ92" s="62"/>
    </row>
    <row r="93" s="61" customFormat="1" ht="16" customHeight="1" spans="1:88">
      <c r="A93" s="74"/>
      <c r="B93" s="74"/>
      <c r="C93" s="74"/>
      <c r="D93" s="74"/>
      <c r="E93" s="74"/>
      <c r="F93" s="74"/>
      <c r="G93" s="73"/>
      <c r="H93" s="269" t="s">
        <v>523</v>
      </c>
      <c r="I93" s="146">
        <f t="shared" si="104"/>
        <v>0</v>
      </c>
      <c r="J93" s="146">
        <f t="shared" si="105"/>
        <v>0</v>
      </c>
      <c r="K93" s="146">
        <f t="shared" si="106"/>
        <v>0</v>
      </c>
      <c r="L93" s="146">
        <f t="shared" si="107"/>
        <v>0</v>
      </c>
      <c r="M93" s="246" t="str">
        <f t="shared" si="108"/>
        <v>市场异常</v>
      </c>
      <c r="N93" s="151" t="s">
        <v>466</v>
      </c>
      <c r="O93" s="157" t="e">
        <f t="shared" si="109"/>
        <v>#DIV/0!</v>
      </c>
      <c r="P93" s="157" t="e">
        <f t="shared" si="103"/>
        <v>#DIV/0!</v>
      </c>
      <c r="Q93" s="157" t="e">
        <f t="shared" si="103"/>
        <v>#DIV/0!</v>
      </c>
      <c r="R93" s="157" t="e">
        <f t="shared" si="103"/>
        <v>#DIV/0!</v>
      </c>
      <c r="S93" s="74"/>
      <c r="T93" s="120"/>
      <c r="U93" s="74"/>
      <c r="V93" s="74"/>
      <c r="W93" s="74"/>
      <c r="X93" s="74"/>
      <c r="Y93" s="74"/>
      <c r="Z93" s="74"/>
      <c r="AA93" s="73"/>
      <c r="AB93" s="74"/>
      <c r="AC93" s="74"/>
      <c r="AD93" s="74"/>
      <c r="AE93" s="74"/>
      <c r="AF93" s="74"/>
      <c r="AG93" s="74"/>
      <c r="AH93" s="73"/>
      <c r="AI93" s="367"/>
      <c r="AJ93" s="360"/>
      <c r="AK93" s="360"/>
      <c r="AL93" s="360"/>
      <c r="AM93" s="360"/>
      <c r="AN93" s="360"/>
      <c r="AO93" s="360"/>
      <c r="AP93" s="360"/>
      <c r="AQ93" s="360"/>
      <c r="AR93" s="360"/>
      <c r="AS93" s="360"/>
      <c r="AT93" s="360"/>
      <c r="AU93" s="261"/>
      <c r="AV93" s="261"/>
      <c r="AZ93" s="63"/>
      <c r="BR93" s="62"/>
      <c r="BS93" s="62"/>
      <c r="BT93" s="62"/>
      <c r="BU93" s="62"/>
      <c r="BV93" s="62"/>
      <c r="BW93" s="62"/>
      <c r="BX93" s="62"/>
      <c r="BY93" s="62"/>
      <c r="BZ93" s="62"/>
      <c r="CA93" s="62"/>
      <c r="CB93" s="62"/>
      <c r="CC93" s="62"/>
      <c r="CD93" s="62"/>
      <c r="CE93" s="62"/>
      <c r="CF93" s="62"/>
      <c r="CG93" s="62"/>
      <c r="CH93" s="62"/>
      <c r="CI93" s="62"/>
      <c r="CJ93" s="62"/>
    </row>
    <row r="94" s="61" customFormat="1" ht="16" customHeight="1" spans="1:88">
      <c r="A94" s="74"/>
      <c r="B94" s="74"/>
      <c r="C94" s="74"/>
      <c r="D94" s="74"/>
      <c r="E94" s="74"/>
      <c r="F94" s="74"/>
      <c r="G94" s="73"/>
      <c r="H94" s="269" t="s">
        <v>524</v>
      </c>
      <c r="I94" s="146">
        <f t="shared" si="104"/>
        <v>0</v>
      </c>
      <c r="J94" s="146">
        <f t="shared" si="105"/>
        <v>0</v>
      </c>
      <c r="K94" s="146">
        <f t="shared" si="106"/>
        <v>0</v>
      </c>
      <c r="L94" s="146">
        <f t="shared" si="107"/>
        <v>0</v>
      </c>
      <c r="M94" s="246" t="str">
        <f t="shared" si="108"/>
        <v>市场异常</v>
      </c>
      <c r="N94" s="151" t="s">
        <v>468</v>
      </c>
      <c r="O94" s="157" t="e">
        <f t="shared" si="109"/>
        <v>#DIV/0!</v>
      </c>
      <c r="P94" s="157" t="e">
        <f t="shared" si="103"/>
        <v>#DIV/0!</v>
      </c>
      <c r="Q94" s="157" t="e">
        <f t="shared" si="103"/>
        <v>#DIV/0!</v>
      </c>
      <c r="R94" s="157" t="e">
        <f t="shared" si="103"/>
        <v>#DIV/0!</v>
      </c>
      <c r="S94" s="74"/>
      <c r="T94" s="120"/>
      <c r="U94" s="74"/>
      <c r="V94" s="74"/>
      <c r="W94" s="74"/>
      <c r="X94" s="74"/>
      <c r="Y94" s="74"/>
      <c r="Z94" s="74"/>
      <c r="AA94" s="73"/>
      <c r="AB94" s="74"/>
      <c r="AC94" s="74"/>
      <c r="AD94" s="74"/>
      <c r="AE94" s="74"/>
      <c r="AF94" s="74"/>
      <c r="AG94" s="74"/>
      <c r="AH94" s="73"/>
      <c r="AI94" s="367"/>
      <c r="AJ94" s="360"/>
      <c r="AK94" s="360"/>
      <c r="AL94" s="360"/>
      <c r="AM94" s="360"/>
      <c r="AN94" s="360"/>
      <c r="AO94" s="360"/>
      <c r="AP94" s="360"/>
      <c r="AQ94" s="360"/>
      <c r="AR94" s="360"/>
      <c r="AS94" s="360"/>
      <c r="AT94" s="360"/>
      <c r="AU94" s="261"/>
      <c r="AV94" s="261"/>
      <c r="AZ94" s="63"/>
      <c r="BR94" s="62"/>
      <c r="BS94" s="62"/>
      <c r="BT94" s="62"/>
      <c r="BU94" s="62"/>
      <c r="BV94" s="62"/>
      <c r="BW94" s="62"/>
      <c r="BX94" s="62"/>
      <c r="BY94" s="62"/>
      <c r="BZ94" s="62"/>
      <c r="CA94" s="62"/>
      <c r="CB94" s="62"/>
      <c r="CC94" s="62"/>
      <c r="CD94" s="62"/>
      <c r="CE94" s="62"/>
      <c r="CF94" s="62"/>
      <c r="CG94" s="62"/>
      <c r="CH94" s="62"/>
      <c r="CI94" s="62"/>
      <c r="CJ94" s="62"/>
    </row>
    <row r="95" s="61" customFormat="1" ht="16" customHeight="1" spans="1:88">
      <c r="A95" s="74"/>
      <c r="B95" s="74"/>
      <c r="C95" s="74"/>
      <c r="D95" s="74"/>
      <c r="E95" s="74"/>
      <c r="F95" s="74"/>
      <c r="G95" s="331"/>
      <c r="H95" s="74"/>
      <c r="I95" s="74"/>
      <c r="J95" s="74"/>
      <c r="K95" s="74"/>
      <c r="L95" s="74"/>
      <c r="M95" s="85"/>
      <c r="N95" s="74"/>
      <c r="O95" s="74"/>
      <c r="P95" s="74"/>
      <c r="Q95" s="74"/>
      <c r="R95" s="74"/>
      <c r="S95" s="74"/>
      <c r="T95" s="120"/>
      <c r="U95" s="74"/>
      <c r="V95" s="74"/>
      <c r="W95" s="74"/>
      <c r="X95" s="74"/>
      <c r="Y95" s="74"/>
      <c r="Z95" s="74"/>
      <c r="AA95" s="73"/>
      <c r="AB95" s="74"/>
      <c r="AC95" s="74"/>
      <c r="AD95" s="74"/>
      <c r="AE95" s="74"/>
      <c r="AF95" s="74"/>
      <c r="AG95" s="74"/>
      <c r="AH95" s="73"/>
      <c r="AI95" s="367"/>
      <c r="AJ95" s="360"/>
      <c r="AK95" s="360"/>
      <c r="AL95" s="360"/>
      <c r="AM95" s="360"/>
      <c r="AN95" s="360"/>
      <c r="AO95" s="360"/>
      <c r="AP95" s="360"/>
      <c r="AQ95" s="360"/>
      <c r="AR95" s="360"/>
      <c r="AS95" s="360"/>
      <c r="AT95" s="360"/>
      <c r="AU95" s="261"/>
      <c r="AV95" s="261"/>
      <c r="AZ95" s="63"/>
      <c r="BR95" s="62"/>
      <c r="BS95" s="62"/>
      <c r="BT95" s="62"/>
      <c r="BU95" s="62"/>
      <c r="BV95" s="62"/>
      <c r="BW95" s="62"/>
      <c r="BX95" s="62"/>
      <c r="BY95" s="62"/>
      <c r="BZ95" s="62"/>
      <c r="CA95" s="62"/>
      <c r="CB95" s="62"/>
      <c r="CC95" s="62"/>
      <c r="CD95" s="62"/>
      <c r="CE95" s="62"/>
      <c r="CF95" s="62"/>
      <c r="CG95" s="62"/>
      <c r="CH95" s="62"/>
      <c r="CI95" s="62"/>
      <c r="CJ95" s="62"/>
    </row>
    <row r="96" s="61" customFormat="1" ht="16" customHeight="1" spans="1:88">
      <c r="A96" s="74"/>
      <c r="B96" s="74"/>
      <c r="C96" s="74"/>
      <c r="D96" s="74"/>
      <c r="E96" s="74"/>
      <c r="F96" s="74"/>
      <c r="G96" s="73"/>
      <c r="H96" s="269" t="s">
        <v>732</v>
      </c>
      <c r="I96" s="269" t="s">
        <v>513</v>
      </c>
      <c r="J96" s="269" t="s">
        <v>514</v>
      </c>
      <c r="K96" s="269" t="s">
        <v>515</v>
      </c>
      <c r="L96" s="269" t="s">
        <v>516</v>
      </c>
      <c r="M96" s="85"/>
      <c r="N96" s="68" t="s">
        <v>733</v>
      </c>
      <c r="O96" s="68" t="s">
        <v>459</v>
      </c>
      <c r="P96" s="68" t="s">
        <v>460</v>
      </c>
      <c r="Q96" s="68" t="s">
        <v>461</v>
      </c>
      <c r="R96" s="68" t="s">
        <v>462</v>
      </c>
      <c r="S96" s="252" t="s">
        <v>734</v>
      </c>
      <c r="T96" s="252" t="s">
        <v>749</v>
      </c>
      <c r="U96" s="74"/>
      <c r="V96" s="74"/>
      <c r="W96" s="74"/>
      <c r="X96" s="74"/>
      <c r="Y96" s="74"/>
      <c r="Z96" s="74"/>
      <c r="AA96" s="73"/>
      <c r="AB96" s="74"/>
      <c r="AC96" s="74"/>
      <c r="AD96" s="74"/>
      <c r="AE96" s="74"/>
      <c r="AF96" s="74"/>
      <c r="AG96" s="74"/>
      <c r="AH96" s="73"/>
      <c r="AI96" s="367"/>
      <c r="AJ96" s="360"/>
      <c r="AK96" s="360"/>
      <c r="AL96" s="360"/>
      <c r="AM96" s="360"/>
      <c r="AN96" s="360"/>
      <c r="AO96" s="360"/>
      <c r="AP96" s="360"/>
      <c r="AQ96" s="360"/>
      <c r="AR96" s="360"/>
      <c r="AS96" s="360"/>
      <c r="AT96" s="360"/>
      <c r="AU96" s="261"/>
      <c r="AV96" s="261"/>
      <c r="AZ96" s="63"/>
      <c r="BR96" s="62"/>
      <c r="BS96" s="62"/>
      <c r="BT96" s="62"/>
      <c r="BU96" s="62"/>
      <c r="BV96" s="62"/>
      <c r="BW96" s="62"/>
      <c r="BX96" s="62"/>
      <c r="BY96" s="62"/>
      <c r="BZ96" s="62"/>
      <c r="CA96" s="62"/>
      <c r="CB96" s="62"/>
      <c r="CC96" s="62"/>
      <c r="CD96" s="62"/>
      <c r="CE96" s="62"/>
      <c r="CF96" s="62"/>
      <c r="CG96" s="62"/>
      <c r="CH96" s="62"/>
      <c r="CI96" s="62"/>
      <c r="CJ96" s="62"/>
    </row>
    <row r="97" s="61" customFormat="1" ht="16" customHeight="1" spans="1:88">
      <c r="A97" s="74"/>
      <c r="B97" s="74"/>
      <c r="C97" s="74"/>
      <c r="D97" s="74"/>
      <c r="E97" s="74"/>
      <c r="F97" s="74"/>
      <c r="G97" s="73"/>
      <c r="H97" s="269" t="s">
        <v>521</v>
      </c>
      <c r="I97" s="115" t="e">
        <f>第3期!O20-第2期!O20</f>
        <v>#DIV/0!</v>
      </c>
      <c r="J97" s="115" t="e">
        <f>第3期!P20-第2期!P20</f>
        <v>#DIV/0!</v>
      </c>
      <c r="K97" s="115" t="e">
        <f>第3期!Q20-第2期!Q20</f>
        <v>#DIV/0!</v>
      </c>
      <c r="L97" s="115" t="e">
        <f>第3期!R20-第2期!R20</f>
        <v>#DIV/0!</v>
      </c>
      <c r="M97" s="85"/>
      <c r="N97" s="68" t="s">
        <v>464</v>
      </c>
      <c r="O97" s="115">
        <f>V17-第3期!V17</f>
        <v>0</v>
      </c>
      <c r="P97" s="115">
        <f>W17-第3期!W17</f>
        <v>0</v>
      </c>
      <c r="Q97" s="115">
        <f>X17-第3期!X17</f>
        <v>0</v>
      </c>
      <c r="R97" s="115">
        <f>Y17-第3期!Y17</f>
        <v>0</v>
      </c>
      <c r="S97" s="253" t="e">
        <f>(I97+J97)/2+(O97+P97)/2*S73</f>
        <v>#DIV/0!</v>
      </c>
      <c r="T97" s="253" t="e">
        <f>S97-第3期!S97</f>
        <v>#DIV/0!</v>
      </c>
      <c r="U97" s="74"/>
      <c r="V97" s="74"/>
      <c r="W97" s="74"/>
      <c r="X97" s="74"/>
      <c r="Y97" s="74"/>
      <c r="Z97" s="74"/>
      <c r="AA97" s="73"/>
      <c r="AB97" s="74"/>
      <c r="AC97" s="74"/>
      <c r="AD97" s="74"/>
      <c r="AE97" s="74"/>
      <c r="AF97" s="74"/>
      <c r="AG97" s="74"/>
      <c r="AH97" s="73"/>
      <c r="AI97" s="367"/>
      <c r="AJ97" s="360"/>
      <c r="AK97" s="360"/>
      <c r="AL97" s="360"/>
      <c r="AM97" s="360"/>
      <c r="AN97" s="360"/>
      <c r="AO97" s="360"/>
      <c r="AP97" s="360"/>
      <c r="AQ97" s="360"/>
      <c r="AR97" s="360"/>
      <c r="AS97" s="360"/>
      <c r="AT97" s="360"/>
      <c r="AU97" s="261"/>
      <c r="AV97" s="261"/>
      <c r="AZ97" s="63"/>
      <c r="BR97" s="62"/>
      <c r="BS97" s="62"/>
      <c r="BT97" s="62"/>
      <c r="BU97" s="62"/>
      <c r="BV97" s="62"/>
      <c r="BW97" s="62"/>
      <c r="BX97" s="62"/>
      <c r="BY97" s="62"/>
      <c r="BZ97" s="62"/>
      <c r="CA97" s="62"/>
      <c r="CB97" s="62"/>
      <c r="CC97" s="62"/>
      <c r="CD97" s="62"/>
      <c r="CE97" s="62"/>
      <c r="CF97" s="62"/>
      <c r="CG97" s="62"/>
      <c r="CH97" s="62"/>
      <c r="CI97" s="62"/>
      <c r="CJ97" s="62"/>
    </row>
    <row r="98" s="61" customFormat="1" ht="16" customHeight="1" spans="1:88">
      <c r="A98" s="74"/>
      <c r="B98" s="74"/>
      <c r="C98" s="74"/>
      <c r="D98" s="74"/>
      <c r="E98" s="74"/>
      <c r="F98" s="74"/>
      <c r="G98" s="73"/>
      <c r="H98" s="269" t="s">
        <v>522</v>
      </c>
      <c r="I98" s="115" t="e">
        <f>第3期!O21-第2期!O21</f>
        <v>#DIV/0!</v>
      </c>
      <c r="J98" s="115" t="e">
        <f>第3期!P21-第2期!P21</f>
        <v>#DIV/0!</v>
      </c>
      <c r="K98" s="115" t="e">
        <f>第3期!Q21-第2期!Q21</f>
        <v>#DIV/0!</v>
      </c>
      <c r="L98" s="115" t="e">
        <f>第3期!R21-第2期!R21</f>
        <v>#DIV/0!</v>
      </c>
      <c r="M98" s="85"/>
      <c r="N98" s="68" t="s">
        <v>465</v>
      </c>
      <c r="O98" s="115">
        <f>V18-第3期!V18</f>
        <v>0</v>
      </c>
      <c r="P98" s="115">
        <f>W18-第3期!W18</f>
        <v>0</v>
      </c>
      <c r="Q98" s="115">
        <f>X18-第3期!X18</f>
        <v>0</v>
      </c>
      <c r="R98" s="115">
        <f>Y18-第3期!Y18</f>
        <v>0</v>
      </c>
      <c r="S98" s="253" t="e">
        <f t="shared" ref="S98:S100" si="110">(I98+J98)/2+(O98+P98)/2*S74</f>
        <v>#DIV/0!</v>
      </c>
      <c r="T98" s="253" t="e">
        <f>S98-第3期!S98</f>
        <v>#DIV/0!</v>
      </c>
      <c r="U98" s="74"/>
      <c r="V98" s="74"/>
      <c r="W98" s="74"/>
      <c r="X98" s="74"/>
      <c r="Y98" s="74"/>
      <c r="Z98" s="74"/>
      <c r="AA98" s="73"/>
      <c r="AB98" s="74"/>
      <c r="AC98" s="74"/>
      <c r="AD98" s="74"/>
      <c r="AE98" s="74"/>
      <c r="AF98" s="74"/>
      <c r="AG98" s="74"/>
      <c r="AH98" s="73"/>
      <c r="AI98" s="367"/>
      <c r="AJ98" s="360"/>
      <c r="AK98" s="360"/>
      <c r="AL98" s="360"/>
      <c r="AM98" s="360"/>
      <c r="AN98" s="360"/>
      <c r="AO98" s="360"/>
      <c r="AP98" s="360"/>
      <c r="AQ98" s="360"/>
      <c r="AR98" s="360"/>
      <c r="AS98" s="360"/>
      <c r="AT98" s="360"/>
      <c r="AU98" s="261"/>
      <c r="AV98" s="261"/>
      <c r="AZ98" s="63"/>
      <c r="BR98" s="62"/>
      <c r="BS98" s="62"/>
      <c r="BT98" s="62"/>
      <c r="BU98" s="62"/>
      <c r="BV98" s="62"/>
      <c r="BW98" s="62"/>
      <c r="BX98" s="62"/>
      <c r="BY98" s="62"/>
      <c r="BZ98" s="62"/>
      <c r="CA98" s="62"/>
      <c r="CB98" s="62"/>
      <c r="CC98" s="62"/>
      <c r="CD98" s="62"/>
      <c r="CE98" s="62"/>
      <c r="CF98" s="62"/>
      <c r="CG98" s="62"/>
      <c r="CH98" s="62"/>
      <c r="CI98" s="62"/>
      <c r="CJ98" s="62"/>
    </row>
    <row r="99" s="61" customFormat="1" ht="16" customHeight="1" spans="1:88">
      <c r="A99" s="74"/>
      <c r="B99" s="74"/>
      <c r="C99" s="74"/>
      <c r="D99" s="74"/>
      <c r="E99" s="74"/>
      <c r="F99" s="74"/>
      <c r="G99" s="73"/>
      <c r="H99" s="269" t="s">
        <v>523</v>
      </c>
      <c r="I99" s="115" t="e">
        <f>第3期!O22-第2期!O22</f>
        <v>#DIV/0!</v>
      </c>
      <c r="J99" s="115" t="e">
        <f>第3期!P22-第2期!P22</f>
        <v>#DIV/0!</v>
      </c>
      <c r="K99" s="115" t="e">
        <f>第3期!Q22-第2期!Q22</f>
        <v>#DIV/0!</v>
      </c>
      <c r="L99" s="115" t="e">
        <f>第3期!R22-第2期!R22</f>
        <v>#DIV/0!</v>
      </c>
      <c r="M99" s="85"/>
      <c r="N99" s="68" t="s">
        <v>466</v>
      </c>
      <c r="O99" s="115">
        <f>V19-第3期!V19</f>
        <v>0</v>
      </c>
      <c r="P99" s="115">
        <f>W19-第3期!W19</f>
        <v>0</v>
      </c>
      <c r="Q99" s="115">
        <f>X19-第3期!X19</f>
        <v>0</v>
      </c>
      <c r="R99" s="115">
        <f>Y19-第3期!Y19</f>
        <v>0</v>
      </c>
      <c r="S99" s="253" t="e">
        <f t="shared" si="110"/>
        <v>#DIV/0!</v>
      </c>
      <c r="T99" s="253" t="e">
        <f>S99-第3期!S99</f>
        <v>#DIV/0!</v>
      </c>
      <c r="U99" s="74"/>
      <c r="V99" s="74"/>
      <c r="W99" s="74"/>
      <c r="X99" s="74"/>
      <c r="Y99" s="74"/>
      <c r="Z99" s="74"/>
      <c r="AA99" s="73"/>
      <c r="AB99" s="74"/>
      <c r="AC99" s="74"/>
      <c r="AD99" s="74"/>
      <c r="AE99" s="74"/>
      <c r="AF99" s="74"/>
      <c r="AG99" s="74"/>
      <c r="AH99" s="73"/>
      <c r="AI99" s="367"/>
      <c r="AJ99" s="360"/>
      <c r="AK99" s="360"/>
      <c r="AL99" s="360"/>
      <c r="AM99" s="360"/>
      <c r="AN99" s="360"/>
      <c r="AO99" s="360"/>
      <c r="AP99" s="360"/>
      <c r="AQ99" s="360"/>
      <c r="AR99" s="360"/>
      <c r="AS99" s="360"/>
      <c r="AT99" s="360"/>
      <c r="AU99" s="261"/>
      <c r="AV99" s="261"/>
      <c r="AZ99" s="63"/>
      <c r="BR99" s="62"/>
      <c r="BS99" s="62"/>
      <c r="BT99" s="62"/>
      <c r="BU99" s="62"/>
      <c r="BV99" s="62"/>
      <c r="BW99" s="62"/>
      <c r="BX99" s="62"/>
      <c r="BY99" s="62"/>
      <c r="BZ99" s="62"/>
      <c r="CA99" s="62"/>
      <c r="CB99" s="62"/>
      <c r="CC99" s="62"/>
      <c r="CD99" s="62"/>
      <c r="CE99" s="62"/>
      <c r="CF99" s="62"/>
      <c r="CG99" s="62"/>
      <c r="CH99" s="62"/>
      <c r="CI99" s="62"/>
      <c r="CJ99" s="62"/>
    </row>
    <row r="100" s="61" customFormat="1" ht="16" customHeight="1" spans="1:88">
      <c r="A100" s="74"/>
      <c r="B100" s="74"/>
      <c r="C100" s="74"/>
      <c r="D100" s="74"/>
      <c r="E100" s="74"/>
      <c r="F100" s="74"/>
      <c r="G100" s="73"/>
      <c r="H100" s="269" t="s">
        <v>524</v>
      </c>
      <c r="I100" s="115" t="e">
        <f>第3期!O23-第2期!O23</f>
        <v>#DIV/0!</v>
      </c>
      <c r="J100" s="115" t="e">
        <f>第3期!P23-第2期!P23</f>
        <v>#DIV/0!</v>
      </c>
      <c r="K100" s="115" t="e">
        <f>第3期!Q23-第2期!Q23</f>
        <v>#DIV/0!</v>
      </c>
      <c r="L100" s="115" t="e">
        <f>第3期!R23-第2期!R23</f>
        <v>#DIV/0!</v>
      </c>
      <c r="M100" s="85"/>
      <c r="N100" s="68" t="s">
        <v>468</v>
      </c>
      <c r="O100" s="115">
        <f>V20-第3期!V20</f>
        <v>0</v>
      </c>
      <c r="P100" s="115">
        <f>W20-第3期!W20</f>
        <v>0</v>
      </c>
      <c r="Q100" s="115">
        <f>X20-第3期!X20</f>
        <v>0</v>
      </c>
      <c r="R100" s="115">
        <f>Y20-第3期!Y20</f>
        <v>0</v>
      </c>
      <c r="S100" s="253" t="e">
        <f t="shared" si="110"/>
        <v>#DIV/0!</v>
      </c>
      <c r="T100" s="253" t="e">
        <f>S100-第3期!S100</f>
        <v>#DIV/0!</v>
      </c>
      <c r="U100" s="74"/>
      <c r="V100" s="74"/>
      <c r="W100" s="74"/>
      <c r="X100" s="74"/>
      <c r="Y100" s="74"/>
      <c r="Z100" s="74"/>
      <c r="AA100" s="73"/>
      <c r="AB100" s="74"/>
      <c r="AC100" s="74"/>
      <c r="AD100" s="74"/>
      <c r="AE100" s="74"/>
      <c r="AF100" s="74"/>
      <c r="AG100" s="74"/>
      <c r="AH100" s="73"/>
      <c r="AI100" s="367"/>
      <c r="AJ100" s="360"/>
      <c r="AK100" s="360"/>
      <c r="AL100" s="360"/>
      <c r="AM100" s="360"/>
      <c r="AN100" s="360"/>
      <c r="AO100" s="360"/>
      <c r="AP100" s="360"/>
      <c r="AQ100" s="360"/>
      <c r="AR100" s="360"/>
      <c r="AS100" s="360"/>
      <c r="AT100" s="360"/>
      <c r="AU100" s="261"/>
      <c r="AV100" s="261"/>
      <c r="AZ100" s="63"/>
      <c r="BR100" s="62"/>
      <c r="BS100" s="62"/>
      <c r="BT100" s="62"/>
      <c r="BU100" s="62"/>
      <c r="BV100" s="62"/>
      <c r="BW100" s="62"/>
      <c r="BX100" s="62"/>
      <c r="BY100" s="62"/>
      <c r="BZ100" s="62"/>
      <c r="CA100" s="62"/>
      <c r="CB100" s="62"/>
      <c r="CC100" s="62"/>
      <c r="CD100" s="62"/>
      <c r="CE100" s="62"/>
      <c r="CF100" s="62"/>
      <c r="CG100" s="62"/>
      <c r="CH100" s="62"/>
      <c r="CI100" s="62"/>
      <c r="CJ100" s="62"/>
    </row>
    <row r="101" s="61" customFormat="1" ht="16" customHeight="1" spans="7:88">
      <c r="G101" s="63"/>
      <c r="M101" s="247"/>
      <c r="T101" s="64"/>
      <c r="AA101" s="63"/>
      <c r="AH101" s="63"/>
      <c r="AI101" s="367"/>
      <c r="AJ101" s="360"/>
      <c r="AK101" s="360"/>
      <c r="AL101" s="360"/>
      <c r="AM101" s="360"/>
      <c r="AN101" s="360"/>
      <c r="AO101" s="360"/>
      <c r="AP101" s="360"/>
      <c r="AQ101" s="360"/>
      <c r="AR101" s="360"/>
      <c r="AS101" s="360"/>
      <c r="AT101" s="360"/>
      <c r="AU101" s="261"/>
      <c r="AV101" s="261"/>
      <c r="AZ101" s="63"/>
      <c r="BR101" s="62"/>
      <c r="BS101" s="62"/>
      <c r="BT101" s="62"/>
      <c r="BU101" s="62"/>
      <c r="BV101" s="62"/>
      <c r="BW101" s="62"/>
      <c r="BX101" s="62"/>
      <c r="BY101" s="62"/>
      <c r="BZ101" s="62"/>
      <c r="CA101" s="62"/>
      <c r="CB101" s="62"/>
      <c r="CC101" s="62"/>
      <c r="CD101" s="62"/>
      <c r="CE101" s="62"/>
      <c r="CF101" s="62"/>
      <c r="CG101" s="62"/>
      <c r="CH101" s="62"/>
      <c r="CI101" s="62"/>
      <c r="CJ101" s="62"/>
    </row>
    <row r="102" s="61" customFormat="1" ht="16" customHeight="1" spans="7:88">
      <c r="G102" s="63"/>
      <c r="M102" s="247"/>
      <c r="T102" s="64"/>
      <c r="AA102" s="63"/>
      <c r="AH102" s="63"/>
      <c r="AI102" s="367"/>
      <c r="AJ102" s="360"/>
      <c r="AK102" s="360"/>
      <c r="AL102" s="360"/>
      <c r="AM102" s="360"/>
      <c r="AN102" s="360"/>
      <c r="AO102" s="360"/>
      <c r="AP102" s="360"/>
      <c r="AQ102" s="360"/>
      <c r="AR102" s="360"/>
      <c r="AS102" s="360"/>
      <c r="AT102" s="360"/>
      <c r="AU102" s="261"/>
      <c r="AV102" s="261"/>
      <c r="AZ102" s="63"/>
      <c r="BR102" s="62"/>
      <c r="BS102" s="62"/>
      <c r="BT102" s="62"/>
      <c r="BU102" s="62"/>
      <c r="BV102" s="62"/>
      <c r="BW102" s="62"/>
      <c r="BX102" s="62"/>
      <c r="BY102" s="62"/>
      <c r="BZ102" s="62"/>
      <c r="CA102" s="62"/>
      <c r="CB102" s="62"/>
      <c r="CC102" s="62"/>
      <c r="CD102" s="62"/>
      <c r="CE102" s="62"/>
      <c r="CF102" s="62"/>
      <c r="CG102" s="62"/>
      <c r="CH102" s="62"/>
      <c r="CI102" s="62"/>
      <c r="CJ102" s="62"/>
    </row>
    <row r="103" s="61" customFormat="1" ht="16" customHeight="1" spans="7:88">
      <c r="G103" s="63"/>
      <c r="M103" s="247"/>
      <c r="T103" s="64"/>
      <c r="AA103" s="63"/>
      <c r="AH103" s="63"/>
      <c r="AI103" s="367"/>
      <c r="AJ103" s="360"/>
      <c r="AK103" s="360"/>
      <c r="AL103" s="360"/>
      <c r="AM103" s="360"/>
      <c r="AN103" s="360"/>
      <c r="AO103" s="360"/>
      <c r="AP103" s="360"/>
      <c r="AQ103" s="360"/>
      <c r="AR103" s="360"/>
      <c r="AS103" s="360"/>
      <c r="AT103" s="360"/>
      <c r="AU103" s="261"/>
      <c r="AV103" s="261"/>
      <c r="AZ103" s="63"/>
      <c r="BR103" s="62"/>
      <c r="BS103" s="62"/>
      <c r="BT103" s="62"/>
      <c r="BU103" s="62"/>
      <c r="BV103" s="62"/>
      <c r="BW103" s="62"/>
      <c r="BX103" s="62"/>
      <c r="BY103" s="62"/>
      <c r="BZ103" s="62"/>
      <c r="CA103" s="62"/>
      <c r="CB103" s="62"/>
      <c r="CC103" s="62"/>
      <c r="CD103" s="62"/>
      <c r="CE103" s="62"/>
      <c r="CF103" s="62"/>
      <c r="CG103" s="62"/>
      <c r="CH103" s="62"/>
      <c r="CI103" s="62"/>
      <c r="CJ103" s="62"/>
    </row>
    <row r="104" s="61" customFormat="1" ht="16" customHeight="1" spans="7:88">
      <c r="G104" s="63"/>
      <c r="M104" s="247"/>
      <c r="T104" s="64"/>
      <c r="AA104" s="63"/>
      <c r="AH104" s="63"/>
      <c r="AZ104" s="63"/>
      <c r="BR104" s="62"/>
      <c r="BS104" s="62"/>
      <c r="BT104" s="62"/>
      <c r="BU104" s="62"/>
      <c r="BV104" s="62"/>
      <c r="BW104" s="62"/>
      <c r="BX104" s="62"/>
      <c r="BY104" s="62"/>
      <c r="BZ104" s="62"/>
      <c r="CA104" s="62"/>
      <c r="CB104" s="62"/>
      <c r="CC104" s="62"/>
      <c r="CD104" s="62"/>
      <c r="CE104" s="62"/>
      <c r="CF104" s="62"/>
      <c r="CG104" s="62"/>
      <c r="CH104" s="62"/>
      <c r="CI104" s="62"/>
      <c r="CJ104" s="62"/>
    </row>
    <row r="105" s="61" customFormat="1" ht="16" customHeight="1" spans="7:88">
      <c r="G105" s="63"/>
      <c r="M105" s="247"/>
      <c r="T105" s="64"/>
      <c r="AA105" s="63"/>
      <c r="AH105" s="63"/>
      <c r="AZ105" s="63"/>
      <c r="BR105" s="62"/>
      <c r="BS105" s="62"/>
      <c r="BT105" s="62"/>
      <c r="BU105" s="62"/>
      <c r="BV105" s="62"/>
      <c r="BW105" s="62"/>
      <c r="BX105" s="62"/>
      <c r="BY105" s="62"/>
      <c r="BZ105" s="62"/>
      <c r="CA105" s="62"/>
      <c r="CB105" s="62"/>
      <c r="CC105" s="62"/>
      <c r="CD105" s="62"/>
      <c r="CE105" s="62"/>
      <c r="CF105" s="62"/>
      <c r="CG105" s="62"/>
      <c r="CH105" s="62"/>
      <c r="CI105" s="62"/>
      <c r="CJ105" s="62"/>
    </row>
    <row r="106" s="61" customFormat="1" ht="16" customHeight="1" spans="7:88">
      <c r="G106" s="63"/>
      <c r="M106" s="247"/>
      <c r="T106" s="64"/>
      <c r="AA106" s="63"/>
      <c r="AH106" s="63"/>
      <c r="AI106" s="68" t="s">
        <v>37</v>
      </c>
      <c r="AJ106" s="68" t="s">
        <v>348</v>
      </c>
      <c r="AK106" s="68" t="s">
        <v>349</v>
      </c>
      <c r="AL106" s="68" t="s">
        <v>350</v>
      </c>
      <c r="AM106" s="68" t="s">
        <v>351</v>
      </c>
      <c r="AN106" s="68" t="s">
        <v>352</v>
      </c>
      <c r="AO106" s="68" t="s">
        <v>353</v>
      </c>
      <c r="AP106" s="68" t="s">
        <v>354</v>
      </c>
      <c r="AQ106" s="68" t="s">
        <v>355</v>
      </c>
      <c r="AR106" s="241" t="s">
        <v>708</v>
      </c>
      <c r="AS106" s="68" t="s">
        <v>709</v>
      </c>
      <c r="AT106" s="68" t="s">
        <v>710</v>
      </c>
      <c r="AU106" s="241" t="s">
        <v>711</v>
      </c>
      <c r="AV106" s="68" t="s">
        <v>712</v>
      </c>
      <c r="AW106" s="384" t="s">
        <v>713</v>
      </c>
      <c r="AX106" s="68" t="s">
        <v>714</v>
      </c>
      <c r="AY106" s="68" t="s">
        <v>735</v>
      </c>
      <c r="AZ106" s="63"/>
      <c r="BR106" s="62"/>
      <c r="BS106" s="62"/>
      <c r="BT106" s="62"/>
      <c r="BU106" s="62"/>
      <c r="BV106" s="62"/>
      <c r="BW106" s="62"/>
      <c r="BX106" s="62"/>
      <c r="BY106" s="62"/>
      <c r="BZ106" s="62"/>
      <c r="CA106" s="62"/>
      <c r="CB106" s="62"/>
      <c r="CC106" s="62"/>
      <c r="CD106" s="62"/>
      <c r="CE106" s="62"/>
      <c r="CF106" s="62"/>
      <c r="CG106" s="62"/>
      <c r="CH106" s="62"/>
      <c r="CI106" s="62"/>
      <c r="CJ106" s="62"/>
    </row>
    <row r="107" s="61" customFormat="1" ht="16" customHeight="1" spans="7:88">
      <c r="G107" s="63"/>
      <c r="M107" s="247"/>
      <c r="T107" s="64"/>
      <c r="AA107" s="63"/>
      <c r="AH107" s="63"/>
      <c r="AI107" s="367"/>
      <c r="AJ107" s="364"/>
      <c r="AK107" s="364"/>
      <c r="AL107" s="364"/>
      <c r="AM107" s="364"/>
      <c r="AN107" s="364"/>
      <c r="AO107" s="364"/>
      <c r="AP107" s="364"/>
      <c r="AQ107" s="360"/>
      <c r="AR107" s="381">
        <f>-AT107*5%</f>
        <v>0</v>
      </c>
      <c r="AS107" s="381">
        <f>第3期!AS107+第3期!AR107+第3期!AU107</f>
        <v>0</v>
      </c>
      <c r="AT107" s="382">
        <f>第3期!AU107+第3期!AT107</f>
        <v>0</v>
      </c>
      <c r="AU107" s="381">
        <f>0.5*第3期!AP107-AS107</f>
        <v>0</v>
      </c>
      <c r="AV107" s="381">
        <f>AU107+AS107+AR107</f>
        <v>0</v>
      </c>
      <c r="AW107" s="385" t="e">
        <f>AL107/(AP107+AV107)</f>
        <v>#DIV/0!</v>
      </c>
      <c r="AX107" s="386">
        <f>MAX(AK107,第3期!AO107)</f>
        <v>0</v>
      </c>
      <c r="AY107" s="327">
        <f>IF(AI107="",0,IF(AL107&lt;MAX(AL107:AL126)/3,1,0))</f>
        <v>0</v>
      </c>
      <c r="AZ107" s="63"/>
      <c r="BR107" s="62"/>
      <c r="BS107" s="62"/>
      <c r="BT107" s="62"/>
      <c r="BU107" s="62"/>
      <c r="BV107" s="62"/>
      <c r="BW107" s="62"/>
      <c r="BX107" s="62"/>
      <c r="BY107" s="62"/>
      <c r="BZ107" s="62"/>
      <c r="CA107" s="62"/>
      <c r="CB107" s="62"/>
      <c r="CC107" s="62"/>
      <c r="CD107" s="62"/>
      <c r="CE107" s="62"/>
      <c r="CF107" s="62"/>
      <c r="CG107" s="62"/>
      <c r="CH107" s="62"/>
      <c r="CI107" s="62"/>
      <c r="CJ107" s="62"/>
    </row>
    <row r="108" s="61" customFormat="1" ht="16" customHeight="1" spans="7:88">
      <c r="G108" s="63"/>
      <c r="M108" s="247"/>
      <c r="T108" s="64"/>
      <c r="AA108" s="63"/>
      <c r="AH108" s="63"/>
      <c r="AI108" s="367"/>
      <c r="AJ108" s="364"/>
      <c r="AK108" s="364"/>
      <c r="AL108" s="364"/>
      <c r="AM108" s="364"/>
      <c r="AN108" s="364"/>
      <c r="AO108" s="364"/>
      <c r="AP108" s="364"/>
      <c r="AQ108" s="360"/>
      <c r="AR108" s="381">
        <f t="shared" ref="AR108:AR126" si="111">-AT108*5%</f>
        <v>0</v>
      </c>
      <c r="AS108" s="381">
        <f>第3期!AS108+第3期!AR108+第3期!AU108</f>
        <v>0</v>
      </c>
      <c r="AT108" s="382">
        <f>第3期!AU108+第3期!AT108</f>
        <v>0</v>
      </c>
      <c r="AU108" s="381">
        <f>0.5*第3期!AP108-AS108</f>
        <v>0</v>
      </c>
      <c r="AV108" s="381">
        <f t="shared" ref="AV108:AV126" si="112">AU108+AS108+AR108</f>
        <v>0</v>
      </c>
      <c r="AW108" s="385" t="e">
        <f t="shared" ref="AW108:AW126" si="113">AL108/(AP108+AV108)</f>
        <v>#DIV/0!</v>
      </c>
      <c r="AX108" s="386">
        <f>MAX(AK108,第3期!AO108)</f>
        <v>0</v>
      </c>
      <c r="AY108" s="327">
        <f t="shared" ref="AY108:AY126" si="114">IF(AI108="",0,IF(AL108&lt;MAX(AL108:AL127)/3,1,0))</f>
        <v>0</v>
      </c>
      <c r="AZ108" s="63"/>
      <c r="BR108" s="62"/>
      <c r="BS108" s="62"/>
      <c r="BT108" s="62"/>
      <c r="BU108" s="62"/>
      <c r="BV108" s="62"/>
      <c r="BW108" s="62"/>
      <c r="BX108" s="62"/>
      <c r="BY108" s="62"/>
      <c r="BZ108" s="62"/>
      <c r="CA108" s="62"/>
      <c r="CB108" s="62"/>
      <c r="CC108" s="62"/>
      <c r="CD108" s="62"/>
      <c r="CE108" s="62"/>
      <c r="CF108" s="62"/>
      <c r="CG108" s="62"/>
      <c r="CH108" s="62"/>
      <c r="CI108" s="62"/>
      <c r="CJ108" s="62"/>
    </row>
    <row r="109" s="61" customFormat="1" ht="16" customHeight="1" spans="7:88">
      <c r="G109" s="63"/>
      <c r="M109" s="247"/>
      <c r="T109" s="64"/>
      <c r="AA109" s="63"/>
      <c r="AH109" s="63"/>
      <c r="AI109" s="367"/>
      <c r="AJ109" s="364"/>
      <c r="AK109" s="364"/>
      <c r="AL109" s="364"/>
      <c r="AM109" s="364"/>
      <c r="AN109" s="364"/>
      <c r="AO109" s="364"/>
      <c r="AP109" s="364"/>
      <c r="AQ109" s="360"/>
      <c r="AR109" s="381">
        <f t="shared" si="111"/>
        <v>0</v>
      </c>
      <c r="AS109" s="381">
        <f>第3期!AS109+第3期!AR109+第3期!AU109</f>
        <v>0</v>
      </c>
      <c r="AT109" s="382">
        <f>第3期!AU109+第3期!AT109</f>
        <v>0</v>
      </c>
      <c r="AU109" s="381">
        <f>0.5*第3期!AP109-AS109</f>
        <v>0</v>
      </c>
      <c r="AV109" s="381">
        <f t="shared" si="112"/>
        <v>0</v>
      </c>
      <c r="AW109" s="385" t="e">
        <f t="shared" si="113"/>
        <v>#DIV/0!</v>
      </c>
      <c r="AX109" s="386">
        <f>MAX(AK109,第3期!AO109)</f>
        <v>0</v>
      </c>
      <c r="AY109" s="327">
        <f t="shared" si="114"/>
        <v>0</v>
      </c>
      <c r="AZ109" s="63"/>
      <c r="BR109" s="62"/>
      <c r="BS109" s="62"/>
      <c r="BT109" s="62"/>
      <c r="BU109" s="62"/>
      <c r="BV109" s="62"/>
      <c r="BW109" s="62"/>
      <c r="BX109" s="62"/>
      <c r="BY109" s="62"/>
      <c r="BZ109" s="62"/>
      <c r="CA109" s="62"/>
      <c r="CB109" s="62"/>
      <c r="CC109" s="62"/>
      <c r="CD109" s="62"/>
      <c r="CE109" s="62"/>
      <c r="CF109" s="62"/>
      <c r="CG109" s="62"/>
      <c r="CH109" s="62"/>
      <c r="CI109" s="62"/>
      <c r="CJ109" s="62"/>
    </row>
    <row r="110" s="61" customFormat="1" ht="16" customHeight="1" spans="7:88">
      <c r="G110" s="63"/>
      <c r="M110" s="247"/>
      <c r="T110" s="64"/>
      <c r="AA110" s="63"/>
      <c r="AH110" s="63"/>
      <c r="AI110" s="367"/>
      <c r="AJ110" s="364"/>
      <c r="AK110" s="364"/>
      <c r="AL110" s="364"/>
      <c r="AM110" s="364"/>
      <c r="AN110" s="364"/>
      <c r="AO110" s="364"/>
      <c r="AP110" s="364"/>
      <c r="AQ110" s="360"/>
      <c r="AR110" s="381">
        <f t="shared" si="111"/>
        <v>0</v>
      </c>
      <c r="AS110" s="381">
        <f>第3期!AS110+第3期!AR110+第3期!AU110</f>
        <v>0</v>
      </c>
      <c r="AT110" s="382">
        <f>第3期!AU110+第3期!AT110</f>
        <v>0</v>
      </c>
      <c r="AU110" s="381">
        <f>0.5*第3期!AP110-AS110</f>
        <v>0</v>
      </c>
      <c r="AV110" s="381">
        <f t="shared" si="112"/>
        <v>0</v>
      </c>
      <c r="AW110" s="385" t="e">
        <f t="shared" si="113"/>
        <v>#DIV/0!</v>
      </c>
      <c r="AX110" s="386">
        <f>MAX(AK110,第3期!AO110)</f>
        <v>0</v>
      </c>
      <c r="AY110" s="327">
        <f t="shared" si="114"/>
        <v>0</v>
      </c>
      <c r="AZ110" s="63"/>
      <c r="BR110" s="62"/>
      <c r="BS110" s="62"/>
      <c r="BT110" s="62"/>
      <c r="BU110" s="62"/>
      <c r="BV110" s="62"/>
      <c r="BW110" s="62"/>
      <c r="BX110" s="62"/>
      <c r="BY110" s="62"/>
      <c r="BZ110" s="62"/>
      <c r="CA110" s="62"/>
      <c r="CB110" s="62"/>
      <c r="CC110" s="62"/>
      <c r="CD110" s="62"/>
      <c r="CE110" s="62"/>
      <c r="CF110" s="62"/>
      <c r="CG110" s="62"/>
      <c r="CH110" s="62"/>
      <c r="CI110" s="62"/>
      <c r="CJ110" s="62"/>
    </row>
    <row r="111" s="61" customFormat="1" ht="16" customHeight="1" spans="7:88">
      <c r="G111" s="63"/>
      <c r="M111" s="247"/>
      <c r="T111" s="64"/>
      <c r="AA111" s="63"/>
      <c r="AH111" s="63"/>
      <c r="AI111" s="367"/>
      <c r="AJ111" s="364"/>
      <c r="AK111" s="364"/>
      <c r="AL111" s="364"/>
      <c r="AM111" s="364"/>
      <c r="AN111" s="364"/>
      <c r="AO111" s="364"/>
      <c r="AP111" s="364"/>
      <c r="AQ111" s="360"/>
      <c r="AR111" s="381">
        <f t="shared" si="111"/>
        <v>0</v>
      </c>
      <c r="AS111" s="381">
        <f>第3期!AS111+第3期!AR111+第3期!AU111</f>
        <v>0</v>
      </c>
      <c r="AT111" s="382">
        <f>第3期!AU111+第3期!AT111</f>
        <v>0</v>
      </c>
      <c r="AU111" s="381">
        <f>0.5*第3期!AP111-AS111</f>
        <v>0</v>
      </c>
      <c r="AV111" s="381">
        <f t="shared" si="112"/>
        <v>0</v>
      </c>
      <c r="AW111" s="385" t="e">
        <f t="shared" si="113"/>
        <v>#DIV/0!</v>
      </c>
      <c r="AX111" s="386">
        <f>MAX(AK111,第3期!AO111)</f>
        <v>0</v>
      </c>
      <c r="AY111" s="327">
        <f t="shared" si="114"/>
        <v>0</v>
      </c>
      <c r="AZ111" s="63"/>
      <c r="BR111" s="62"/>
      <c r="BS111" s="62"/>
      <c r="BT111" s="62"/>
      <c r="BU111" s="62"/>
      <c r="BV111" s="62"/>
      <c r="BW111" s="62"/>
      <c r="BX111" s="62"/>
      <c r="BY111" s="62"/>
      <c r="BZ111" s="62"/>
      <c r="CA111" s="62"/>
      <c r="CB111" s="62"/>
      <c r="CC111" s="62"/>
      <c r="CD111" s="62"/>
      <c r="CE111" s="62"/>
      <c r="CF111" s="62"/>
      <c r="CG111" s="62"/>
      <c r="CH111" s="62"/>
      <c r="CI111" s="62"/>
      <c r="CJ111" s="62"/>
    </row>
    <row r="112" s="61" customFormat="1" ht="16" customHeight="1" spans="7:88">
      <c r="G112" s="63"/>
      <c r="M112" s="247"/>
      <c r="T112" s="64"/>
      <c r="AA112" s="63"/>
      <c r="AH112" s="63"/>
      <c r="AI112" s="367"/>
      <c r="AJ112" s="364"/>
      <c r="AK112" s="364"/>
      <c r="AL112" s="364"/>
      <c r="AM112" s="364"/>
      <c r="AN112" s="364"/>
      <c r="AO112" s="364"/>
      <c r="AP112" s="364"/>
      <c r="AQ112" s="360"/>
      <c r="AR112" s="381">
        <f t="shared" si="111"/>
        <v>0</v>
      </c>
      <c r="AS112" s="381">
        <f>第3期!AS112+第3期!AR112+第3期!AU112</f>
        <v>0</v>
      </c>
      <c r="AT112" s="382">
        <f>第3期!AU112+第3期!AT112</f>
        <v>0</v>
      </c>
      <c r="AU112" s="381">
        <f>0.5*第3期!AP112-AS112</f>
        <v>0</v>
      </c>
      <c r="AV112" s="381">
        <f t="shared" si="112"/>
        <v>0</v>
      </c>
      <c r="AW112" s="385" t="e">
        <f t="shared" si="113"/>
        <v>#DIV/0!</v>
      </c>
      <c r="AX112" s="386">
        <f>MAX(AK112,第3期!AO112)</f>
        <v>0</v>
      </c>
      <c r="AY112" s="327">
        <f t="shared" si="114"/>
        <v>0</v>
      </c>
      <c r="AZ112" s="63"/>
      <c r="BR112" s="62"/>
      <c r="BS112" s="62"/>
      <c r="BT112" s="62"/>
      <c r="BU112" s="62"/>
      <c r="BV112" s="62"/>
      <c r="BW112" s="62"/>
      <c r="BX112" s="62"/>
      <c r="BY112" s="62"/>
      <c r="BZ112" s="62"/>
      <c r="CA112" s="62"/>
      <c r="CB112" s="62"/>
      <c r="CC112" s="62"/>
      <c r="CD112" s="62"/>
      <c r="CE112" s="62"/>
      <c r="CF112" s="62"/>
      <c r="CG112" s="62"/>
      <c r="CH112" s="62"/>
      <c r="CI112" s="62"/>
      <c r="CJ112" s="62"/>
    </row>
    <row r="113" s="61" customFormat="1" ht="16" customHeight="1" spans="7:88">
      <c r="G113" s="63"/>
      <c r="M113" s="247"/>
      <c r="T113" s="64"/>
      <c r="AA113" s="63"/>
      <c r="AH113" s="63"/>
      <c r="AI113" s="367"/>
      <c r="AJ113" s="364"/>
      <c r="AK113" s="364"/>
      <c r="AL113" s="364"/>
      <c r="AM113" s="364"/>
      <c r="AN113" s="364"/>
      <c r="AO113" s="364"/>
      <c r="AP113" s="364"/>
      <c r="AQ113" s="360"/>
      <c r="AR113" s="381">
        <f t="shared" si="111"/>
        <v>0</v>
      </c>
      <c r="AS113" s="381">
        <f>第3期!AS113+第3期!AR113+第3期!AU113</f>
        <v>0</v>
      </c>
      <c r="AT113" s="382">
        <f>第3期!AU113+第3期!AT113</f>
        <v>0</v>
      </c>
      <c r="AU113" s="381">
        <f>0.5*第3期!AP113-AS113</f>
        <v>0</v>
      </c>
      <c r="AV113" s="381">
        <f t="shared" si="112"/>
        <v>0</v>
      </c>
      <c r="AW113" s="385" t="e">
        <f t="shared" si="113"/>
        <v>#DIV/0!</v>
      </c>
      <c r="AX113" s="386">
        <f>MAX(AK113,第3期!AO113)</f>
        <v>0</v>
      </c>
      <c r="AY113" s="327">
        <f t="shared" si="114"/>
        <v>0</v>
      </c>
      <c r="AZ113" s="63"/>
      <c r="BR113" s="62"/>
      <c r="BS113" s="62"/>
      <c r="BT113" s="62"/>
      <c r="BU113" s="62"/>
      <c r="BV113" s="62"/>
      <c r="BW113" s="62"/>
      <c r="BX113" s="62"/>
      <c r="BY113" s="62"/>
      <c r="BZ113" s="62"/>
      <c r="CA113" s="62"/>
      <c r="CB113" s="62"/>
      <c r="CC113" s="62"/>
      <c r="CD113" s="62"/>
      <c r="CE113" s="62"/>
      <c r="CF113" s="62"/>
      <c r="CG113" s="62"/>
      <c r="CH113" s="62"/>
      <c r="CI113" s="62"/>
      <c r="CJ113" s="62"/>
    </row>
    <row r="114" s="61" customFormat="1" ht="16" customHeight="1" spans="7:88">
      <c r="G114" s="63"/>
      <c r="M114" s="247"/>
      <c r="T114" s="64"/>
      <c r="AA114" s="63"/>
      <c r="AH114" s="63"/>
      <c r="AI114" s="367"/>
      <c r="AJ114" s="364"/>
      <c r="AK114" s="364"/>
      <c r="AL114" s="364"/>
      <c r="AM114" s="364"/>
      <c r="AN114" s="364"/>
      <c r="AO114" s="364"/>
      <c r="AP114" s="364"/>
      <c r="AQ114" s="360"/>
      <c r="AR114" s="381">
        <f t="shared" si="111"/>
        <v>0</v>
      </c>
      <c r="AS114" s="381">
        <f>第3期!AS114+第3期!AR114+第3期!AU114</f>
        <v>0</v>
      </c>
      <c r="AT114" s="382">
        <f>第3期!AU114+第3期!AT114</f>
        <v>0</v>
      </c>
      <c r="AU114" s="381">
        <f>0.5*第3期!AP114-AS114</f>
        <v>0</v>
      </c>
      <c r="AV114" s="381">
        <f t="shared" si="112"/>
        <v>0</v>
      </c>
      <c r="AW114" s="385" t="e">
        <f t="shared" si="113"/>
        <v>#DIV/0!</v>
      </c>
      <c r="AX114" s="386">
        <f>MAX(AK114,第3期!AO114)</f>
        <v>0</v>
      </c>
      <c r="AY114" s="327">
        <f t="shared" si="114"/>
        <v>0</v>
      </c>
      <c r="AZ114" s="63"/>
      <c r="BR114" s="62"/>
      <c r="BS114" s="62"/>
      <c r="BT114" s="62"/>
      <c r="BU114" s="62"/>
      <c r="BV114" s="62"/>
      <c r="BW114" s="62"/>
      <c r="BX114" s="62"/>
      <c r="BY114" s="62"/>
      <c r="BZ114" s="62"/>
      <c r="CA114" s="62"/>
      <c r="CB114" s="62"/>
      <c r="CC114" s="62"/>
      <c r="CD114" s="62"/>
      <c r="CE114" s="62"/>
      <c r="CF114" s="62"/>
      <c r="CG114" s="62"/>
      <c r="CH114" s="62"/>
      <c r="CI114" s="62"/>
      <c r="CJ114" s="62"/>
    </row>
    <row r="115" s="61" customFormat="1" ht="16" customHeight="1" spans="7:88">
      <c r="G115" s="63"/>
      <c r="M115" s="247"/>
      <c r="T115" s="64"/>
      <c r="AA115" s="63"/>
      <c r="AH115" s="63"/>
      <c r="AI115" s="367"/>
      <c r="AJ115" s="364"/>
      <c r="AK115" s="364"/>
      <c r="AL115" s="364"/>
      <c r="AM115" s="364"/>
      <c r="AN115" s="364"/>
      <c r="AO115" s="364"/>
      <c r="AP115" s="364"/>
      <c r="AQ115" s="360"/>
      <c r="AR115" s="381">
        <f t="shared" si="111"/>
        <v>0</v>
      </c>
      <c r="AS115" s="381">
        <f>第3期!AS115+第3期!AR115+第3期!AU115</f>
        <v>0</v>
      </c>
      <c r="AT115" s="382">
        <f>第3期!AU115+第3期!AT115</f>
        <v>0</v>
      </c>
      <c r="AU115" s="381">
        <f>0.5*第3期!AP115-AS115</f>
        <v>0</v>
      </c>
      <c r="AV115" s="381">
        <f t="shared" si="112"/>
        <v>0</v>
      </c>
      <c r="AW115" s="385" t="e">
        <f t="shared" si="113"/>
        <v>#DIV/0!</v>
      </c>
      <c r="AX115" s="386">
        <f>MAX(AK115,第3期!AO115)</f>
        <v>0</v>
      </c>
      <c r="AY115" s="327">
        <f t="shared" si="114"/>
        <v>0</v>
      </c>
      <c r="AZ115" s="63"/>
      <c r="BR115" s="62"/>
      <c r="BS115" s="62"/>
      <c r="BT115" s="62"/>
      <c r="BU115" s="62"/>
      <c r="BV115" s="62"/>
      <c r="BW115" s="62"/>
      <c r="BX115" s="62"/>
      <c r="BY115" s="62"/>
      <c r="BZ115" s="62"/>
      <c r="CA115" s="62"/>
      <c r="CB115" s="62"/>
      <c r="CC115" s="62"/>
      <c r="CD115" s="62"/>
      <c r="CE115" s="62"/>
      <c r="CF115" s="62"/>
      <c r="CG115" s="62"/>
      <c r="CH115" s="62"/>
      <c r="CI115" s="62"/>
      <c r="CJ115" s="62"/>
    </row>
    <row r="116" s="61" customFormat="1" ht="16" customHeight="1" spans="7:88">
      <c r="G116" s="63"/>
      <c r="M116" s="247"/>
      <c r="T116" s="64"/>
      <c r="AA116" s="63"/>
      <c r="AH116" s="63"/>
      <c r="AI116" s="367"/>
      <c r="AJ116" s="364"/>
      <c r="AK116" s="364"/>
      <c r="AL116" s="364"/>
      <c r="AM116" s="364"/>
      <c r="AN116" s="364"/>
      <c r="AO116" s="364"/>
      <c r="AP116" s="364"/>
      <c r="AQ116" s="360"/>
      <c r="AR116" s="381">
        <f t="shared" si="111"/>
        <v>0</v>
      </c>
      <c r="AS116" s="381">
        <f>第3期!AS116+第3期!AR116+第3期!AU116</f>
        <v>0</v>
      </c>
      <c r="AT116" s="382">
        <f>第3期!AU116+第3期!AT116</f>
        <v>0</v>
      </c>
      <c r="AU116" s="381">
        <f>0.5*第3期!AP116-AS116</f>
        <v>0</v>
      </c>
      <c r="AV116" s="381">
        <f t="shared" si="112"/>
        <v>0</v>
      </c>
      <c r="AW116" s="385" t="e">
        <f t="shared" si="113"/>
        <v>#DIV/0!</v>
      </c>
      <c r="AX116" s="386">
        <f>MAX(AK116,第3期!AO116)</f>
        <v>0</v>
      </c>
      <c r="AY116" s="327">
        <f t="shared" si="114"/>
        <v>0</v>
      </c>
      <c r="AZ116" s="63"/>
      <c r="BR116" s="62"/>
      <c r="BS116" s="62"/>
      <c r="BT116" s="62"/>
      <c r="BU116" s="62"/>
      <c r="BV116" s="62"/>
      <c r="BW116" s="62"/>
      <c r="BX116" s="62"/>
      <c r="BY116" s="62"/>
      <c r="BZ116" s="62"/>
      <c r="CA116" s="62"/>
      <c r="CB116" s="62"/>
      <c r="CC116" s="62"/>
      <c r="CD116" s="62"/>
      <c r="CE116" s="62"/>
      <c r="CF116" s="62"/>
      <c r="CG116" s="62"/>
      <c r="CH116" s="62"/>
      <c r="CI116" s="62"/>
      <c r="CJ116" s="62"/>
    </row>
    <row r="117" s="61" customFormat="1" ht="16" customHeight="1" spans="7:88">
      <c r="G117" s="63"/>
      <c r="M117" s="247"/>
      <c r="T117" s="64"/>
      <c r="AA117" s="63"/>
      <c r="AH117" s="63"/>
      <c r="AI117" s="367"/>
      <c r="AJ117" s="364"/>
      <c r="AK117" s="364"/>
      <c r="AL117" s="364"/>
      <c r="AM117" s="364"/>
      <c r="AN117" s="364"/>
      <c r="AO117" s="364"/>
      <c r="AP117" s="364"/>
      <c r="AQ117" s="360"/>
      <c r="AR117" s="381">
        <f t="shared" si="111"/>
        <v>0</v>
      </c>
      <c r="AS117" s="381">
        <f>第3期!AS117+第3期!AR117+第3期!AU117</f>
        <v>0</v>
      </c>
      <c r="AT117" s="382">
        <f>第3期!AU117+第3期!AT117</f>
        <v>0</v>
      </c>
      <c r="AU117" s="381">
        <f>0.5*第3期!AP117-AS117</f>
        <v>0</v>
      </c>
      <c r="AV117" s="381">
        <f t="shared" si="112"/>
        <v>0</v>
      </c>
      <c r="AW117" s="385" t="e">
        <f t="shared" si="113"/>
        <v>#DIV/0!</v>
      </c>
      <c r="AX117" s="386">
        <f>MAX(AK117,第3期!AO117)</f>
        <v>0</v>
      </c>
      <c r="AY117" s="327">
        <f t="shared" si="114"/>
        <v>0</v>
      </c>
      <c r="AZ117" s="63"/>
      <c r="BR117" s="62"/>
      <c r="BS117" s="62"/>
      <c r="BT117" s="62"/>
      <c r="BU117" s="62"/>
      <c r="BV117" s="62"/>
      <c r="BW117" s="62"/>
      <c r="BX117" s="62"/>
      <c r="BY117" s="62"/>
      <c r="BZ117" s="62"/>
      <c r="CA117" s="62"/>
      <c r="CB117" s="62"/>
      <c r="CC117" s="62"/>
      <c r="CD117" s="62"/>
      <c r="CE117" s="62"/>
      <c r="CF117" s="62"/>
      <c r="CG117" s="62"/>
      <c r="CH117" s="62"/>
      <c r="CI117" s="62"/>
      <c r="CJ117" s="62"/>
    </row>
    <row r="118" s="61" customFormat="1" ht="16" customHeight="1" spans="7:88">
      <c r="G118" s="63"/>
      <c r="M118" s="247"/>
      <c r="T118" s="64"/>
      <c r="AA118" s="63"/>
      <c r="AH118" s="63"/>
      <c r="AI118" s="367"/>
      <c r="AJ118" s="364"/>
      <c r="AK118" s="364"/>
      <c r="AL118" s="364"/>
      <c r="AM118" s="364"/>
      <c r="AN118" s="364"/>
      <c r="AO118" s="364"/>
      <c r="AP118" s="364"/>
      <c r="AQ118" s="360"/>
      <c r="AR118" s="381">
        <f t="shared" si="111"/>
        <v>0</v>
      </c>
      <c r="AS118" s="381">
        <f>第3期!AS118+第3期!AR118+第3期!AU118</f>
        <v>0</v>
      </c>
      <c r="AT118" s="382">
        <f>第3期!AU118+第3期!AT118</f>
        <v>0</v>
      </c>
      <c r="AU118" s="381">
        <f>0.5*第3期!AP118-AS118</f>
        <v>0</v>
      </c>
      <c r="AV118" s="381">
        <f t="shared" si="112"/>
        <v>0</v>
      </c>
      <c r="AW118" s="385" t="e">
        <f t="shared" si="113"/>
        <v>#DIV/0!</v>
      </c>
      <c r="AX118" s="386">
        <f>MAX(AK118,第3期!AO118)</f>
        <v>0</v>
      </c>
      <c r="AY118" s="327">
        <f t="shared" si="114"/>
        <v>0</v>
      </c>
      <c r="AZ118" s="63"/>
      <c r="BR118" s="62"/>
      <c r="BS118" s="62"/>
      <c r="BT118" s="62"/>
      <c r="BU118" s="62"/>
      <c r="BV118" s="62"/>
      <c r="BW118" s="62"/>
      <c r="BX118" s="62"/>
      <c r="BY118" s="62"/>
      <c r="BZ118" s="62"/>
      <c r="CA118" s="62"/>
      <c r="CB118" s="62"/>
      <c r="CC118" s="62"/>
      <c r="CD118" s="62"/>
      <c r="CE118" s="62"/>
      <c r="CF118" s="62"/>
      <c r="CG118" s="62"/>
      <c r="CH118" s="62"/>
      <c r="CI118" s="62"/>
      <c r="CJ118" s="62"/>
    </row>
    <row r="119" s="61" customFormat="1" ht="16" customHeight="1" spans="7:88">
      <c r="G119" s="63"/>
      <c r="M119" s="247"/>
      <c r="T119" s="64"/>
      <c r="AA119" s="63"/>
      <c r="AH119" s="63"/>
      <c r="AI119" s="367"/>
      <c r="AJ119" s="364"/>
      <c r="AK119" s="364"/>
      <c r="AL119" s="364"/>
      <c r="AM119" s="364"/>
      <c r="AN119" s="364"/>
      <c r="AO119" s="364"/>
      <c r="AP119" s="364"/>
      <c r="AQ119" s="360"/>
      <c r="AR119" s="381">
        <f t="shared" si="111"/>
        <v>0</v>
      </c>
      <c r="AS119" s="381">
        <f>第3期!AS119+第3期!AR119+第3期!AU119</f>
        <v>0</v>
      </c>
      <c r="AT119" s="382">
        <f>第3期!AU119+第3期!AT119</f>
        <v>0</v>
      </c>
      <c r="AU119" s="381">
        <f>0.5*第3期!AP119-AS119</f>
        <v>0</v>
      </c>
      <c r="AV119" s="381">
        <f t="shared" si="112"/>
        <v>0</v>
      </c>
      <c r="AW119" s="385" t="e">
        <f t="shared" si="113"/>
        <v>#DIV/0!</v>
      </c>
      <c r="AX119" s="386">
        <f>MAX(AK119,第3期!AO119)</f>
        <v>0</v>
      </c>
      <c r="AY119" s="327">
        <f t="shared" si="114"/>
        <v>0</v>
      </c>
      <c r="AZ119" s="63"/>
      <c r="BR119" s="62"/>
      <c r="BS119" s="62"/>
      <c r="BT119" s="62"/>
      <c r="BU119" s="62"/>
      <c r="BV119" s="62"/>
      <c r="BW119" s="62"/>
      <c r="BX119" s="62"/>
      <c r="BY119" s="62"/>
      <c r="BZ119" s="62"/>
      <c r="CA119" s="62"/>
      <c r="CB119" s="62"/>
      <c r="CC119" s="62"/>
      <c r="CD119" s="62"/>
      <c r="CE119" s="62"/>
      <c r="CF119" s="62"/>
      <c r="CG119" s="62"/>
      <c r="CH119" s="62"/>
      <c r="CI119" s="62"/>
      <c r="CJ119" s="62"/>
    </row>
    <row r="120" s="61" customFormat="1" ht="16" customHeight="1" spans="7:88">
      <c r="G120" s="63"/>
      <c r="M120" s="247"/>
      <c r="T120" s="64"/>
      <c r="AA120" s="63"/>
      <c r="AH120" s="63"/>
      <c r="AI120" s="367"/>
      <c r="AJ120" s="364"/>
      <c r="AK120" s="364"/>
      <c r="AL120" s="364"/>
      <c r="AM120" s="364"/>
      <c r="AN120" s="364"/>
      <c r="AO120" s="364"/>
      <c r="AP120" s="364"/>
      <c r="AQ120" s="360"/>
      <c r="AR120" s="381">
        <f t="shared" si="111"/>
        <v>0</v>
      </c>
      <c r="AS120" s="381">
        <f>第3期!AS120+第3期!AR120+第3期!AU120</f>
        <v>0</v>
      </c>
      <c r="AT120" s="382">
        <f>第3期!AU120+第3期!AT120</f>
        <v>0</v>
      </c>
      <c r="AU120" s="381">
        <f>0.5*第3期!AP120-AS120</f>
        <v>0</v>
      </c>
      <c r="AV120" s="381">
        <f t="shared" si="112"/>
        <v>0</v>
      </c>
      <c r="AW120" s="385" t="e">
        <f t="shared" si="113"/>
        <v>#DIV/0!</v>
      </c>
      <c r="AX120" s="386">
        <f>MAX(AK120,第3期!AO120)</f>
        <v>0</v>
      </c>
      <c r="AY120" s="327">
        <f t="shared" si="114"/>
        <v>0</v>
      </c>
      <c r="AZ120" s="63"/>
      <c r="BR120" s="62"/>
      <c r="BS120" s="62"/>
      <c r="BT120" s="62"/>
      <c r="BU120" s="62"/>
      <c r="BV120" s="62"/>
      <c r="BW120" s="62"/>
      <c r="BX120" s="62"/>
      <c r="BY120" s="62"/>
      <c r="BZ120" s="62"/>
      <c r="CA120" s="62"/>
      <c r="CB120" s="62"/>
      <c r="CC120" s="62"/>
      <c r="CD120" s="62"/>
      <c r="CE120" s="62"/>
      <c r="CF120" s="62"/>
      <c r="CG120" s="62"/>
      <c r="CH120" s="62"/>
      <c r="CI120" s="62"/>
      <c r="CJ120" s="62"/>
    </row>
    <row r="121" s="61" customFormat="1" ht="16" customHeight="1" spans="7:88">
      <c r="G121" s="63"/>
      <c r="M121" s="247"/>
      <c r="T121" s="64"/>
      <c r="AA121" s="63"/>
      <c r="AH121" s="63"/>
      <c r="AI121" s="367"/>
      <c r="AJ121" s="364"/>
      <c r="AK121" s="364"/>
      <c r="AL121" s="364"/>
      <c r="AM121" s="364"/>
      <c r="AN121" s="364"/>
      <c r="AO121" s="364"/>
      <c r="AP121" s="364"/>
      <c r="AQ121" s="360"/>
      <c r="AR121" s="381">
        <f t="shared" si="111"/>
        <v>0</v>
      </c>
      <c r="AS121" s="381">
        <f>第3期!AS121+第3期!AR121+第3期!AU121</f>
        <v>0</v>
      </c>
      <c r="AT121" s="382">
        <f>第3期!AU121+第3期!AT121</f>
        <v>0</v>
      </c>
      <c r="AU121" s="381">
        <f>0.5*第3期!AP121-AS121</f>
        <v>0</v>
      </c>
      <c r="AV121" s="381">
        <f t="shared" si="112"/>
        <v>0</v>
      </c>
      <c r="AW121" s="385" t="e">
        <f t="shared" si="113"/>
        <v>#DIV/0!</v>
      </c>
      <c r="AX121" s="386">
        <f>MAX(AK121,第3期!AO121)</f>
        <v>0</v>
      </c>
      <c r="AY121" s="327">
        <f t="shared" si="114"/>
        <v>0</v>
      </c>
      <c r="AZ121" s="63"/>
      <c r="BR121" s="62"/>
      <c r="BS121" s="62"/>
      <c r="BT121" s="62"/>
      <c r="BU121" s="62"/>
      <c r="BV121" s="62"/>
      <c r="BW121" s="62"/>
      <c r="BX121" s="62"/>
      <c r="BY121" s="62"/>
      <c r="BZ121" s="62"/>
      <c r="CA121" s="62"/>
      <c r="CB121" s="62"/>
      <c r="CC121" s="62"/>
      <c r="CD121" s="62"/>
      <c r="CE121" s="62"/>
      <c r="CF121" s="62"/>
      <c r="CG121" s="62"/>
      <c r="CH121" s="62"/>
      <c r="CI121" s="62"/>
      <c r="CJ121" s="62"/>
    </row>
    <row r="122" s="61" customFormat="1" ht="16" customHeight="1" spans="7:88">
      <c r="G122" s="63"/>
      <c r="M122" s="247"/>
      <c r="T122" s="64"/>
      <c r="AA122" s="63"/>
      <c r="AH122" s="63"/>
      <c r="AI122" s="367"/>
      <c r="AJ122" s="364"/>
      <c r="AK122" s="364"/>
      <c r="AL122" s="364"/>
      <c r="AM122" s="364"/>
      <c r="AN122" s="364"/>
      <c r="AO122" s="364"/>
      <c r="AP122" s="364"/>
      <c r="AQ122" s="360"/>
      <c r="AR122" s="381">
        <f t="shared" si="111"/>
        <v>0</v>
      </c>
      <c r="AS122" s="381">
        <f>第3期!AS122+第3期!AR122+第3期!AU122</f>
        <v>0</v>
      </c>
      <c r="AT122" s="382">
        <f>第3期!AU122+第3期!AT122</f>
        <v>0</v>
      </c>
      <c r="AU122" s="381">
        <f>0.5*第3期!AP122-AS122</f>
        <v>0</v>
      </c>
      <c r="AV122" s="381">
        <f t="shared" si="112"/>
        <v>0</v>
      </c>
      <c r="AW122" s="385" t="e">
        <f t="shared" si="113"/>
        <v>#DIV/0!</v>
      </c>
      <c r="AX122" s="386">
        <f>MAX(AK122,第3期!AO122)</f>
        <v>0</v>
      </c>
      <c r="AY122" s="327">
        <f t="shared" si="114"/>
        <v>0</v>
      </c>
      <c r="AZ122" s="63"/>
      <c r="BR122" s="62"/>
      <c r="BS122" s="62"/>
      <c r="BT122" s="62"/>
      <c r="BU122" s="62"/>
      <c r="BV122" s="62"/>
      <c r="BW122" s="62"/>
      <c r="BX122" s="62"/>
      <c r="BY122" s="62"/>
      <c r="BZ122" s="62"/>
      <c r="CA122" s="62"/>
      <c r="CB122" s="62"/>
      <c r="CC122" s="62"/>
      <c r="CD122" s="62"/>
      <c r="CE122" s="62"/>
      <c r="CF122" s="62"/>
      <c r="CG122" s="62"/>
      <c r="CH122" s="62"/>
      <c r="CI122" s="62"/>
      <c r="CJ122" s="62"/>
    </row>
    <row r="123" s="61" customFormat="1" ht="16" customHeight="1" spans="7:88">
      <c r="G123" s="63"/>
      <c r="M123" s="247"/>
      <c r="T123" s="64"/>
      <c r="AA123" s="63"/>
      <c r="AH123" s="63"/>
      <c r="AI123" s="367"/>
      <c r="AJ123" s="364"/>
      <c r="AK123" s="364"/>
      <c r="AL123" s="364"/>
      <c r="AM123" s="364"/>
      <c r="AN123" s="364"/>
      <c r="AO123" s="364"/>
      <c r="AP123" s="364"/>
      <c r="AQ123" s="360"/>
      <c r="AR123" s="381">
        <f t="shared" si="111"/>
        <v>0</v>
      </c>
      <c r="AS123" s="381">
        <f>第3期!AS123+第3期!AR123+第3期!AU123</f>
        <v>0</v>
      </c>
      <c r="AT123" s="382">
        <f>第3期!AU123+第3期!AT123</f>
        <v>0</v>
      </c>
      <c r="AU123" s="381">
        <f>0.5*第3期!AP123-AS123</f>
        <v>0</v>
      </c>
      <c r="AV123" s="381">
        <f t="shared" si="112"/>
        <v>0</v>
      </c>
      <c r="AW123" s="385" t="e">
        <f t="shared" si="113"/>
        <v>#DIV/0!</v>
      </c>
      <c r="AX123" s="386">
        <f>MAX(AK123,第3期!AO123)</f>
        <v>0</v>
      </c>
      <c r="AY123" s="327">
        <f t="shared" si="114"/>
        <v>0</v>
      </c>
      <c r="AZ123" s="63"/>
      <c r="BR123" s="62"/>
      <c r="BS123" s="62"/>
      <c r="BT123" s="62"/>
      <c r="BU123" s="62"/>
      <c r="BV123" s="62"/>
      <c r="BW123" s="62"/>
      <c r="BX123" s="62"/>
      <c r="BY123" s="62"/>
      <c r="BZ123" s="62"/>
      <c r="CA123" s="62"/>
      <c r="CB123" s="62"/>
      <c r="CC123" s="62"/>
      <c r="CD123" s="62"/>
      <c r="CE123" s="62"/>
      <c r="CF123" s="62"/>
      <c r="CG123" s="62"/>
      <c r="CH123" s="62"/>
      <c r="CI123" s="62"/>
      <c r="CJ123" s="62"/>
    </row>
    <row r="124" s="61" customFormat="1" ht="16" customHeight="1" spans="7:88">
      <c r="G124" s="63"/>
      <c r="M124" s="247"/>
      <c r="T124" s="64"/>
      <c r="AA124" s="63"/>
      <c r="AH124" s="63"/>
      <c r="AI124" s="367"/>
      <c r="AJ124" s="364"/>
      <c r="AK124" s="364"/>
      <c r="AL124" s="364"/>
      <c r="AM124" s="364"/>
      <c r="AN124" s="364"/>
      <c r="AO124" s="364"/>
      <c r="AP124" s="364"/>
      <c r="AQ124" s="360"/>
      <c r="AR124" s="381">
        <f t="shared" si="111"/>
        <v>0</v>
      </c>
      <c r="AS124" s="381">
        <f>第3期!AS124+第3期!AR124+第3期!AU124</f>
        <v>0</v>
      </c>
      <c r="AT124" s="382">
        <f>第3期!AU124+第3期!AT124</f>
        <v>0</v>
      </c>
      <c r="AU124" s="381">
        <f>0.5*第3期!AP124-AS124</f>
        <v>0</v>
      </c>
      <c r="AV124" s="381">
        <f t="shared" si="112"/>
        <v>0</v>
      </c>
      <c r="AW124" s="385" t="e">
        <f t="shared" si="113"/>
        <v>#DIV/0!</v>
      </c>
      <c r="AX124" s="386">
        <f>MAX(AK124,第3期!AO124)</f>
        <v>0</v>
      </c>
      <c r="AY124" s="327">
        <f t="shared" si="114"/>
        <v>0</v>
      </c>
      <c r="AZ124" s="63"/>
      <c r="BR124" s="62"/>
      <c r="BS124" s="62"/>
      <c r="BT124" s="62"/>
      <c r="BU124" s="62"/>
      <c r="BV124" s="62"/>
      <c r="BW124" s="62"/>
      <c r="BX124" s="62"/>
      <c r="BY124" s="62"/>
      <c r="BZ124" s="62"/>
      <c r="CA124" s="62"/>
      <c r="CB124" s="62"/>
      <c r="CC124" s="62"/>
      <c r="CD124" s="62"/>
      <c r="CE124" s="62"/>
      <c r="CF124" s="62"/>
      <c r="CG124" s="62"/>
      <c r="CH124" s="62"/>
      <c r="CI124" s="62"/>
      <c r="CJ124" s="62"/>
    </row>
    <row r="125" s="61" customFormat="1" ht="16" customHeight="1" spans="7:88">
      <c r="G125" s="63"/>
      <c r="M125" s="247"/>
      <c r="T125" s="64"/>
      <c r="AA125" s="63"/>
      <c r="AH125" s="63"/>
      <c r="AI125" s="367"/>
      <c r="AJ125" s="364"/>
      <c r="AK125" s="364"/>
      <c r="AL125" s="364"/>
      <c r="AM125" s="364"/>
      <c r="AN125" s="364"/>
      <c r="AO125" s="364"/>
      <c r="AP125" s="364"/>
      <c r="AQ125" s="360"/>
      <c r="AR125" s="381">
        <f t="shared" si="111"/>
        <v>0</v>
      </c>
      <c r="AS125" s="381">
        <f>第3期!AS125+第3期!AR125+第3期!AU125</f>
        <v>0</v>
      </c>
      <c r="AT125" s="382">
        <f>第3期!AU125+第3期!AT125</f>
        <v>0</v>
      </c>
      <c r="AU125" s="381">
        <f>0.5*第3期!AP125-AS125</f>
        <v>0</v>
      </c>
      <c r="AV125" s="381">
        <f t="shared" si="112"/>
        <v>0</v>
      </c>
      <c r="AW125" s="385" t="e">
        <f t="shared" si="113"/>
        <v>#DIV/0!</v>
      </c>
      <c r="AX125" s="386">
        <f>MAX(AK125,第3期!AO125)</f>
        <v>0</v>
      </c>
      <c r="AY125" s="327">
        <f t="shared" si="114"/>
        <v>0</v>
      </c>
      <c r="AZ125" s="63"/>
      <c r="BR125" s="62"/>
      <c r="BS125" s="62"/>
      <c r="BT125" s="62"/>
      <c r="BU125" s="62"/>
      <c r="BV125" s="62"/>
      <c r="BW125" s="62"/>
      <c r="BX125" s="62"/>
      <c r="BY125" s="62"/>
      <c r="BZ125" s="62"/>
      <c r="CA125" s="62"/>
      <c r="CB125" s="62"/>
      <c r="CC125" s="62"/>
      <c r="CD125" s="62"/>
      <c r="CE125" s="62"/>
      <c r="CF125" s="62"/>
      <c r="CG125" s="62"/>
      <c r="CH125" s="62"/>
      <c r="CI125" s="62"/>
      <c r="CJ125" s="62"/>
    </row>
    <row r="126" s="61" customFormat="1" ht="16" customHeight="1" spans="7:88">
      <c r="G126" s="63"/>
      <c r="M126" s="247"/>
      <c r="T126" s="64"/>
      <c r="AA126" s="63"/>
      <c r="AH126" s="63"/>
      <c r="AI126" s="367"/>
      <c r="AJ126" s="364"/>
      <c r="AK126" s="364"/>
      <c r="AL126" s="364"/>
      <c r="AM126" s="364"/>
      <c r="AN126" s="364"/>
      <c r="AO126" s="364"/>
      <c r="AP126" s="364"/>
      <c r="AQ126" s="360"/>
      <c r="AR126" s="381">
        <f t="shared" si="111"/>
        <v>0</v>
      </c>
      <c r="AS126" s="381">
        <f>第3期!AS126+第3期!AR126+第3期!AU126</f>
        <v>0</v>
      </c>
      <c r="AT126" s="382">
        <f>第3期!AU126+第3期!AT126</f>
        <v>0</v>
      </c>
      <c r="AU126" s="381">
        <f>0.5*第3期!AP126-AS126</f>
        <v>0</v>
      </c>
      <c r="AV126" s="381">
        <f t="shared" si="112"/>
        <v>0</v>
      </c>
      <c r="AW126" s="385" t="e">
        <f t="shared" si="113"/>
        <v>#DIV/0!</v>
      </c>
      <c r="AX126" s="386">
        <f>MAX(AK126,第3期!AO126)</f>
        <v>0</v>
      </c>
      <c r="AY126" s="327">
        <f t="shared" si="114"/>
        <v>0</v>
      </c>
      <c r="AZ126" s="63"/>
      <c r="BR126" s="62"/>
      <c r="BS126" s="62"/>
      <c r="BT126" s="62"/>
      <c r="BU126" s="62"/>
      <c r="BV126" s="62"/>
      <c r="BW126" s="62"/>
      <c r="BX126" s="62"/>
      <c r="BY126" s="62"/>
      <c r="BZ126" s="62"/>
      <c r="CA126" s="62"/>
      <c r="CB126" s="62"/>
      <c r="CC126" s="62"/>
      <c r="CD126" s="62"/>
      <c r="CE126" s="62"/>
      <c r="CF126" s="62"/>
      <c r="CG126" s="62"/>
      <c r="CH126" s="62"/>
      <c r="CI126" s="62"/>
      <c r="CJ126" s="62"/>
    </row>
    <row r="127" s="61" customFormat="1" ht="16" customHeight="1" spans="7:88">
      <c r="G127" s="63"/>
      <c r="M127" s="247"/>
      <c r="T127" s="64"/>
      <c r="AA127" s="63"/>
      <c r="AH127" s="63"/>
      <c r="AZ127" s="63"/>
      <c r="BR127" s="62"/>
      <c r="BS127" s="62"/>
      <c r="BT127" s="62"/>
      <c r="BU127" s="62"/>
      <c r="BV127" s="62"/>
      <c r="BW127" s="62"/>
      <c r="BX127" s="62"/>
      <c r="BY127" s="62"/>
      <c r="BZ127" s="62"/>
      <c r="CA127" s="62"/>
      <c r="CB127" s="62"/>
      <c r="CC127" s="62"/>
      <c r="CD127" s="62"/>
      <c r="CE127" s="62"/>
      <c r="CF127" s="62"/>
      <c r="CG127" s="62"/>
      <c r="CH127" s="62"/>
      <c r="CI127" s="62"/>
      <c r="CJ127" s="62"/>
    </row>
    <row r="128" s="61" customFormat="1" ht="16" customHeight="1" spans="7:88">
      <c r="G128" s="63"/>
      <c r="M128" s="247"/>
      <c r="T128" s="64"/>
      <c r="AA128" s="63"/>
      <c r="AH128" s="63"/>
      <c r="AZ128" s="63"/>
      <c r="BR128" s="62"/>
      <c r="BS128" s="62"/>
      <c r="BT128" s="62"/>
      <c r="BU128" s="62"/>
      <c r="BV128" s="62"/>
      <c r="BW128" s="62"/>
      <c r="BX128" s="62"/>
      <c r="BY128" s="62"/>
      <c r="BZ128" s="62"/>
      <c r="CA128" s="62"/>
      <c r="CB128" s="62"/>
      <c r="CC128" s="62"/>
      <c r="CD128" s="62"/>
      <c r="CE128" s="62"/>
      <c r="CF128" s="62"/>
      <c r="CG128" s="62"/>
      <c r="CH128" s="62"/>
      <c r="CI128" s="62"/>
      <c r="CJ128" s="62"/>
    </row>
    <row r="129" s="61" customFormat="1" ht="16" customHeight="1" spans="7:88">
      <c r="G129" s="63"/>
      <c r="M129" s="247"/>
      <c r="T129" s="64"/>
      <c r="AA129" s="63"/>
      <c r="AH129" s="63"/>
      <c r="AZ129" s="63"/>
      <c r="BR129" s="62"/>
      <c r="BS129" s="62"/>
      <c r="BT129" s="62"/>
      <c r="BU129" s="62"/>
      <c r="BV129" s="62"/>
      <c r="BW129" s="62"/>
      <c r="BX129" s="62"/>
      <c r="BY129" s="62"/>
      <c r="BZ129" s="62"/>
      <c r="CA129" s="62"/>
      <c r="CB129" s="62"/>
      <c r="CC129" s="62"/>
      <c r="CD129" s="62"/>
      <c r="CE129" s="62"/>
      <c r="CF129" s="62"/>
      <c r="CG129" s="62"/>
      <c r="CH129" s="62"/>
      <c r="CI129" s="62"/>
      <c r="CJ129" s="62"/>
    </row>
    <row r="130" s="61" customFormat="1" ht="16" customHeight="1" spans="7:88">
      <c r="G130" s="63"/>
      <c r="M130" s="247"/>
      <c r="T130" s="64"/>
      <c r="AA130" s="63"/>
      <c r="AH130" s="63"/>
      <c r="AZ130" s="63"/>
      <c r="BR130" s="62"/>
      <c r="BS130" s="62"/>
      <c r="BT130" s="62"/>
      <c r="BU130" s="62"/>
      <c r="BV130" s="62"/>
      <c r="BW130" s="62"/>
      <c r="BX130" s="62"/>
      <c r="BY130" s="62"/>
      <c r="BZ130" s="62"/>
      <c r="CA130" s="62"/>
      <c r="CB130" s="62"/>
      <c r="CC130" s="62"/>
      <c r="CD130" s="62"/>
      <c r="CE130" s="62"/>
      <c r="CF130" s="62"/>
      <c r="CG130" s="62"/>
      <c r="CH130" s="62"/>
      <c r="CI130" s="62"/>
      <c r="CJ130" s="62"/>
    </row>
    <row r="131" s="61" customFormat="1" ht="16" customHeight="1" spans="7:88">
      <c r="G131" s="63"/>
      <c r="M131" s="247"/>
      <c r="T131" s="64"/>
      <c r="AA131" s="63"/>
      <c r="AH131" s="63"/>
      <c r="AZ131" s="63"/>
      <c r="BR131" s="62"/>
      <c r="BS131" s="62"/>
      <c r="BT131" s="62"/>
      <c r="BU131" s="62"/>
      <c r="BV131" s="62"/>
      <c r="BW131" s="62"/>
      <c r="BX131" s="62"/>
      <c r="BY131" s="62"/>
      <c r="BZ131" s="62"/>
      <c r="CA131" s="62"/>
      <c r="CB131" s="62"/>
      <c r="CC131" s="62"/>
      <c r="CD131" s="62"/>
      <c r="CE131" s="62"/>
      <c r="CF131" s="62"/>
      <c r="CG131" s="62"/>
      <c r="CH131" s="62"/>
      <c r="CI131" s="62"/>
      <c r="CJ131" s="62"/>
    </row>
    <row r="132" s="61" customFormat="1" ht="16" customHeight="1" spans="7:88">
      <c r="G132" s="63"/>
      <c r="M132" s="247"/>
      <c r="T132" s="64"/>
      <c r="AA132" s="63"/>
      <c r="AH132" s="63"/>
      <c r="AZ132" s="63"/>
      <c r="BR132" s="62"/>
      <c r="BS132" s="62"/>
      <c r="BT132" s="62"/>
      <c r="BU132" s="62"/>
      <c r="BV132" s="62"/>
      <c r="BW132" s="62"/>
      <c r="BX132" s="62"/>
      <c r="BY132" s="62"/>
      <c r="BZ132" s="62"/>
      <c r="CA132" s="62"/>
      <c r="CB132" s="62"/>
      <c r="CC132" s="62"/>
      <c r="CD132" s="62"/>
      <c r="CE132" s="62"/>
      <c r="CF132" s="62"/>
      <c r="CG132" s="62"/>
      <c r="CH132" s="62"/>
      <c r="CI132" s="62"/>
      <c r="CJ132" s="62"/>
    </row>
    <row r="133" s="61" customFormat="1" ht="16" customHeight="1" spans="7:88">
      <c r="G133" s="63"/>
      <c r="M133" s="247"/>
      <c r="T133" s="64"/>
      <c r="AA133" s="63"/>
      <c r="AH133" s="63"/>
      <c r="AZ133" s="63"/>
      <c r="BR133" s="62"/>
      <c r="BS133" s="62"/>
      <c r="BT133" s="62"/>
      <c r="BU133" s="62"/>
      <c r="BV133" s="62"/>
      <c r="BW133" s="62"/>
      <c r="BX133" s="62"/>
      <c r="BY133" s="62"/>
      <c r="BZ133" s="62"/>
      <c r="CA133" s="62"/>
      <c r="CB133" s="62"/>
      <c r="CC133" s="62"/>
      <c r="CD133" s="62"/>
      <c r="CE133" s="62"/>
      <c r="CF133" s="62"/>
      <c r="CG133" s="62"/>
      <c r="CH133" s="62"/>
      <c r="CI133" s="62"/>
      <c r="CJ133" s="62"/>
    </row>
    <row r="134" s="61" customFormat="1" ht="16" customHeight="1" spans="7:88">
      <c r="G134" s="63"/>
      <c r="M134" s="247"/>
      <c r="T134" s="64"/>
      <c r="AA134" s="63"/>
      <c r="AH134" s="63"/>
      <c r="AZ134" s="63"/>
      <c r="BR134" s="62"/>
      <c r="BS134" s="62"/>
      <c r="BT134" s="62"/>
      <c r="BU134" s="62"/>
      <c r="BV134" s="62"/>
      <c r="BW134" s="62"/>
      <c r="BX134" s="62"/>
      <c r="BY134" s="62"/>
      <c r="BZ134" s="62"/>
      <c r="CA134" s="62"/>
      <c r="CB134" s="62"/>
      <c r="CC134" s="62"/>
      <c r="CD134" s="62"/>
      <c r="CE134" s="62"/>
      <c r="CF134" s="62"/>
      <c r="CG134" s="62"/>
      <c r="CH134" s="62"/>
      <c r="CI134" s="62"/>
      <c r="CJ134" s="62"/>
    </row>
    <row r="135" s="61" customFormat="1" ht="16" customHeight="1" spans="7:88">
      <c r="G135" s="63"/>
      <c r="M135" s="247"/>
      <c r="T135" s="64"/>
      <c r="AA135" s="63"/>
      <c r="AH135" s="63"/>
      <c r="AZ135" s="63"/>
      <c r="BR135" s="62"/>
      <c r="BS135" s="62"/>
      <c r="BT135" s="62"/>
      <c r="BU135" s="62"/>
      <c r="BV135" s="62"/>
      <c r="BW135" s="62"/>
      <c r="BX135" s="62"/>
      <c r="BY135" s="62"/>
      <c r="BZ135" s="62"/>
      <c r="CA135" s="62"/>
      <c r="CB135" s="62"/>
      <c r="CC135" s="62"/>
      <c r="CD135" s="62"/>
      <c r="CE135" s="62"/>
      <c r="CF135" s="62"/>
      <c r="CG135" s="62"/>
      <c r="CH135" s="62"/>
      <c r="CI135" s="62"/>
      <c r="CJ135" s="62"/>
    </row>
    <row r="136" s="61" customFormat="1" ht="16" customHeight="1" spans="7:88">
      <c r="G136" s="63"/>
      <c r="M136" s="247"/>
      <c r="T136" s="64"/>
      <c r="AA136" s="63"/>
      <c r="AH136" s="63"/>
      <c r="AZ136" s="63"/>
      <c r="BR136" s="62"/>
      <c r="BS136" s="62"/>
      <c r="BT136" s="62"/>
      <c r="BU136" s="62"/>
      <c r="BV136" s="62"/>
      <c r="BW136" s="62"/>
      <c r="BX136" s="62"/>
      <c r="BY136" s="62"/>
      <c r="BZ136" s="62"/>
      <c r="CA136" s="62"/>
      <c r="CB136" s="62"/>
      <c r="CC136" s="62"/>
      <c r="CD136" s="62"/>
      <c r="CE136" s="62"/>
      <c r="CF136" s="62"/>
      <c r="CG136" s="62"/>
      <c r="CH136" s="62"/>
      <c r="CI136" s="62"/>
      <c r="CJ136" s="62"/>
    </row>
    <row r="137" s="61" customFormat="1" ht="16" customHeight="1" spans="7:88">
      <c r="G137" s="63"/>
      <c r="M137" s="247"/>
      <c r="T137" s="64"/>
      <c r="AA137" s="63"/>
      <c r="AH137" s="63"/>
      <c r="AZ137" s="63"/>
      <c r="BR137" s="62"/>
      <c r="BS137" s="62"/>
      <c r="BT137" s="62"/>
      <c r="BU137" s="62"/>
      <c r="BV137" s="62"/>
      <c r="BW137" s="62"/>
      <c r="BX137" s="62"/>
      <c r="BY137" s="62"/>
      <c r="BZ137" s="62"/>
      <c r="CA137" s="62"/>
      <c r="CB137" s="62"/>
      <c r="CC137" s="62"/>
      <c r="CD137" s="62"/>
      <c r="CE137" s="62"/>
      <c r="CF137" s="62"/>
      <c r="CG137" s="62"/>
      <c r="CH137" s="62"/>
      <c r="CI137" s="62"/>
      <c r="CJ137" s="62"/>
    </row>
    <row r="138" s="61" customFormat="1" ht="16" customHeight="1" spans="7:88">
      <c r="G138" s="63"/>
      <c r="M138" s="247"/>
      <c r="T138" s="64"/>
      <c r="AA138" s="63"/>
      <c r="AH138" s="63"/>
      <c r="AZ138" s="63"/>
      <c r="BR138" s="62"/>
      <c r="BS138" s="62"/>
      <c r="BT138" s="62"/>
      <c r="BU138" s="62"/>
      <c r="BV138" s="62"/>
      <c r="BW138" s="62"/>
      <c r="BX138" s="62"/>
      <c r="BY138" s="62"/>
      <c r="BZ138" s="62"/>
      <c r="CA138" s="62"/>
      <c r="CB138" s="62"/>
      <c r="CC138" s="62"/>
      <c r="CD138" s="62"/>
      <c r="CE138" s="62"/>
      <c r="CF138" s="62"/>
      <c r="CG138" s="62"/>
      <c r="CH138" s="62"/>
      <c r="CI138" s="62"/>
      <c r="CJ138" s="62"/>
    </row>
    <row r="139" s="61" customFormat="1" ht="16" customHeight="1" spans="7:88">
      <c r="G139" s="63"/>
      <c r="M139" s="247"/>
      <c r="T139" s="64"/>
      <c r="AA139" s="63"/>
      <c r="AH139" s="63"/>
      <c r="AZ139" s="63"/>
      <c r="BR139" s="62"/>
      <c r="BS139" s="62"/>
      <c r="BT139" s="62"/>
      <c r="BU139" s="62"/>
      <c r="BV139" s="62"/>
      <c r="BW139" s="62"/>
      <c r="BX139" s="62"/>
      <c r="BY139" s="62"/>
      <c r="BZ139" s="62"/>
      <c r="CA139" s="62"/>
      <c r="CB139" s="62"/>
      <c r="CC139" s="62"/>
      <c r="CD139" s="62"/>
      <c r="CE139" s="62"/>
      <c r="CF139" s="62"/>
      <c r="CG139" s="62"/>
      <c r="CH139" s="62"/>
      <c r="CI139" s="62"/>
      <c r="CJ139" s="62"/>
    </row>
    <row r="140" s="61" customFormat="1" ht="16" customHeight="1" spans="7:88">
      <c r="G140" s="63"/>
      <c r="M140" s="247"/>
      <c r="T140" s="64"/>
      <c r="AA140" s="63"/>
      <c r="AH140" s="63"/>
      <c r="AZ140" s="63"/>
      <c r="BR140" s="62"/>
      <c r="BS140" s="62"/>
      <c r="BT140" s="62"/>
      <c r="BU140" s="62"/>
      <c r="BV140" s="62"/>
      <c r="BW140" s="62"/>
      <c r="BX140" s="62"/>
      <c r="BY140" s="62"/>
      <c r="BZ140" s="62"/>
      <c r="CA140" s="62"/>
      <c r="CB140" s="62"/>
      <c r="CC140" s="62"/>
      <c r="CD140" s="62"/>
      <c r="CE140" s="62"/>
      <c r="CF140" s="62"/>
      <c r="CG140" s="62"/>
      <c r="CH140" s="62"/>
      <c r="CI140" s="62"/>
      <c r="CJ140" s="62"/>
    </row>
    <row r="141" s="61" customFormat="1" ht="16" customHeight="1" spans="7:88">
      <c r="G141" s="63"/>
      <c r="M141" s="247"/>
      <c r="T141" s="64"/>
      <c r="AA141" s="63"/>
      <c r="AH141" s="63"/>
      <c r="AZ141" s="63"/>
      <c r="BR141" s="62"/>
      <c r="BS141" s="62"/>
      <c r="BT141" s="62"/>
      <c r="BU141" s="62"/>
      <c r="BV141" s="62"/>
      <c r="BW141" s="62"/>
      <c r="BX141" s="62"/>
      <c r="BY141" s="62"/>
      <c r="BZ141" s="62"/>
      <c r="CA141" s="62"/>
      <c r="CB141" s="62"/>
      <c r="CC141" s="62"/>
      <c r="CD141" s="62"/>
      <c r="CE141" s="62"/>
      <c r="CF141" s="62"/>
      <c r="CG141" s="62"/>
      <c r="CH141" s="62"/>
      <c r="CI141" s="62"/>
      <c r="CJ141" s="62"/>
    </row>
    <row r="142" s="61" customFormat="1" ht="16" customHeight="1" spans="7:88">
      <c r="G142" s="63"/>
      <c r="M142" s="247"/>
      <c r="T142" s="64"/>
      <c r="AA142" s="63"/>
      <c r="AH142" s="63"/>
      <c r="AZ142" s="63"/>
      <c r="BR142" s="62"/>
      <c r="BS142" s="62"/>
      <c r="BT142" s="62"/>
      <c r="BU142" s="62"/>
      <c r="BV142" s="62"/>
      <c r="BW142" s="62"/>
      <c r="BX142" s="62"/>
      <c r="BY142" s="62"/>
      <c r="BZ142" s="62"/>
      <c r="CA142" s="62"/>
      <c r="CB142" s="62"/>
      <c r="CC142" s="62"/>
      <c r="CD142" s="62"/>
      <c r="CE142" s="62"/>
      <c r="CF142" s="62"/>
      <c r="CG142" s="62"/>
      <c r="CH142" s="62"/>
      <c r="CI142" s="62"/>
      <c r="CJ142" s="62"/>
    </row>
    <row r="143" s="61" customFormat="1" ht="16" customHeight="1" spans="7:88">
      <c r="G143" s="63"/>
      <c r="M143" s="247"/>
      <c r="T143" s="64"/>
      <c r="AA143" s="63"/>
      <c r="AH143" s="63"/>
      <c r="AZ143" s="63"/>
      <c r="BR143" s="62"/>
      <c r="BS143" s="62"/>
      <c r="BT143" s="62"/>
      <c r="BU143" s="62"/>
      <c r="BV143" s="62"/>
      <c r="BW143" s="62"/>
      <c r="BX143" s="62"/>
      <c r="BY143" s="62"/>
      <c r="BZ143" s="62"/>
      <c r="CA143" s="62"/>
      <c r="CB143" s="62"/>
      <c r="CC143" s="62"/>
      <c r="CD143" s="62"/>
      <c r="CE143" s="62"/>
      <c r="CF143" s="62"/>
      <c r="CG143" s="62"/>
      <c r="CH143" s="62"/>
      <c r="CI143" s="62"/>
      <c r="CJ143" s="62"/>
    </row>
    <row r="144" s="61" customFormat="1" ht="16" customHeight="1" spans="7:88">
      <c r="G144" s="63"/>
      <c r="M144" s="247"/>
      <c r="T144" s="64"/>
      <c r="AA144" s="63"/>
      <c r="AH144" s="63"/>
      <c r="AZ144" s="63"/>
      <c r="BR144" s="62"/>
      <c r="BS144" s="62"/>
      <c r="BT144" s="62"/>
      <c r="BU144" s="62"/>
      <c r="BV144" s="62"/>
      <c r="BW144" s="62"/>
      <c r="BX144" s="62"/>
      <c r="BY144" s="62"/>
      <c r="BZ144" s="62"/>
      <c r="CA144" s="62"/>
      <c r="CB144" s="62"/>
      <c r="CC144" s="62"/>
      <c r="CD144" s="62"/>
      <c r="CE144" s="62"/>
      <c r="CF144" s="62"/>
      <c r="CG144" s="62"/>
      <c r="CH144" s="62"/>
      <c r="CI144" s="62"/>
      <c r="CJ144" s="62"/>
    </row>
    <row r="145" s="61" customFormat="1" ht="16" customHeight="1" spans="7:88">
      <c r="G145" s="63"/>
      <c r="M145" s="247"/>
      <c r="T145" s="64"/>
      <c r="AA145" s="63"/>
      <c r="AH145" s="63"/>
      <c r="AZ145" s="63"/>
      <c r="BR145" s="62"/>
      <c r="BS145" s="62"/>
      <c r="BT145" s="62"/>
      <c r="BU145" s="62"/>
      <c r="BV145" s="62"/>
      <c r="BW145" s="62"/>
      <c r="BX145" s="62"/>
      <c r="BY145" s="62"/>
      <c r="BZ145" s="62"/>
      <c r="CA145" s="62"/>
      <c r="CB145" s="62"/>
      <c r="CC145" s="62"/>
      <c r="CD145" s="62"/>
      <c r="CE145" s="62"/>
      <c r="CF145" s="62"/>
      <c r="CG145" s="62"/>
      <c r="CH145" s="62"/>
      <c r="CI145" s="62"/>
      <c r="CJ145" s="62"/>
    </row>
    <row r="146" s="61" customFormat="1" ht="16" customHeight="1" spans="7:88">
      <c r="G146" s="63"/>
      <c r="M146" s="247"/>
      <c r="T146" s="64"/>
      <c r="AA146" s="63"/>
      <c r="AH146" s="63"/>
      <c r="AZ146" s="63"/>
      <c r="BR146" s="62"/>
      <c r="BS146" s="62"/>
      <c r="BT146" s="62"/>
      <c r="BU146" s="62"/>
      <c r="BV146" s="62"/>
      <c r="BW146" s="62"/>
      <c r="BX146" s="62"/>
      <c r="BY146" s="62"/>
      <c r="BZ146" s="62"/>
      <c r="CA146" s="62"/>
      <c r="CB146" s="62"/>
      <c r="CC146" s="62"/>
      <c r="CD146" s="62"/>
      <c r="CE146" s="62"/>
      <c r="CF146" s="62"/>
      <c r="CG146" s="62"/>
      <c r="CH146" s="62"/>
      <c r="CI146" s="62"/>
      <c r="CJ146" s="62"/>
    </row>
    <row r="147" s="61" customFormat="1" ht="16" customHeight="1" spans="7:88">
      <c r="G147" s="63"/>
      <c r="M147" s="247"/>
      <c r="T147" s="64"/>
      <c r="AA147" s="63"/>
      <c r="AH147" s="63"/>
      <c r="AZ147" s="63"/>
      <c r="BR147" s="62"/>
      <c r="BS147" s="62"/>
      <c r="BT147" s="62"/>
      <c r="BU147" s="62"/>
      <c r="BV147" s="62"/>
      <c r="BW147" s="62"/>
      <c r="BX147" s="62"/>
      <c r="BY147" s="62"/>
      <c r="BZ147" s="62"/>
      <c r="CA147" s="62"/>
      <c r="CB147" s="62"/>
      <c r="CC147" s="62"/>
      <c r="CD147" s="62"/>
      <c r="CE147" s="62"/>
      <c r="CF147" s="62"/>
      <c r="CG147" s="62"/>
      <c r="CH147" s="62"/>
      <c r="CI147" s="62"/>
      <c r="CJ147" s="62"/>
    </row>
    <row r="148" s="61" customFormat="1" ht="16" customHeight="1" spans="7:88">
      <c r="G148" s="63"/>
      <c r="M148" s="247"/>
      <c r="T148" s="64"/>
      <c r="AA148" s="63"/>
      <c r="AH148" s="63"/>
      <c r="AZ148" s="63"/>
      <c r="BR148" s="62"/>
      <c r="BS148" s="62"/>
      <c r="BT148" s="62"/>
      <c r="BU148" s="62"/>
      <c r="BV148" s="62"/>
      <c r="BW148" s="62"/>
      <c r="BX148" s="62"/>
      <c r="BY148" s="62"/>
      <c r="BZ148" s="62"/>
      <c r="CA148" s="62"/>
      <c r="CB148" s="62"/>
      <c r="CC148" s="62"/>
      <c r="CD148" s="62"/>
      <c r="CE148" s="62"/>
      <c r="CF148" s="62"/>
      <c r="CG148" s="62"/>
      <c r="CH148" s="62"/>
      <c r="CI148" s="62"/>
      <c r="CJ148" s="62"/>
    </row>
    <row r="149" s="61" customFormat="1" ht="16" customHeight="1" spans="7:88">
      <c r="G149" s="63"/>
      <c r="M149" s="247"/>
      <c r="T149" s="64"/>
      <c r="AA149" s="63"/>
      <c r="AH149" s="63"/>
      <c r="AZ149" s="63"/>
      <c r="BR149" s="62"/>
      <c r="BS149" s="62"/>
      <c r="BT149" s="62"/>
      <c r="BU149" s="62"/>
      <c r="BV149" s="62"/>
      <c r="BW149" s="62"/>
      <c r="BX149" s="62"/>
      <c r="BY149" s="62"/>
      <c r="BZ149" s="62"/>
      <c r="CA149" s="62"/>
      <c r="CB149" s="62"/>
      <c r="CC149" s="62"/>
      <c r="CD149" s="62"/>
      <c r="CE149" s="62"/>
      <c r="CF149" s="62"/>
      <c r="CG149" s="62"/>
      <c r="CH149" s="62"/>
      <c r="CI149" s="62"/>
      <c r="CJ149" s="62"/>
    </row>
    <row r="150" s="61" customFormat="1" ht="16" customHeight="1" spans="7:88">
      <c r="G150" s="63"/>
      <c r="M150" s="247"/>
      <c r="T150" s="64"/>
      <c r="AA150" s="63"/>
      <c r="AH150" s="63"/>
      <c r="AZ150" s="63"/>
      <c r="BR150" s="62"/>
      <c r="BS150" s="62"/>
      <c r="BT150" s="62"/>
      <c r="BU150" s="62"/>
      <c r="BV150" s="62"/>
      <c r="BW150" s="62"/>
      <c r="BX150" s="62"/>
      <c r="BY150" s="62"/>
      <c r="BZ150" s="62"/>
      <c r="CA150" s="62"/>
      <c r="CB150" s="62"/>
      <c r="CC150" s="62"/>
      <c r="CD150" s="62"/>
      <c r="CE150" s="62"/>
      <c r="CF150" s="62"/>
      <c r="CG150" s="62"/>
      <c r="CH150" s="62"/>
      <c r="CI150" s="62"/>
      <c r="CJ150" s="62"/>
    </row>
    <row r="151" s="61" customFormat="1" ht="13.5" customHeight="1" spans="7:88">
      <c r="G151" s="63"/>
      <c r="M151" s="247"/>
      <c r="T151" s="64"/>
      <c r="AA151" s="63"/>
      <c r="AH151" s="63"/>
      <c r="AZ151" s="63"/>
      <c r="BR151" s="62"/>
      <c r="BS151" s="62"/>
      <c r="BT151" s="62"/>
      <c r="BU151" s="62"/>
      <c r="BV151" s="62"/>
      <c r="BW151" s="62"/>
      <c r="BX151" s="62"/>
      <c r="BY151" s="62"/>
      <c r="BZ151" s="62"/>
      <c r="CA151" s="62"/>
      <c r="CB151" s="62"/>
      <c r="CC151" s="62"/>
      <c r="CD151" s="62"/>
      <c r="CE151" s="62"/>
      <c r="CF151" s="62"/>
      <c r="CG151" s="62"/>
      <c r="CH151" s="62"/>
      <c r="CI151" s="62"/>
      <c r="CJ151" s="62"/>
    </row>
    <row r="152" s="61" customFormat="1" ht="13.5" customHeight="1" spans="7:88">
      <c r="G152" s="63"/>
      <c r="M152" s="247"/>
      <c r="T152" s="64"/>
      <c r="AA152" s="63"/>
      <c r="AH152" s="63"/>
      <c r="AZ152" s="63"/>
      <c r="BR152" s="62"/>
      <c r="BS152" s="62"/>
      <c r="BT152" s="62"/>
      <c r="BU152" s="62"/>
      <c r="BV152" s="62"/>
      <c r="BW152" s="62"/>
      <c r="BX152" s="62"/>
      <c r="BY152" s="62"/>
      <c r="BZ152" s="62"/>
      <c r="CA152" s="62"/>
      <c r="CB152" s="62"/>
      <c r="CC152" s="62"/>
      <c r="CD152" s="62"/>
      <c r="CE152" s="62"/>
      <c r="CF152" s="62"/>
      <c r="CG152" s="62"/>
      <c r="CH152" s="62"/>
      <c r="CI152" s="62"/>
      <c r="CJ152" s="62"/>
    </row>
    <row r="153" s="61" customFormat="1" ht="13.5" customHeight="1" spans="7:88">
      <c r="G153" s="63"/>
      <c r="M153" s="247"/>
      <c r="T153" s="64"/>
      <c r="AA153" s="63"/>
      <c r="AH153" s="63"/>
      <c r="AZ153" s="63"/>
      <c r="BR153" s="62"/>
      <c r="BS153" s="62"/>
      <c r="BT153" s="62"/>
      <c r="BU153" s="62"/>
      <c r="BV153" s="62"/>
      <c r="BW153" s="62"/>
      <c r="BX153" s="62"/>
      <c r="BY153" s="62"/>
      <c r="BZ153" s="62"/>
      <c r="CA153" s="62"/>
      <c r="CB153" s="62"/>
      <c r="CC153" s="62"/>
      <c r="CD153" s="62"/>
      <c r="CE153" s="62"/>
      <c r="CF153" s="62"/>
      <c r="CG153" s="62"/>
      <c r="CH153" s="62"/>
      <c r="CI153" s="62"/>
      <c r="CJ153" s="62"/>
    </row>
    <row r="154" s="61" customFormat="1" ht="13.5" customHeight="1" spans="7:88">
      <c r="G154" s="63"/>
      <c r="M154" s="247"/>
      <c r="T154" s="64"/>
      <c r="AA154" s="63"/>
      <c r="AH154" s="63"/>
      <c r="AZ154" s="63"/>
      <c r="BR154" s="62"/>
      <c r="BS154" s="62"/>
      <c r="BT154" s="62"/>
      <c r="BU154" s="62"/>
      <c r="BV154" s="62"/>
      <c r="BW154" s="62"/>
      <c r="BX154" s="62"/>
      <c r="BY154" s="62"/>
      <c r="BZ154" s="62"/>
      <c r="CA154" s="62"/>
      <c r="CB154" s="62"/>
      <c r="CC154" s="62"/>
      <c r="CD154" s="62"/>
      <c r="CE154" s="62"/>
      <c r="CF154" s="62"/>
      <c r="CG154" s="62"/>
      <c r="CH154" s="62"/>
      <c r="CI154" s="62"/>
      <c r="CJ154" s="62"/>
    </row>
    <row r="155" s="61" customFormat="1" ht="13.5" customHeight="1" spans="7:88">
      <c r="G155" s="63"/>
      <c r="M155" s="247"/>
      <c r="T155" s="64"/>
      <c r="AA155" s="63"/>
      <c r="AH155" s="63"/>
      <c r="AZ155" s="63"/>
      <c r="BR155" s="62"/>
      <c r="BS155" s="62"/>
      <c r="BT155" s="62"/>
      <c r="BU155" s="62"/>
      <c r="BV155" s="62"/>
      <c r="BW155" s="62"/>
      <c r="BX155" s="62"/>
      <c r="BY155" s="62"/>
      <c r="BZ155" s="62"/>
      <c r="CA155" s="62"/>
      <c r="CB155" s="62"/>
      <c r="CC155" s="62"/>
      <c r="CD155" s="62"/>
      <c r="CE155" s="62"/>
      <c r="CF155" s="62"/>
      <c r="CG155" s="62"/>
      <c r="CH155" s="62"/>
      <c r="CI155" s="62"/>
      <c r="CJ155" s="62"/>
    </row>
    <row r="156" s="61" customFormat="1" ht="13.5" customHeight="1" spans="7:88">
      <c r="G156" s="63"/>
      <c r="M156" s="247"/>
      <c r="T156" s="64"/>
      <c r="AA156" s="63"/>
      <c r="AH156" s="63"/>
      <c r="AZ156" s="63"/>
      <c r="BR156" s="62"/>
      <c r="BS156" s="62"/>
      <c r="BT156" s="62"/>
      <c r="BU156" s="62"/>
      <c r="BV156" s="62"/>
      <c r="BW156" s="62"/>
      <c r="BX156" s="62"/>
      <c r="BY156" s="62"/>
      <c r="BZ156" s="62"/>
      <c r="CA156" s="62"/>
      <c r="CB156" s="62"/>
      <c r="CC156" s="62"/>
      <c r="CD156" s="62"/>
      <c r="CE156" s="62"/>
      <c r="CF156" s="62"/>
      <c r="CG156" s="62"/>
      <c r="CH156" s="62"/>
      <c r="CI156" s="62"/>
      <c r="CJ156" s="62"/>
    </row>
    <row r="157" s="61" customFormat="1" ht="13.5" customHeight="1" spans="7:88">
      <c r="G157" s="63"/>
      <c r="M157" s="247"/>
      <c r="T157" s="64"/>
      <c r="AA157" s="63"/>
      <c r="AH157" s="63"/>
      <c r="AZ157" s="63"/>
      <c r="BR157" s="62"/>
      <c r="BS157" s="62"/>
      <c r="BT157" s="62"/>
      <c r="BU157" s="62"/>
      <c r="BV157" s="62"/>
      <c r="BW157" s="62"/>
      <c r="BX157" s="62"/>
      <c r="BY157" s="62"/>
      <c r="BZ157" s="62"/>
      <c r="CA157" s="62"/>
      <c r="CB157" s="62"/>
      <c r="CC157" s="62"/>
      <c r="CD157" s="62"/>
      <c r="CE157" s="62"/>
      <c r="CF157" s="62"/>
      <c r="CG157" s="62"/>
      <c r="CH157" s="62"/>
      <c r="CI157" s="62"/>
      <c r="CJ157" s="62"/>
    </row>
    <row r="158" s="61" customFormat="1" ht="13.5" customHeight="1" spans="7:88">
      <c r="G158" s="63"/>
      <c r="M158" s="247"/>
      <c r="T158" s="64"/>
      <c r="AA158" s="63"/>
      <c r="AH158" s="63"/>
      <c r="AZ158" s="63"/>
      <c r="BR158" s="62"/>
      <c r="BS158" s="62"/>
      <c r="BT158" s="62"/>
      <c r="BU158" s="62"/>
      <c r="BV158" s="62"/>
      <c r="BW158" s="62"/>
      <c r="BX158" s="62"/>
      <c r="BY158" s="62"/>
      <c r="BZ158" s="62"/>
      <c r="CA158" s="62"/>
      <c r="CB158" s="62"/>
      <c r="CC158" s="62"/>
      <c r="CD158" s="62"/>
      <c r="CE158" s="62"/>
      <c r="CF158" s="62"/>
      <c r="CG158" s="62"/>
      <c r="CH158" s="62"/>
      <c r="CI158" s="62"/>
      <c r="CJ158" s="62"/>
    </row>
    <row r="159" s="61" customFormat="1" ht="13.5" customHeight="1" spans="7:88">
      <c r="G159" s="63"/>
      <c r="M159" s="247"/>
      <c r="T159" s="64"/>
      <c r="AA159" s="63"/>
      <c r="AH159" s="63"/>
      <c r="AZ159" s="63"/>
      <c r="BR159" s="62"/>
      <c r="BS159" s="62"/>
      <c r="BT159" s="62"/>
      <c r="BU159" s="62"/>
      <c r="BV159" s="62"/>
      <c r="BW159" s="62"/>
      <c r="BX159" s="62"/>
      <c r="BY159" s="62"/>
      <c r="BZ159" s="62"/>
      <c r="CA159" s="62"/>
      <c r="CB159" s="62"/>
      <c r="CC159" s="62"/>
      <c r="CD159" s="62"/>
      <c r="CE159" s="62"/>
      <c r="CF159" s="62"/>
      <c r="CG159" s="62"/>
      <c r="CH159" s="62"/>
      <c r="CI159" s="62"/>
      <c r="CJ159" s="62"/>
    </row>
    <row r="160" s="61" customFormat="1" ht="13.5" customHeight="1" spans="7:88">
      <c r="G160" s="63"/>
      <c r="M160" s="247"/>
      <c r="T160" s="64"/>
      <c r="AA160" s="63"/>
      <c r="AH160" s="63"/>
      <c r="AZ160" s="63"/>
      <c r="BR160" s="62"/>
      <c r="BS160" s="62"/>
      <c r="BT160" s="62"/>
      <c r="BU160" s="62"/>
      <c r="BV160" s="62"/>
      <c r="BW160" s="62"/>
      <c r="BX160" s="62"/>
      <c r="BY160" s="62"/>
      <c r="BZ160" s="62"/>
      <c r="CA160" s="62"/>
      <c r="CB160" s="62"/>
      <c r="CC160" s="62"/>
      <c r="CD160" s="62"/>
      <c r="CE160" s="62"/>
      <c r="CF160" s="62"/>
      <c r="CG160" s="62"/>
      <c r="CH160" s="62"/>
      <c r="CI160" s="62"/>
      <c r="CJ160" s="62"/>
    </row>
    <row r="161" ht="13.5" customHeight="1" spans="13:13">
      <c r="M161" s="247"/>
    </row>
    <row r="162" ht="13.5" customHeight="1" spans="13:13">
      <c r="M162" s="247"/>
    </row>
    <row r="163" ht="13.5" customHeight="1" spans="13:13">
      <c r="M163" s="247"/>
    </row>
    <row r="164" ht="13.5" customHeight="1" spans="13:13">
      <c r="M164" s="247"/>
    </row>
    <row r="165" ht="13.5" customHeight="1" spans="13:13">
      <c r="M165" s="247"/>
    </row>
    <row r="166" ht="13.5" customHeight="1" spans="13:13">
      <c r="M166" s="247"/>
    </row>
    <row r="167" ht="13.5" customHeight="1" spans="13:13">
      <c r="M167" s="247"/>
    </row>
    <row r="168" ht="13.5" customHeight="1" spans="13:13">
      <c r="M168" s="247"/>
    </row>
    <row r="169" ht="13.5" customHeight="1" spans="13:13">
      <c r="M169" s="247"/>
    </row>
    <row r="170" ht="13.5" customHeight="1" spans="8:13">
      <c r="H170" s="265"/>
      <c r="I170" s="265"/>
      <c r="J170" s="265"/>
      <c r="K170" s="265"/>
      <c r="L170" s="265"/>
      <c r="M170" s="247"/>
    </row>
    <row r="171" ht="13.5" customHeight="1" spans="8:13">
      <c r="H171" s="266"/>
      <c r="I171" s="266"/>
      <c r="J171" s="266"/>
      <c r="K171" s="266"/>
      <c r="L171" s="266"/>
      <c r="M171" s="247"/>
    </row>
    <row r="172" ht="13.5" customHeight="1" spans="8:13">
      <c r="H172" s="266" t="e">
        <f>MIN(L177,INT(N49*520/H177))</f>
        <v>#DIV/0!</v>
      </c>
      <c r="I172" s="266"/>
      <c r="J172" s="266"/>
      <c r="K172" s="266"/>
      <c r="L172" s="266"/>
      <c r="M172" s="247"/>
    </row>
    <row r="173" ht="13.5" customHeight="1" spans="8:13">
      <c r="H173" s="266" t="e">
        <f>MIN(L178,MAX(0,INT((520*N49-H172*H177)/H178)))</f>
        <v>#DIV/0!</v>
      </c>
      <c r="I173" s="266"/>
      <c r="J173" s="266" t="e">
        <f>L178-H173</f>
        <v>#DIV/0!</v>
      </c>
      <c r="K173" s="266"/>
      <c r="L173" s="266"/>
      <c r="M173" s="247"/>
    </row>
    <row r="174" ht="13.5" customHeight="1" spans="8:13">
      <c r="H174" s="266" t="e">
        <f>MIN(L179,MAX(0,INT((520*N49-H172*H177-H173*H178)/H179)))</f>
        <v>#DIV/0!</v>
      </c>
      <c r="I174" s="266"/>
      <c r="J174" s="266" t="e">
        <f>IF(MIN((L179-H174),MIN(L179,INT((520*N49-J172*H177-J173*H178)/H179)))&lt;0,0,MIN((L179-H174),MIN(L179,INT((520*N49-J172*H177-J173*H178)/H179))))</f>
        <v>#DIV/0!</v>
      </c>
      <c r="K174" s="266" t="e">
        <f>MIN(L180,INT((260*N49-K175*H180)/H179))</f>
        <v>#DIV/0!</v>
      </c>
      <c r="L174" s="266"/>
      <c r="M174" s="247"/>
    </row>
    <row r="175" ht="13.5" customHeight="1" spans="8:13">
      <c r="H175" s="266" t="e">
        <f>MAX(0,INT((N49*520-H172*H177-H173*H178-H174*H179)/H180))</f>
        <v>#DIV/0!</v>
      </c>
      <c r="I175" s="266"/>
      <c r="J175" s="266" t="e">
        <f>IF(MIN(L180-K175,INT((520*N49-H177*J172-H178*J173-H179*J174)/H180))&lt;0,0,MIN(L180-K175,INT((520*N49-H177*J172-H178*J173-H179*J174)/H180)))</f>
        <v>#DIV/0!</v>
      </c>
      <c r="K175" s="266" t="e">
        <f>MIN(L180,INT(260*N49/H180))</f>
        <v>#DIV/0!</v>
      </c>
      <c r="L175" s="266"/>
      <c r="M175" s="247"/>
    </row>
    <row r="176" spans="8:12">
      <c r="H176" s="266"/>
      <c r="I176" s="266"/>
      <c r="J176" s="266"/>
      <c r="K176" s="266"/>
      <c r="L176" s="266"/>
    </row>
    <row r="177" spans="8:12">
      <c r="H177" s="266">
        <f>初始化表!E17</f>
        <v>0</v>
      </c>
      <c r="I177" s="266">
        <f>初始化表!E18</f>
        <v>0</v>
      </c>
      <c r="J177" s="266">
        <f>初始化表!E19</f>
        <v>0</v>
      </c>
      <c r="K177" s="266"/>
      <c r="L177" s="266">
        <f>L35</f>
        <v>0</v>
      </c>
    </row>
    <row r="178" spans="8:12">
      <c r="H178" s="266">
        <f>初始化表!F17</f>
        <v>0</v>
      </c>
      <c r="I178" s="266">
        <f>初始化表!F18</f>
        <v>0</v>
      </c>
      <c r="J178" s="266">
        <f>初始化表!F19</f>
        <v>0</v>
      </c>
      <c r="K178" s="266"/>
      <c r="L178" s="266">
        <f>L36</f>
        <v>0</v>
      </c>
    </row>
    <row r="179" spans="8:12">
      <c r="H179" s="266">
        <f>初始化表!G17</f>
        <v>0</v>
      </c>
      <c r="I179" s="266">
        <f>初始化表!G18</f>
        <v>0</v>
      </c>
      <c r="J179" s="266">
        <f>初始化表!G19</f>
        <v>0</v>
      </c>
      <c r="K179" s="266"/>
      <c r="L179" s="266">
        <f>L37</f>
        <v>0</v>
      </c>
    </row>
    <row r="180" spans="8:12">
      <c r="H180" s="266">
        <f>初始化表!H17</f>
        <v>0</v>
      </c>
      <c r="I180" s="266">
        <f>初始化表!H18</f>
        <v>0</v>
      </c>
      <c r="J180" s="266">
        <f>初始化表!H19</f>
        <v>0</v>
      </c>
      <c r="K180" s="266"/>
      <c r="L180" s="266">
        <f>L38</f>
        <v>0</v>
      </c>
    </row>
    <row r="181" spans="8:12">
      <c r="H181" s="266"/>
      <c r="I181" s="266"/>
      <c r="J181" s="266"/>
      <c r="K181" s="266"/>
      <c r="L181" s="266"/>
    </row>
    <row r="182" spans="8:12">
      <c r="H182" s="266" t="e">
        <f>MIN(L177,INT(N49*520/H177))</f>
        <v>#DIV/0!</v>
      </c>
      <c r="I182" s="266"/>
      <c r="J182" s="266"/>
      <c r="K182" s="266"/>
      <c r="L182" s="266"/>
    </row>
    <row r="183" spans="8:12">
      <c r="H183" s="266" t="e">
        <f>MIN(L178,MAX(0,INT((520*N49-H172*H177)/H178)))</f>
        <v>#DIV/0!</v>
      </c>
      <c r="I183" s="266"/>
      <c r="J183" s="266" t="e">
        <f>L188-H183</f>
        <v>#DIV/0!</v>
      </c>
      <c r="K183" s="266"/>
      <c r="L183" s="266"/>
    </row>
    <row r="184" spans="8:12">
      <c r="H184" s="266" t="e">
        <f>MIN(L179,MAX(0,INT((520*N49-H172*H177-H173*H178)/H179)))</f>
        <v>#DIV/0!</v>
      </c>
      <c r="I184" s="266"/>
      <c r="J184" s="266">
        <f>INT(L179/3*2)</f>
        <v>0</v>
      </c>
      <c r="K184" s="266">
        <f>INT(J184/2)</f>
        <v>0</v>
      </c>
      <c r="L184" s="266"/>
    </row>
    <row r="185" spans="8:12">
      <c r="H185" s="266" t="e">
        <f>MAX(0,INT((N49*520-H172*H177-H173*H178-H174*H179)/H180))</f>
        <v>#DIV/0!</v>
      </c>
      <c r="I185" s="266"/>
      <c r="J185" s="266">
        <f>INT(L180/3*2)</f>
        <v>0</v>
      </c>
      <c r="K185" s="266">
        <f>INT(J185/2)</f>
        <v>0</v>
      </c>
      <c r="L185" s="266"/>
    </row>
    <row r="186" spans="8:12">
      <c r="H186" s="265"/>
      <c r="I186" s="265"/>
      <c r="J186" s="265"/>
      <c r="K186" s="265"/>
      <c r="L186" s="265"/>
    </row>
    <row r="187" spans="8:12">
      <c r="H187" s="265"/>
      <c r="I187" s="265"/>
      <c r="J187" s="265"/>
      <c r="K187" s="265"/>
      <c r="L187" s="265"/>
    </row>
    <row r="200" spans="1:6">
      <c r="A200" s="265" t="s">
        <v>283</v>
      </c>
      <c r="B200" s="265" t="s">
        <v>314</v>
      </c>
      <c r="C200" s="265" t="s">
        <v>315</v>
      </c>
      <c r="D200" s="265" t="s">
        <v>316</v>
      </c>
      <c r="E200" s="265" t="s">
        <v>317</v>
      </c>
      <c r="F200" s="265" t="s">
        <v>318</v>
      </c>
    </row>
    <row r="201" spans="1:6">
      <c r="A201" s="265" t="s">
        <v>35</v>
      </c>
      <c r="B201" s="265">
        <v>100</v>
      </c>
      <c r="C201" s="267">
        <v>0</v>
      </c>
      <c r="D201" s="267">
        <v>100000</v>
      </c>
      <c r="E201" s="265">
        <v>1.245</v>
      </c>
      <c r="F201" s="265">
        <v>0.955</v>
      </c>
    </row>
    <row r="202" spans="1:6">
      <c r="A202" s="265" t="s">
        <v>36</v>
      </c>
      <c r="B202" s="265">
        <v>50</v>
      </c>
      <c r="C202" s="267">
        <v>0</v>
      </c>
      <c r="D202" s="267">
        <v>200000</v>
      </c>
      <c r="E202" s="265">
        <v>1.245</v>
      </c>
      <c r="F202" s="265">
        <v>0.955</v>
      </c>
    </row>
    <row r="203" spans="1:6">
      <c r="A203" s="265" t="s">
        <v>62</v>
      </c>
      <c r="B203" s="265">
        <v>0</v>
      </c>
      <c r="C203" s="265">
        <v>0</v>
      </c>
      <c r="D203" s="265">
        <v>0</v>
      </c>
      <c r="E203" s="265">
        <v>0</v>
      </c>
      <c r="F203" s="265">
        <v>0.955</v>
      </c>
    </row>
    <row r="204" spans="1:6">
      <c r="A204" s="265" t="s">
        <v>63</v>
      </c>
      <c r="B204" s="265">
        <v>0</v>
      </c>
      <c r="C204" s="265">
        <v>0</v>
      </c>
      <c r="D204" s="265">
        <v>0</v>
      </c>
      <c r="E204" s="265">
        <v>0</v>
      </c>
      <c r="F204" s="265">
        <v>0.954</v>
      </c>
    </row>
    <row r="222" spans="35:39">
      <c r="AI222" s="62" t="s">
        <v>750</v>
      </c>
      <c r="AJ222" s="62" t="s">
        <v>357</v>
      </c>
      <c r="AK222" s="62" t="s">
        <v>358</v>
      </c>
      <c r="AL222" s="62" t="s">
        <v>359</v>
      </c>
      <c r="AM222" s="62" t="s">
        <v>360</v>
      </c>
    </row>
    <row r="223" spans="35:36">
      <c r="AI223" s="62" t="s">
        <v>361</v>
      </c>
      <c r="AJ223" s="268">
        <v>4211401.5</v>
      </c>
    </row>
    <row r="224" spans="35:39">
      <c r="AI224" s="62" t="s">
        <v>309</v>
      </c>
      <c r="AJ224" s="268">
        <v>0</v>
      </c>
      <c r="AM224" s="268">
        <v>4211401.5</v>
      </c>
    </row>
    <row r="225" spans="35:39">
      <c r="AI225" s="62" t="s">
        <v>362</v>
      </c>
      <c r="AJ225" s="268">
        <v>0</v>
      </c>
      <c r="AM225" s="268">
        <v>4211401.5</v>
      </c>
    </row>
    <row r="226" spans="35:39">
      <c r="AI226" s="62" t="s">
        <v>363</v>
      </c>
      <c r="AJ226" s="268">
        <v>-50000</v>
      </c>
      <c r="AM226" s="268">
        <v>4161401.5</v>
      </c>
    </row>
    <row r="227" spans="35:39">
      <c r="AI227" s="62" t="s">
        <v>364</v>
      </c>
      <c r="AJ227" s="268">
        <v>-27625</v>
      </c>
      <c r="AL227" s="268">
        <v>27625</v>
      </c>
      <c r="AM227" s="268">
        <v>4133776.5</v>
      </c>
    </row>
    <row r="228" spans="35:39">
      <c r="AI228" s="62" t="s">
        <v>365</v>
      </c>
      <c r="AJ228" s="268">
        <v>-5000</v>
      </c>
      <c r="AL228" s="268">
        <v>32625</v>
      </c>
      <c r="AM228" s="268">
        <v>4128776.5</v>
      </c>
    </row>
    <row r="229" spans="35:39">
      <c r="AI229" s="62" t="s">
        <v>366</v>
      </c>
      <c r="AJ229" s="268">
        <v>-10000</v>
      </c>
      <c r="AL229" s="268">
        <v>42625</v>
      </c>
      <c r="AM229" s="268">
        <v>4118776.5</v>
      </c>
    </row>
    <row r="230" spans="35:39">
      <c r="AI230" s="62" t="s">
        <v>367</v>
      </c>
      <c r="AJ230" s="268">
        <v>-656500</v>
      </c>
      <c r="AL230" s="268">
        <v>699125</v>
      </c>
      <c r="AM230" s="268">
        <v>3462276.5</v>
      </c>
    </row>
    <row r="231" spans="35:39">
      <c r="AI231" s="62" t="s">
        <v>368</v>
      </c>
      <c r="AJ231" s="268">
        <v>-45000</v>
      </c>
      <c r="AL231" s="268">
        <v>744125</v>
      </c>
      <c r="AM231" s="268">
        <v>3417276.5</v>
      </c>
    </row>
    <row r="232" spans="35:39">
      <c r="AI232" s="62" t="s">
        <v>369</v>
      </c>
      <c r="AJ232" s="62">
        <v>0</v>
      </c>
      <c r="AM232" s="268">
        <v>3417276.5</v>
      </c>
    </row>
    <row r="233" spans="35:39">
      <c r="AI233" s="62" t="s">
        <v>370</v>
      </c>
      <c r="AJ233" s="268">
        <v>0</v>
      </c>
      <c r="AM233" s="268">
        <v>3417276.5</v>
      </c>
    </row>
    <row r="234" spans="35:38">
      <c r="AI234" s="62" t="s">
        <v>371</v>
      </c>
      <c r="AJ234" s="268">
        <v>0</v>
      </c>
      <c r="AL234" s="268">
        <v>744125</v>
      </c>
    </row>
    <row r="235" spans="35:39">
      <c r="AI235" s="62" t="s">
        <v>372</v>
      </c>
      <c r="AJ235" s="268">
        <v>-500000</v>
      </c>
      <c r="AM235" s="268">
        <v>2917276.5</v>
      </c>
    </row>
    <row r="236" spans="35:39">
      <c r="AI236" s="62" t="s">
        <v>373</v>
      </c>
      <c r="AJ236" s="268">
        <v>0</v>
      </c>
      <c r="AK236" s="268">
        <v>0</v>
      </c>
      <c r="AM236" s="268">
        <v>2917276.5</v>
      </c>
    </row>
    <row r="237" spans="35:39">
      <c r="AI237" s="62" t="s">
        <v>374</v>
      </c>
      <c r="AJ237" s="268">
        <v>-15000</v>
      </c>
      <c r="AL237" s="268">
        <v>759125</v>
      </c>
      <c r="AM237" s="268">
        <v>2902276.5</v>
      </c>
    </row>
    <row r="238" spans="35:39">
      <c r="AI238" s="62" t="s">
        <v>244</v>
      </c>
      <c r="AJ238" s="268">
        <v>-25000</v>
      </c>
      <c r="AL238" s="268">
        <v>784125</v>
      </c>
      <c r="AM238" s="268">
        <v>2877276.5</v>
      </c>
    </row>
    <row r="239" spans="35:39">
      <c r="AI239" s="62" t="s">
        <v>375</v>
      </c>
      <c r="AJ239" s="268">
        <v>-490950</v>
      </c>
      <c r="AL239" s="268">
        <v>1275075</v>
      </c>
      <c r="AM239" s="268">
        <v>2386326.5</v>
      </c>
    </row>
    <row r="240" spans="35:38">
      <c r="AI240" s="62" t="s">
        <v>376</v>
      </c>
      <c r="AJ240" s="268">
        <v>-471900</v>
      </c>
      <c r="AL240" s="268">
        <v>1746975</v>
      </c>
    </row>
    <row r="241" spans="35:39">
      <c r="AI241" s="62" t="s">
        <v>377</v>
      </c>
      <c r="AJ241" s="268">
        <v>-276050</v>
      </c>
      <c r="AL241" s="268">
        <v>2023025</v>
      </c>
      <c r="AM241" s="268">
        <v>2110276.5</v>
      </c>
    </row>
    <row r="242" spans="35:39">
      <c r="AI242" s="62" t="s">
        <v>276</v>
      </c>
      <c r="AJ242" s="268">
        <v>-30000</v>
      </c>
      <c r="AL242" s="268">
        <v>2053025</v>
      </c>
      <c r="AM242" s="268">
        <v>2080276.5</v>
      </c>
    </row>
    <row r="243" spans="35:39">
      <c r="AI243" s="62" t="s">
        <v>280</v>
      </c>
      <c r="AJ243" s="268">
        <v>-40000</v>
      </c>
      <c r="AL243" s="268">
        <v>2093025</v>
      </c>
      <c r="AM243" s="268">
        <v>2040276.5</v>
      </c>
    </row>
    <row r="244" spans="35:39">
      <c r="AI244" s="62" t="s">
        <v>378</v>
      </c>
      <c r="AJ244" s="268">
        <v>2715800</v>
      </c>
      <c r="AK244" s="268">
        <v>2715800</v>
      </c>
      <c r="AM244" s="268">
        <v>4756076.5</v>
      </c>
    </row>
    <row r="245" spans="35:39">
      <c r="AI245" s="62" t="s">
        <v>379</v>
      </c>
      <c r="AJ245" s="268">
        <v>-62480</v>
      </c>
      <c r="AL245" s="268">
        <v>2155505</v>
      </c>
      <c r="AM245" s="268">
        <v>4693596.5</v>
      </c>
    </row>
    <row r="246" spans="35:38">
      <c r="AI246" s="62" t="s">
        <v>380</v>
      </c>
      <c r="AJ246" s="268">
        <v>-600000</v>
      </c>
      <c r="AL246" s="268">
        <v>2755505</v>
      </c>
    </row>
    <row r="247" spans="35:38">
      <c r="AI247" s="62" t="s">
        <v>381</v>
      </c>
      <c r="AJ247" s="62" t="s">
        <v>751</v>
      </c>
      <c r="AL247" s="268">
        <v>2603466.54</v>
      </c>
    </row>
    <row r="248" spans="35:39">
      <c r="AI248" s="62" t="s">
        <v>382</v>
      </c>
      <c r="AJ248" s="268">
        <v>-5950.5</v>
      </c>
      <c r="AL248" s="268">
        <v>2609417.04</v>
      </c>
      <c r="AM248" s="268">
        <v>4687646</v>
      </c>
    </row>
    <row r="249" spans="35:39">
      <c r="AI249" s="62" t="s">
        <v>383</v>
      </c>
      <c r="AJ249" s="268">
        <v>-13520</v>
      </c>
      <c r="AL249" s="268">
        <v>2622937.04</v>
      </c>
      <c r="AM249" s="268">
        <v>4674126</v>
      </c>
    </row>
    <row r="250" spans="35:39">
      <c r="AI250" s="62" t="s">
        <v>384</v>
      </c>
      <c r="AJ250" s="62">
        <v>0</v>
      </c>
      <c r="AM250" s="268">
        <v>4674126</v>
      </c>
    </row>
    <row r="251" spans="35:39">
      <c r="AI251" s="62" t="s">
        <v>385</v>
      </c>
      <c r="AJ251" s="62">
        <v>0</v>
      </c>
      <c r="AK251" s="268">
        <v>2715800</v>
      </c>
      <c r="AM251" s="268">
        <v>4674126</v>
      </c>
    </row>
    <row r="252" spans="35:39">
      <c r="AI252" s="62" t="s">
        <v>386</v>
      </c>
      <c r="AJ252" s="268">
        <v>0</v>
      </c>
      <c r="AM252" s="268">
        <v>4674126</v>
      </c>
    </row>
    <row r="253" spans="35:39">
      <c r="AI253" s="62" t="s">
        <v>387</v>
      </c>
      <c r="AJ253" s="268">
        <v>0</v>
      </c>
      <c r="AL253" s="268">
        <v>2622937.04</v>
      </c>
      <c r="AM253" s="268">
        <v>4674126</v>
      </c>
    </row>
    <row r="254" spans="35:39">
      <c r="AI254" s="62" t="s">
        <v>388</v>
      </c>
      <c r="AJ254" s="62">
        <v>0</v>
      </c>
      <c r="AM254" s="268">
        <v>4674126</v>
      </c>
    </row>
    <row r="255" spans="35:39">
      <c r="AI255" s="62" t="s">
        <v>389</v>
      </c>
      <c r="AJ255" s="62">
        <v>0</v>
      </c>
      <c r="AL255" s="268">
        <v>2622937.04</v>
      </c>
      <c r="AM255" s="268">
        <v>4674126</v>
      </c>
    </row>
    <row r="256" spans="35:39">
      <c r="AI256" s="62" t="s">
        <v>390</v>
      </c>
      <c r="AJ256" s="268">
        <v>0</v>
      </c>
      <c r="AM256" s="268">
        <v>4674126</v>
      </c>
    </row>
    <row r="257" spans="35:39">
      <c r="AI257" s="62" t="s">
        <v>306</v>
      </c>
      <c r="AJ257" s="268">
        <v>0</v>
      </c>
      <c r="AM257" s="268">
        <v>4674126</v>
      </c>
    </row>
    <row r="258" spans="35:39">
      <c r="AI258" s="62" t="s">
        <v>391</v>
      </c>
      <c r="AJ258" s="62">
        <v>0</v>
      </c>
      <c r="AM258" s="268">
        <v>4674126</v>
      </c>
    </row>
    <row r="259" spans="35:39">
      <c r="AI259" s="62" t="s">
        <v>392</v>
      </c>
      <c r="AJ259" s="62">
        <v>0</v>
      </c>
      <c r="AM259" s="268">
        <v>4674126</v>
      </c>
    </row>
  </sheetData>
  <protectedRanges>
    <protectedRange sqref="AA4:AA8" name="区域1_1"/>
    <protectedRange sqref="Z16:Z20" name="区域1_2"/>
    <protectedRange sqref="R45" name="区域1_4_1"/>
    <protectedRange sqref="K43" name="区域1_5"/>
    <protectedRange sqref="O25:R26" name="区域2"/>
    <protectedRange sqref="O43:R43" name="区域1_6"/>
    <protectedRange sqref="V84:Y87" name="区域1_8"/>
    <protectedRange sqref="H23:M28" name="区域1_10"/>
    <protectedRange sqref="C63" name="区域1_11"/>
    <protectedRange sqref="N72:R72 N73:N76" name="区域2_1_1_3"/>
    <protectedRange sqref="N67:R67 N68:N71" name="区域2_1_1_3_1"/>
    <protectedRange sqref="O77:R77 N78:N81" name="区域2_1_1_3_1_3"/>
    <protectedRange sqref="O73:R76" name="区域2_1_1_3_2"/>
    <protectedRange sqref="R38" name="区域1_13"/>
    <protectedRange sqref="H22:L22" name="区域1_14_1"/>
    <protectedRange sqref="BM31:BQ40 BM42:BQ45 BN41:BQ41" name="区域1_12"/>
    <protectedRange sqref="AW107:AW126" name="区域1_16"/>
    <protectedRange sqref="AR107:AR126" name="区域2_1_1"/>
    <protectedRange sqref="AS107:AS126" name="区域2_2_1"/>
    <protectedRange sqref="AT107:AT126" name="区域2_3_1"/>
    <protectedRange sqref="AU107:AU126" name="区域2_5_1"/>
    <protectedRange sqref="AV107:AV126" name="区域1_18_1"/>
    <protectedRange sqref="AR106 AW106" name="区域1_17_3"/>
    <protectedRange sqref="AS106" name="区域1_17_1_1"/>
    <protectedRange sqref="AT106" name="区域1_17_2_1"/>
    <protectedRange sqref="AU106" name="区域1_17_4_1"/>
    <protectedRange sqref="AV106" name="区域1_18_1_1"/>
    <protectedRange sqref="CJ1:CS3 CJ25:CS51 CK4:CS24" name="区域1_18"/>
    <protectedRange sqref="CB25:CI27 BS25:BZ26 BS4:BS24" name="区域1_19"/>
    <protectedRange sqref="BS27:BZ27" name="区域1_9_1"/>
    <protectedRange sqref="CA27" name="区域1_7_3"/>
    <protectedRange sqref="CA25:CA26" name="区域1_7_1_1_2"/>
    <protectedRange sqref="BT4:CA4 BT5:BZ24" name="区域1_17"/>
    <protectedRange sqref="CA5:CA24" name="区域1_6_2_1_1"/>
    <protectedRange sqref="U58:Z58 Z47:Z57 U64:Z64" name="区域1_7"/>
    <protectedRange sqref="U54:Y57 V47:Y53 AB53:AE53 AA54:AE57 AB59:AE59 AA60:AE63 I90:L90 H91:L94" name="区域1_4_2"/>
    <protectedRange sqref="Z41:Z45" name="区域1_9"/>
    <protectedRange sqref="AD5:AG8" name="区域1_20"/>
    <protectedRange sqref="AC9" name="区域1_4"/>
    <protectedRange sqref="AC5:AC8" name="区域1_15_1_1"/>
    <protectedRange sqref="BT51:CI51" name="区域1_4_3"/>
    <protectedRange sqref="S45:T46 S47" name="区域3"/>
    <protectedRange sqref="T47" name="区域3_1"/>
    <protectedRange sqref="O20:R23" name="区域3_2"/>
    <protectedRange sqref="A5:F24" name="区域1_15"/>
    <protectedRange sqref="U47:U53 AA53 AA59 H90" name="区域1_4_2_1"/>
    <protectedRange sqref="N62:R62 N63:N66" name="区域2_1_1_3_3"/>
    <protectedRange sqref="O63:R66" name="区域2_1_1_3_1_2_1_1_1"/>
    <protectedRange sqref="Z59:Z63" name="区域1_7_1"/>
    <protectedRange sqref="U59:Y63 U66:U69 V65:Y65" name="区域1_4_2_2"/>
    <protectedRange sqref="O68:R71" name="区域2_1_1_3_1_2_1_1"/>
    <protectedRange sqref="CH4:CJ24" name="区域1_12_1"/>
    <protectedRange sqref="CG4:CG24" name="区域1_19_2"/>
    <protectedRange sqref="CF4:CF24" name="区域1_12_1_1"/>
    <protectedRange sqref="CB4:CE4 CB5:CB24" name="区域1_17_1"/>
    <protectedRange sqref="CC5:CE24" name="区域1_5_1_1_1"/>
    <protectedRange sqref="O78:R81" name="区域2_1_1_3_1_1"/>
    <protectedRange sqref="AX106" name="区域1_3"/>
    <protectedRange sqref="AI57" name="区域1_14"/>
    <protectedRange sqref="AJ57:AY57" name="区域1_25"/>
    <protectedRange sqref="H82:R83" name="区域2_1"/>
    <protectedRange sqref="H84:R88" name="区域2_2"/>
    <protectedRange sqref="AJ36:AY36" name="区域1_1_1"/>
    <protectedRange sqref="AJ60:AY60" name="区域1_1_2"/>
    <protectedRange sqref="N90:R94" name="区域2_3"/>
    <protectedRange sqref="G95" name="区域2_4"/>
    <protectedRange sqref="M95:M100" name="区域3_3"/>
    <protectedRange sqref="H96:L100 N96:R100" name="区域2_6"/>
    <protectedRange sqref="S73:T74 S75:S76 T72" name="区域1_1_3"/>
    <protectedRange sqref="S36:S37" name="区域1_21"/>
    <protectedRange sqref="T36:T37" name="区域1_1_5"/>
    <protectedRange sqref="S72" name="区域1_1_3_1"/>
    <protectedRange sqref="N77" name="区域2_1_1_3_1_1_2"/>
    <protectedRange sqref="S78" name="区域2_7"/>
    <protectedRange sqref="AY106" name="区域1_22"/>
    <protectedRange sqref="M90:M94" name="区域2_7_1"/>
    <protectedRange sqref="AY107:AY126" name="区域1_22_1"/>
    <protectedRange sqref="G5" name="区域1_23"/>
    <protectedRange sqref="S77" name="区域2_7_1_1"/>
    <protectedRange sqref="S96:S100" name="区域3_4"/>
    <protectedRange sqref="T96:T100" name="区域3_5"/>
    <protectedRange sqref="BI31:BI50" name="区域1_24"/>
    <protectedRange sqref="BI30" name="区域1_7_2"/>
    <protectedRange sqref="G4" name="区域1_27"/>
    <protectedRange sqref="K21" name="区域1_24_1"/>
    <protectedRange sqref="L21" name="区域1_26"/>
    <protectedRange sqref="T9" name="区域1_27_1"/>
    <protectedRange sqref="AJ26:AJ29 AI9:AI29 AK9:AQ29 AJ9:AJ24" name="区域3_6"/>
    <protectedRange sqref="BM41" name="区域1_27_2"/>
    <protectedRange sqref="V35:Y35 U36:Y39" name="区域1_11_1"/>
    <protectedRange sqref="U35" name="区域1_6_1"/>
    <protectedRange sqref="T10:T13" name="区域2_5"/>
    <protectedRange sqref="O10:O13" name="区域3_7"/>
  </protectedRanges>
  <mergeCells count="104">
    <mergeCell ref="CK3:CS3"/>
    <mergeCell ref="A4:F4"/>
    <mergeCell ref="H4:L4"/>
    <mergeCell ref="N4:R4"/>
    <mergeCell ref="BA4:BQ4"/>
    <mergeCell ref="BB5:BE5"/>
    <mergeCell ref="BF5:BI5"/>
    <mergeCell ref="BJ5:BM5"/>
    <mergeCell ref="BN5:BQ5"/>
    <mergeCell ref="AI7:AQ7"/>
    <mergeCell ref="H11:L11"/>
    <mergeCell ref="H23:L23"/>
    <mergeCell ref="A26:F26"/>
    <mergeCell ref="BS27:BV27"/>
    <mergeCell ref="A28:B28"/>
    <mergeCell ref="C28:F28"/>
    <mergeCell ref="BT28:BW28"/>
    <mergeCell ref="BX28:CA28"/>
    <mergeCell ref="CB28:CE28"/>
    <mergeCell ref="CF28:CI28"/>
    <mergeCell ref="A29:B29"/>
    <mergeCell ref="K29:L29"/>
    <mergeCell ref="A30:B30"/>
    <mergeCell ref="BM30:BQ30"/>
    <mergeCell ref="A31:B31"/>
    <mergeCell ref="N31:R31"/>
    <mergeCell ref="A32:B32"/>
    <mergeCell ref="A33:B33"/>
    <mergeCell ref="A34:B34"/>
    <mergeCell ref="AI34:AY34"/>
    <mergeCell ref="A35:B35"/>
    <mergeCell ref="AJ35:AM35"/>
    <mergeCell ref="AN35:AQ35"/>
    <mergeCell ref="AR35:AU35"/>
    <mergeCell ref="AV35:AY35"/>
    <mergeCell ref="A36:B36"/>
    <mergeCell ref="A37:B37"/>
    <mergeCell ref="A38:B38"/>
    <mergeCell ref="N38:O38"/>
    <mergeCell ref="A39:B39"/>
    <mergeCell ref="N39:R39"/>
    <mergeCell ref="A40:B40"/>
    <mergeCell ref="AB40:AC40"/>
    <mergeCell ref="AD40:AE40"/>
    <mergeCell ref="A41:B41"/>
    <mergeCell ref="H41:L41"/>
    <mergeCell ref="AB41:AC41"/>
    <mergeCell ref="AD41:AE41"/>
    <mergeCell ref="A42:B42"/>
    <mergeCell ref="AB42:AC42"/>
    <mergeCell ref="AD42:AE42"/>
    <mergeCell ref="A43:B43"/>
    <mergeCell ref="A44:B44"/>
    <mergeCell ref="A45:B45"/>
    <mergeCell ref="H45:L45"/>
    <mergeCell ref="A46:B46"/>
    <mergeCell ref="A47:B47"/>
    <mergeCell ref="N47:R47"/>
    <mergeCell ref="A48:B48"/>
    <mergeCell ref="A49:B49"/>
    <mergeCell ref="A50:B50"/>
    <mergeCell ref="A51:B51"/>
    <mergeCell ref="A52:B52"/>
    <mergeCell ref="A53:B53"/>
    <mergeCell ref="A54:B54"/>
    <mergeCell ref="A55:B55"/>
    <mergeCell ref="A56:B56"/>
    <mergeCell ref="A57:B57"/>
    <mergeCell ref="A58:B58"/>
    <mergeCell ref="AI58:AY58"/>
    <mergeCell ref="A59:B59"/>
    <mergeCell ref="AJ59:AM59"/>
    <mergeCell ref="AN59:AQ59"/>
    <mergeCell ref="AR59:AU59"/>
    <mergeCell ref="AV59:AY59"/>
    <mergeCell ref="A60:B60"/>
    <mergeCell ref="A61:B61"/>
    <mergeCell ref="A62:B62"/>
    <mergeCell ref="A63:B63"/>
    <mergeCell ref="A64:B64"/>
    <mergeCell ref="A66:C66"/>
    <mergeCell ref="E66:F66"/>
    <mergeCell ref="H77:L77"/>
    <mergeCell ref="B80:C80"/>
    <mergeCell ref="AI82:AV82"/>
    <mergeCell ref="A21:A22"/>
    <mergeCell ref="A23:A24"/>
    <mergeCell ref="F21:F22"/>
    <mergeCell ref="M23:M24"/>
    <mergeCell ref="T18:T19"/>
    <mergeCell ref="AI35:AI36"/>
    <mergeCell ref="AI59:AI60"/>
    <mergeCell ref="BA5:BA6"/>
    <mergeCell ref="BS28:BS29"/>
    <mergeCell ref="A1:F2"/>
    <mergeCell ref="BS1:CI2"/>
    <mergeCell ref="H1:R2"/>
    <mergeCell ref="AI1:AY2"/>
    <mergeCell ref="U1:Z2"/>
    <mergeCell ref="AB1:AG2"/>
    <mergeCell ref="BA1:BQ2"/>
    <mergeCell ref="AI4:AY5"/>
    <mergeCell ref="AI31:AY32"/>
    <mergeCell ref="H82:R83"/>
  </mergeCells>
  <conditionalFormatting sqref="G4">
    <cfRule type="cellIs" dxfId="0" priority="1" operator="equal">
      <formula>"""价格打错"""</formula>
    </cfRule>
  </conditionalFormatting>
  <conditionalFormatting sqref="AG11">
    <cfRule type="cellIs" dxfId="3" priority="26" stopIfTrue="1" operator="equal">
      <formula>"正确"</formula>
    </cfRule>
    <cfRule type="cellIs" dxfId="4" priority="27" stopIfTrue="1" operator="equal">
      <formula>“错误”</formula>
    </cfRule>
    <cfRule type="cellIs" dxfId="5" priority="28" stopIfTrue="1" operator="equal">
      <formula>"未粘报表"</formula>
    </cfRule>
  </conditionalFormatting>
  <conditionalFormatting sqref="AH11">
    <cfRule type="cellIs" dxfId="6" priority="19" stopIfTrue="1" operator="equal">
      <formula>"未粘报表"</formula>
    </cfRule>
    <cfRule type="cellIs" dxfId="6" priority="24" stopIfTrue="1" operator="equal">
      <formula>"现金错误"</formula>
    </cfRule>
    <cfRule type="cellIs" dxfId="7" priority="25" stopIfTrue="1" operator="equal">
      <formula>"现金正确"</formula>
    </cfRule>
  </conditionalFormatting>
  <conditionalFormatting sqref="AG13">
    <cfRule type="cellIs" dxfId="6" priority="18" stopIfTrue="1" operator="equal">
      <formula>"未粘报表"</formula>
    </cfRule>
    <cfRule type="cellIs" dxfId="6" priority="22" stopIfTrue="1" operator="equal">
      <formula>"成本错误"</formula>
    </cfRule>
    <cfRule type="cellIs" dxfId="7" priority="23" stopIfTrue="1" operator="equal">
      <formula>"成本正确"</formula>
    </cfRule>
  </conditionalFormatting>
  <conditionalFormatting sqref="AH13">
    <cfRule type="cellIs" dxfId="6" priority="17" stopIfTrue="1" operator="equal">
      <formula>"未粘报表"</formula>
    </cfRule>
    <cfRule type="cellIs" dxfId="6" priority="20" stopIfTrue="1" operator="equal">
      <formula>"分红错误"</formula>
    </cfRule>
    <cfRule type="cellIs" dxfId="7" priority="21" stopIfTrue="1" operator="equal">
      <formula>"分红正确"</formula>
    </cfRule>
  </conditionalFormatting>
  <conditionalFormatting sqref="K18">
    <cfRule type="cellIs" dxfId="8" priority="53" stopIfTrue="1" operator="lessThan">
      <formula>$J$17</formula>
    </cfRule>
  </conditionalFormatting>
  <conditionalFormatting sqref="S37">
    <cfRule type="expression" dxfId="9" priority="8">
      <formula>"&gt;0"</formula>
    </cfRule>
  </conditionalFormatting>
  <conditionalFormatting sqref="T37">
    <cfRule type="expression" dxfId="9" priority="7">
      <formula>"&gt;0"</formula>
    </cfRule>
  </conditionalFormatting>
  <conditionalFormatting sqref="K43">
    <cfRule type="cellIs" dxfId="8" priority="16" stopIfTrue="1" operator="lessThan">
      <formula>$I$43</formula>
    </cfRule>
  </conditionalFormatting>
  <conditionalFormatting sqref="T47">
    <cfRule type="expression" dxfId="9" priority="14">
      <formula>"&gt;0"</formula>
    </cfRule>
  </conditionalFormatting>
  <conditionalFormatting sqref="S78">
    <cfRule type="cellIs" dxfId="6" priority="4" stopIfTrue="1" operator="equal">
      <formula>"未粘报表"</formula>
    </cfRule>
    <cfRule type="cellIs" dxfId="6" priority="5" stopIfTrue="1" operator="equal">
      <formula>"分红错误"</formula>
    </cfRule>
    <cfRule type="cellIs" dxfId="7" priority="6" stopIfTrue="1" operator="equal">
      <formula>"分红正确"</formula>
    </cfRule>
  </conditionalFormatting>
  <conditionalFormatting sqref="K85:K88">
    <cfRule type="cellIs" dxfId="0" priority="13" operator="greaterThan">
      <formula>$L$85+15</formula>
    </cfRule>
  </conditionalFormatting>
  <conditionalFormatting sqref="L85:L88">
    <cfRule type="cellIs" dxfId="0" priority="12" operator="greaterThan">
      <formula>$K$85+15</formula>
    </cfRule>
  </conditionalFormatting>
  <conditionalFormatting sqref="M85:M88">
    <cfRule type="cellIs" dxfId="0" priority="9" operator="greaterThan">
      <formula>$K$85+15</formula>
    </cfRule>
  </conditionalFormatting>
  <conditionalFormatting sqref="M91:M94">
    <cfRule type="cellIs" dxfId="6" priority="2" stopIfTrue="1" operator="equal">
      <formula>"市场异常"</formula>
    </cfRule>
    <cfRule type="cellIs" dxfId="7" priority="3" stopIfTrue="1" operator="equal">
      <formula>"市场正常"</formula>
    </cfRule>
  </conditionalFormatting>
  <dataValidations count="2">
    <dataValidation type="whole" operator="between" allowBlank="1" showInputMessage="1" showErrorMessage="1" error="请输入正确" sqref="K43">
      <formula1>I43</formula1>
      <formula2>10000000000</formula2>
    </dataValidation>
    <dataValidation type="decimal" operator="between" allowBlank="1" showInputMessage="1" showErrorMessage="1" error="请输入正确" sqref="R45">
      <formula1>1</formula1>
      <formula2>2</formula2>
    </dataValidation>
  </dataValidations>
  <pageMargins left="0.698611111111111" right="0.698611111111111" top="0.75" bottom="0.75" header="0.3" footer="0.3"/>
  <pageSetup paperSize="9" firstPageNumber="4294963191" orientation="portrait" useFirstPageNumber="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63" name="Spinner 23" r:id="rId4">
              <controlPr defaultSize="0">
                <anchor moveWithCells="1" sizeWithCells="1">
                  <from>
                    <xdr:col>8</xdr:col>
                    <xdr:colOff>850900</xdr:colOff>
                    <xdr:row>23</xdr:row>
                    <xdr:rowOff>203200</xdr:rowOff>
                  </from>
                  <to>
                    <xdr:col>8</xdr:col>
                    <xdr:colOff>965200</xdr:colOff>
                    <xdr:row>24</xdr:row>
                    <xdr:rowOff>184150</xdr:rowOff>
                  </to>
                </anchor>
              </controlPr>
            </control>
          </mc:Choice>
        </mc:AlternateContent>
        <mc:AlternateContent xmlns:mc="http://schemas.openxmlformats.org/markup-compatibility/2006">
          <mc:Choice Requires="x14">
            <control shapeId="10264" name="Spinner 24" r:id="rId5">
              <controlPr defaultSize="0">
                <anchor moveWithCells="1" sizeWithCells="1">
                  <from>
                    <xdr:col>9</xdr:col>
                    <xdr:colOff>762000</xdr:colOff>
                    <xdr:row>24</xdr:row>
                    <xdr:rowOff>12700</xdr:rowOff>
                  </from>
                  <to>
                    <xdr:col>9</xdr:col>
                    <xdr:colOff>901700</xdr:colOff>
                    <xdr:row>25</xdr:row>
                    <xdr:rowOff>0</xdr:rowOff>
                  </to>
                </anchor>
              </controlPr>
            </control>
          </mc:Choice>
        </mc:AlternateContent>
        <mc:AlternateContent xmlns:mc="http://schemas.openxmlformats.org/markup-compatibility/2006">
          <mc:Choice Requires="x14">
            <control shapeId="10265" name="Spinner 25" r:id="rId6">
              <controlPr defaultSize="0">
                <anchor moveWithCells="1" sizeWithCells="1">
                  <from>
                    <xdr:col>8</xdr:col>
                    <xdr:colOff>850900</xdr:colOff>
                    <xdr:row>24</xdr:row>
                    <xdr:rowOff>203200</xdr:rowOff>
                  </from>
                  <to>
                    <xdr:col>8</xdr:col>
                    <xdr:colOff>965200</xdr:colOff>
                    <xdr:row>25</xdr:row>
                    <xdr:rowOff>184150</xdr:rowOff>
                  </to>
                </anchor>
              </controlPr>
            </control>
          </mc:Choice>
        </mc:AlternateContent>
        <mc:AlternateContent xmlns:mc="http://schemas.openxmlformats.org/markup-compatibility/2006">
          <mc:Choice Requires="x14">
            <control shapeId="10266" name="Spinner 26" r:id="rId7">
              <controlPr defaultSize="0">
                <anchor moveWithCells="1" sizeWithCells="1">
                  <from>
                    <xdr:col>9</xdr:col>
                    <xdr:colOff>762000</xdr:colOff>
                    <xdr:row>25</xdr:row>
                    <xdr:rowOff>12700</xdr:rowOff>
                  </from>
                  <to>
                    <xdr:col>9</xdr:col>
                    <xdr:colOff>901700</xdr:colOff>
                    <xdr:row>26</xdr:row>
                    <xdr:rowOff>0</xdr:rowOff>
                  </to>
                </anchor>
              </controlPr>
            </control>
          </mc:Choice>
        </mc:AlternateContent>
        <mc:AlternateContent xmlns:mc="http://schemas.openxmlformats.org/markup-compatibility/2006">
          <mc:Choice Requires="x14">
            <control shapeId="10267" name="Spinner 27" r:id="rId8">
              <controlPr defaultSize="0">
                <anchor moveWithCells="1" sizeWithCells="1">
                  <from>
                    <xdr:col>8</xdr:col>
                    <xdr:colOff>850900</xdr:colOff>
                    <xdr:row>25</xdr:row>
                    <xdr:rowOff>203200</xdr:rowOff>
                  </from>
                  <to>
                    <xdr:col>8</xdr:col>
                    <xdr:colOff>965200</xdr:colOff>
                    <xdr:row>26</xdr:row>
                    <xdr:rowOff>184150</xdr:rowOff>
                  </to>
                </anchor>
              </controlPr>
            </control>
          </mc:Choice>
        </mc:AlternateContent>
        <mc:AlternateContent xmlns:mc="http://schemas.openxmlformats.org/markup-compatibility/2006">
          <mc:Choice Requires="x14">
            <control shapeId="10268" name="Spinner 28" r:id="rId9">
              <controlPr defaultSize="0">
                <anchor moveWithCells="1" sizeWithCells="1">
                  <from>
                    <xdr:col>9</xdr:col>
                    <xdr:colOff>762000</xdr:colOff>
                    <xdr:row>26</xdr:row>
                    <xdr:rowOff>12700</xdr:rowOff>
                  </from>
                  <to>
                    <xdr:col>9</xdr:col>
                    <xdr:colOff>901700</xdr:colOff>
                    <xdr:row>27</xdr:row>
                    <xdr:rowOff>0</xdr:rowOff>
                  </to>
                </anchor>
              </controlPr>
            </control>
          </mc:Choice>
        </mc:AlternateContent>
        <mc:AlternateContent xmlns:mc="http://schemas.openxmlformats.org/markup-compatibility/2006">
          <mc:Choice Requires="x14">
            <control shapeId="10269" name="Spinner 29" r:id="rId10">
              <controlPr defaultSize="0">
                <anchor moveWithCells="1" sizeWithCells="1">
                  <from>
                    <xdr:col>8</xdr:col>
                    <xdr:colOff>850900</xdr:colOff>
                    <xdr:row>26</xdr:row>
                    <xdr:rowOff>203200</xdr:rowOff>
                  </from>
                  <to>
                    <xdr:col>8</xdr:col>
                    <xdr:colOff>965200</xdr:colOff>
                    <xdr:row>27</xdr:row>
                    <xdr:rowOff>184150</xdr:rowOff>
                  </to>
                </anchor>
              </controlPr>
            </control>
          </mc:Choice>
        </mc:AlternateContent>
        <mc:AlternateContent xmlns:mc="http://schemas.openxmlformats.org/markup-compatibility/2006">
          <mc:Choice Requires="x14">
            <control shapeId="10270" name="Spinner 30" r:id="rId11">
              <controlPr defaultSize="0">
                <anchor moveWithCells="1" sizeWithCells="1">
                  <from>
                    <xdr:col>9</xdr:col>
                    <xdr:colOff>762000</xdr:colOff>
                    <xdr:row>27</xdr:row>
                    <xdr:rowOff>12700</xdr:rowOff>
                  </from>
                  <to>
                    <xdr:col>9</xdr:col>
                    <xdr:colOff>901700</xdr:colOff>
                    <xdr:row>28</xdr:row>
                    <xdr:rowOff>0</xdr:rowOff>
                  </to>
                </anchor>
              </controlPr>
            </control>
          </mc:Choice>
        </mc:AlternateContent>
        <mc:AlternateContent xmlns:mc="http://schemas.openxmlformats.org/markup-compatibility/2006">
          <mc:Choice Requires="x14">
            <control shapeId="10271" name="Spinner 31" r:id="rId12">
              <controlPr defaultSize="0">
                <anchor moveWithCells="1" sizeWithCells="1">
                  <from>
                    <xdr:col>10</xdr:col>
                    <xdr:colOff>869950</xdr:colOff>
                    <xdr:row>24</xdr:row>
                    <xdr:rowOff>12700</xdr:rowOff>
                  </from>
                  <to>
                    <xdr:col>10</xdr:col>
                    <xdr:colOff>984250</xdr:colOff>
                    <xdr:row>25</xdr:row>
                    <xdr:rowOff>0</xdr:rowOff>
                  </to>
                </anchor>
              </controlPr>
            </control>
          </mc:Choice>
        </mc:AlternateContent>
        <mc:AlternateContent xmlns:mc="http://schemas.openxmlformats.org/markup-compatibility/2006">
          <mc:Choice Requires="x14">
            <control shapeId="10272" name="Spinner 32" r:id="rId13">
              <controlPr defaultSize="0">
                <anchor moveWithCells="1" sizeWithCells="1">
                  <from>
                    <xdr:col>11</xdr:col>
                    <xdr:colOff>1155700</xdr:colOff>
                    <xdr:row>24</xdr:row>
                    <xdr:rowOff>12700</xdr:rowOff>
                  </from>
                  <to>
                    <xdr:col>11</xdr:col>
                    <xdr:colOff>1282700</xdr:colOff>
                    <xdr:row>25</xdr:row>
                    <xdr:rowOff>0</xdr:rowOff>
                  </to>
                </anchor>
              </controlPr>
            </control>
          </mc:Choice>
        </mc:AlternateContent>
        <mc:AlternateContent xmlns:mc="http://schemas.openxmlformats.org/markup-compatibility/2006">
          <mc:Choice Requires="x14">
            <control shapeId="10273" name="Spinner 33" r:id="rId14">
              <controlPr defaultSize="0">
                <anchor moveWithCells="1" sizeWithCells="1">
                  <from>
                    <xdr:col>10</xdr:col>
                    <xdr:colOff>869950</xdr:colOff>
                    <xdr:row>25</xdr:row>
                    <xdr:rowOff>12700</xdr:rowOff>
                  </from>
                  <to>
                    <xdr:col>10</xdr:col>
                    <xdr:colOff>990600</xdr:colOff>
                    <xdr:row>26</xdr:row>
                    <xdr:rowOff>0</xdr:rowOff>
                  </to>
                </anchor>
              </controlPr>
            </control>
          </mc:Choice>
        </mc:AlternateContent>
        <mc:AlternateContent xmlns:mc="http://schemas.openxmlformats.org/markup-compatibility/2006">
          <mc:Choice Requires="x14">
            <control shapeId="10274" name="Spinner 34" r:id="rId15">
              <controlPr defaultSize="0">
                <anchor moveWithCells="1" sizeWithCells="1">
                  <from>
                    <xdr:col>11</xdr:col>
                    <xdr:colOff>1155700</xdr:colOff>
                    <xdr:row>25</xdr:row>
                    <xdr:rowOff>12700</xdr:rowOff>
                  </from>
                  <to>
                    <xdr:col>11</xdr:col>
                    <xdr:colOff>1289050</xdr:colOff>
                    <xdr:row>26</xdr:row>
                    <xdr:rowOff>0</xdr:rowOff>
                  </to>
                </anchor>
              </controlPr>
            </control>
          </mc:Choice>
        </mc:AlternateContent>
        <mc:AlternateContent xmlns:mc="http://schemas.openxmlformats.org/markup-compatibility/2006">
          <mc:Choice Requires="x14">
            <control shapeId="10275" name="Spinner 35" r:id="rId16">
              <controlPr defaultSize="0">
                <anchor moveWithCells="1" sizeWithCells="1">
                  <from>
                    <xdr:col>10</xdr:col>
                    <xdr:colOff>869950</xdr:colOff>
                    <xdr:row>26</xdr:row>
                    <xdr:rowOff>12700</xdr:rowOff>
                  </from>
                  <to>
                    <xdr:col>10</xdr:col>
                    <xdr:colOff>990600</xdr:colOff>
                    <xdr:row>27</xdr:row>
                    <xdr:rowOff>0</xdr:rowOff>
                  </to>
                </anchor>
              </controlPr>
            </control>
          </mc:Choice>
        </mc:AlternateContent>
        <mc:AlternateContent xmlns:mc="http://schemas.openxmlformats.org/markup-compatibility/2006">
          <mc:Choice Requires="x14">
            <control shapeId="10276" name="Spinner 36" r:id="rId17">
              <controlPr defaultSize="0">
                <anchor moveWithCells="1" sizeWithCells="1">
                  <from>
                    <xdr:col>11</xdr:col>
                    <xdr:colOff>1155700</xdr:colOff>
                    <xdr:row>26</xdr:row>
                    <xdr:rowOff>12700</xdr:rowOff>
                  </from>
                  <to>
                    <xdr:col>11</xdr:col>
                    <xdr:colOff>1289050</xdr:colOff>
                    <xdr:row>27</xdr:row>
                    <xdr:rowOff>0</xdr:rowOff>
                  </to>
                </anchor>
              </controlPr>
            </control>
          </mc:Choice>
        </mc:AlternateContent>
        <mc:AlternateContent xmlns:mc="http://schemas.openxmlformats.org/markup-compatibility/2006">
          <mc:Choice Requires="x14">
            <control shapeId="10277" name="Spinner 37" r:id="rId18">
              <controlPr defaultSize="0">
                <anchor moveWithCells="1" sizeWithCells="1">
                  <from>
                    <xdr:col>10</xdr:col>
                    <xdr:colOff>869950</xdr:colOff>
                    <xdr:row>27</xdr:row>
                    <xdr:rowOff>12700</xdr:rowOff>
                  </from>
                  <to>
                    <xdr:col>10</xdr:col>
                    <xdr:colOff>990600</xdr:colOff>
                    <xdr:row>28</xdr:row>
                    <xdr:rowOff>0</xdr:rowOff>
                  </to>
                </anchor>
              </controlPr>
            </control>
          </mc:Choice>
        </mc:AlternateContent>
        <mc:AlternateContent xmlns:mc="http://schemas.openxmlformats.org/markup-compatibility/2006">
          <mc:Choice Requires="x14">
            <control shapeId="10278" name="Spinner 38" r:id="rId19">
              <controlPr defaultSize="0">
                <anchor moveWithCells="1" sizeWithCells="1">
                  <from>
                    <xdr:col>11</xdr:col>
                    <xdr:colOff>1155700</xdr:colOff>
                    <xdr:row>27</xdr:row>
                    <xdr:rowOff>12700</xdr:rowOff>
                  </from>
                  <to>
                    <xdr:col>11</xdr:col>
                    <xdr:colOff>1289050</xdr:colOff>
                    <xdr:row>28</xdr:row>
                    <xdr:rowOff>0</xdr:rowOff>
                  </to>
                </anchor>
              </controlPr>
            </control>
          </mc:Choice>
        </mc:AlternateContent>
        <mc:AlternateContent xmlns:mc="http://schemas.openxmlformats.org/markup-compatibility/2006">
          <mc:Choice Requires="x14">
            <control shapeId="10279" name="Spinner 39" r:id="rId20">
              <controlPr defaultSize="0">
                <anchor moveWithCells="1" sizeWithCells="1">
                  <from>
                    <xdr:col>8</xdr:col>
                    <xdr:colOff>838200</xdr:colOff>
                    <xdr:row>62</xdr:row>
                    <xdr:rowOff>12700</xdr:rowOff>
                  </from>
                  <to>
                    <xdr:col>8</xdr:col>
                    <xdr:colOff>965200</xdr:colOff>
                    <xdr:row>63</xdr:row>
                    <xdr:rowOff>0</xdr:rowOff>
                  </to>
                </anchor>
              </controlPr>
            </control>
          </mc:Choice>
        </mc:AlternateContent>
        <mc:AlternateContent xmlns:mc="http://schemas.openxmlformats.org/markup-compatibility/2006">
          <mc:Choice Requires="x14">
            <control shapeId="10280" name="Spinner 40" r:id="rId21">
              <controlPr defaultSize="0">
                <anchor moveWithCells="1" sizeWithCells="1">
                  <from>
                    <xdr:col>9</xdr:col>
                    <xdr:colOff>774700</xdr:colOff>
                    <xdr:row>62</xdr:row>
                    <xdr:rowOff>12700</xdr:rowOff>
                  </from>
                  <to>
                    <xdr:col>9</xdr:col>
                    <xdr:colOff>889000</xdr:colOff>
                    <xdr:row>63</xdr:row>
                    <xdr:rowOff>0</xdr:rowOff>
                  </to>
                </anchor>
              </controlPr>
            </control>
          </mc:Choice>
        </mc:AlternateContent>
        <mc:AlternateContent xmlns:mc="http://schemas.openxmlformats.org/markup-compatibility/2006">
          <mc:Choice Requires="x14">
            <control shapeId="10281" name="Spinner 41" r:id="rId22">
              <controlPr defaultSize="0">
                <anchor moveWithCells="1" sizeWithCells="1">
                  <from>
                    <xdr:col>10</xdr:col>
                    <xdr:colOff>850900</xdr:colOff>
                    <xdr:row>62</xdr:row>
                    <xdr:rowOff>12700</xdr:rowOff>
                  </from>
                  <to>
                    <xdr:col>10</xdr:col>
                    <xdr:colOff>984250</xdr:colOff>
                    <xdr:row>63</xdr:row>
                    <xdr:rowOff>0</xdr:rowOff>
                  </to>
                </anchor>
              </controlPr>
            </control>
          </mc:Choice>
        </mc:AlternateContent>
        <mc:AlternateContent xmlns:mc="http://schemas.openxmlformats.org/markup-compatibility/2006">
          <mc:Choice Requires="x14">
            <control shapeId="10282" name="Spinner 42" r:id="rId23">
              <controlPr defaultSize="0">
                <anchor moveWithCells="1" sizeWithCells="1">
                  <from>
                    <xdr:col>11</xdr:col>
                    <xdr:colOff>1136650</xdr:colOff>
                    <xdr:row>62</xdr:row>
                    <xdr:rowOff>0</xdr:rowOff>
                  </from>
                  <to>
                    <xdr:col>11</xdr:col>
                    <xdr:colOff>1270000</xdr:colOff>
                    <xdr:row>62</xdr:row>
                    <xdr:rowOff>190500</xdr:rowOff>
                  </to>
                </anchor>
              </controlPr>
            </control>
          </mc:Choice>
        </mc:AlternateContent>
        <mc:AlternateContent xmlns:mc="http://schemas.openxmlformats.org/markup-compatibility/2006">
          <mc:Choice Requires="x14">
            <control shapeId="10283" name="Spinner 43" r:id="rId24">
              <controlPr defaultSize="0">
                <anchor moveWithCells="1" sizeWithCells="1">
                  <from>
                    <xdr:col>8</xdr:col>
                    <xdr:colOff>838200</xdr:colOff>
                    <xdr:row>63</xdr:row>
                    <xdr:rowOff>12700</xdr:rowOff>
                  </from>
                  <to>
                    <xdr:col>8</xdr:col>
                    <xdr:colOff>965200</xdr:colOff>
                    <xdr:row>64</xdr:row>
                    <xdr:rowOff>0</xdr:rowOff>
                  </to>
                </anchor>
              </controlPr>
            </control>
          </mc:Choice>
        </mc:AlternateContent>
        <mc:AlternateContent xmlns:mc="http://schemas.openxmlformats.org/markup-compatibility/2006">
          <mc:Choice Requires="x14">
            <control shapeId="10284" name="Spinner 44" r:id="rId25">
              <controlPr defaultSize="0">
                <anchor moveWithCells="1" sizeWithCells="1">
                  <from>
                    <xdr:col>9</xdr:col>
                    <xdr:colOff>774700</xdr:colOff>
                    <xdr:row>63</xdr:row>
                    <xdr:rowOff>12700</xdr:rowOff>
                  </from>
                  <to>
                    <xdr:col>9</xdr:col>
                    <xdr:colOff>889000</xdr:colOff>
                    <xdr:row>64</xdr:row>
                    <xdr:rowOff>0</xdr:rowOff>
                  </to>
                </anchor>
              </controlPr>
            </control>
          </mc:Choice>
        </mc:AlternateContent>
        <mc:AlternateContent xmlns:mc="http://schemas.openxmlformats.org/markup-compatibility/2006">
          <mc:Choice Requires="x14">
            <control shapeId="10285" name="Spinner 45" r:id="rId26">
              <controlPr defaultSize="0">
                <anchor moveWithCells="1" sizeWithCells="1">
                  <from>
                    <xdr:col>10</xdr:col>
                    <xdr:colOff>850900</xdr:colOff>
                    <xdr:row>63</xdr:row>
                    <xdr:rowOff>12700</xdr:rowOff>
                  </from>
                  <to>
                    <xdr:col>10</xdr:col>
                    <xdr:colOff>984250</xdr:colOff>
                    <xdr:row>64</xdr:row>
                    <xdr:rowOff>0</xdr:rowOff>
                  </to>
                </anchor>
              </controlPr>
            </control>
          </mc:Choice>
        </mc:AlternateContent>
        <mc:AlternateContent xmlns:mc="http://schemas.openxmlformats.org/markup-compatibility/2006">
          <mc:Choice Requires="x14">
            <control shapeId="10286" name="Spinner 46" r:id="rId27">
              <controlPr defaultSize="0">
                <anchor moveWithCells="1" sizeWithCells="1">
                  <from>
                    <xdr:col>11</xdr:col>
                    <xdr:colOff>1136650</xdr:colOff>
                    <xdr:row>63</xdr:row>
                    <xdr:rowOff>0</xdr:rowOff>
                  </from>
                  <to>
                    <xdr:col>11</xdr:col>
                    <xdr:colOff>1270000</xdr:colOff>
                    <xdr:row>63</xdr:row>
                    <xdr:rowOff>190500</xdr:rowOff>
                  </to>
                </anchor>
              </controlPr>
            </control>
          </mc:Choice>
        </mc:AlternateContent>
        <mc:AlternateContent xmlns:mc="http://schemas.openxmlformats.org/markup-compatibility/2006">
          <mc:Choice Requires="x14">
            <control shapeId="10287" name="Spinner 47" r:id="rId28">
              <controlPr defaultSize="0">
                <anchor moveWithCells="1" sizeWithCells="1">
                  <from>
                    <xdr:col>8</xdr:col>
                    <xdr:colOff>838200</xdr:colOff>
                    <xdr:row>64</xdr:row>
                    <xdr:rowOff>12700</xdr:rowOff>
                  </from>
                  <to>
                    <xdr:col>8</xdr:col>
                    <xdr:colOff>965200</xdr:colOff>
                    <xdr:row>65</xdr:row>
                    <xdr:rowOff>0</xdr:rowOff>
                  </to>
                </anchor>
              </controlPr>
            </control>
          </mc:Choice>
        </mc:AlternateContent>
        <mc:AlternateContent xmlns:mc="http://schemas.openxmlformats.org/markup-compatibility/2006">
          <mc:Choice Requires="x14">
            <control shapeId="10288" name="Spinner 48" r:id="rId29">
              <controlPr defaultSize="0">
                <anchor moveWithCells="1" sizeWithCells="1">
                  <from>
                    <xdr:col>9</xdr:col>
                    <xdr:colOff>774700</xdr:colOff>
                    <xdr:row>64</xdr:row>
                    <xdr:rowOff>12700</xdr:rowOff>
                  </from>
                  <to>
                    <xdr:col>9</xdr:col>
                    <xdr:colOff>889000</xdr:colOff>
                    <xdr:row>65</xdr:row>
                    <xdr:rowOff>0</xdr:rowOff>
                  </to>
                </anchor>
              </controlPr>
            </control>
          </mc:Choice>
        </mc:AlternateContent>
        <mc:AlternateContent xmlns:mc="http://schemas.openxmlformats.org/markup-compatibility/2006">
          <mc:Choice Requires="x14">
            <control shapeId="10289" name="Spinner 49" r:id="rId30">
              <controlPr defaultSize="0">
                <anchor moveWithCells="1" sizeWithCells="1">
                  <from>
                    <xdr:col>10</xdr:col>
                    <xdr:colOff>850900</xdr:colOff>
                    <xdr:row>64</xdr:row>
                    <xdr:rowOff>12700</xdr:rowOff>
                  </from>
                  <to>
                    <xdr:col>10</xdr:col>
                    <xdr:colOff>984250</xdr:colOff>
                    <xdr:row>65</xdr:row>
                    <xdr:rowOff>0</xdr:rowOff>
                  </to>
                </anchor>
              </controlPr>
            </control>
          </mc:Choice>
        </mc:AlternateContent>
        <mc:AlternateContent xmlns:mc="http://schemas.openxmlformats.org/markup-compatibility/2006">
          <mc:Choice Requires="x14">
            <control shapeId="10290" name="Spinner 50" r:id="rId31">
              <controlPr defaultSize="0">
                <anchor moveWithCells="1" sizeWithCells="1">
                  <from>
                    <xdr:col>11</xdr:col>
                    <xdr:colOff>1136650</xdr:colOff>
                    <xdr:row>64</xdr:row>
                    <xdr:rowOff>0</xdr:rowOff>
                  </from>
                  <to>
                    <xdr:col>11</xdr:col>
                    <xdr:colOff>1270000</xdr:colOff>
                    <xdr:row>64</xdr:row>
                    <xdr:rowOff>190500</xdr:rowOff>
                  </to>
                </anchor>
              </controlPr>
            </control>
          </mc:Choice>
        </mc:AlternateContent>
        <mc:AlternateContent xmlns:mc="http://schemas.openxmlformats.org/markup-compatibility/2006">
          <mc:Choice Requires="x14">
            <control shapeId="10291" name="Spinner 51" r:id="rId32">
              <controlPr defaultSize="0">
                <anchor moveWithCells="1" sizeWithCells="1">
                  <from>
                    <xdr:col>8</xdr:col>
                    <xdr:colOff>838200</xdr:colOff>
                    <xdr:row>65</xdr:row>
                    <xdr:rowOff>12700</xdr:rowOff>
                  </from>
                  <to>
                    <xdr:col>8</xdr:col>
                    <xdr:colOff>965200</xdr:colOff>
                    <xdr:row>66</xdr:row>
                    <xdr:rowOff>0</xdr:rowOff>
                  </to>
                </anchor>
              </controlPr>
            </control>
          </mc:Choice>
        </mc:AlternateContent>
        <mc:AlternateContent xmlns:mc="http://schemas.openxmlformats.org/markup-compatibility/2006">
          <mc:Choice Requires="x14">
            <control shapeId="10292" name="Spinner 52" r:id="rId33">
              <controlPr defaultSize="0">
                <anchor moveWithCells="1" sizeWithCells="1">
                  <from>
                    <xdr:col>9</xdr:col>
                    <xdr:colOff>774700</xdr:colOff>
                    <xdr:row>65</xdr:row>
                    <xdr:rowOff>12700</xdr:rowOff>
                  </from>
                  <to>
                    <xdr:col>9</xdr:col>
                    <xdr:colOff>889000</xdr:colOff>
                    <xdr:row>66</xdr:row>
                    <xdr:rowOff>0</xdr:rowOff>
                  </to>
                </anchor>
              </controlPr>
            </control>
          </mc:Choice>
        </mc:AlternateContent>
        <mc:AlternateContent xmlns:mc="http://schemas.openxmlformats.org/markup-compatibility/2006">
          <mc:Choice Requires="x14">
            <control shapeId="10293" name="Spinner 53" r:id="rId34">
              <controlPr defaultSize="0">
                <anchor moveWithCells="1" sizeWithCells="1">
                  <from>
                    <xdr:col>10</xdr:col>
                    <xdr:colOff>850900</xdr:colOff>
                    <xdr:row>65</xdr:row>
                    <xdr:rowOff>12700</xdr:rowOff>
                  </from>
                  <to>
                    <xdr:col>10</xdr:col>
                    <xdr:colOff>984250</xdr:colOff>
                    <xdr:row>66</xdr:row>
                    <xdr:rowOff>0</xdr:rowOff>
                  </to>
                </anchor>
              </controlPr>
            </control>
          </mc:Choice>
        </mc:AlternateContent>
        <mc:AlternateContent xmlns:mc="http://schemas.openxmlformats.org/markup-compatibility/2006">
          <mc:Choice Requires="x14">
            <control shapeId="10294" name="Spinner 54" r:id="rId35">
              <controlPr defaultSize="0">
                <anchor moveWithCells="1" sizeWithCells="1">
                  <from>
                    <xdr:col>11</xdr:col>
                    <xdr:colOff>1136650</xdr:colOff>
                    <xdr:row>65</xdr:row>
                    <xdr:rowOff>0</xdr:rowOff>
                  </from>
                  <to>
                    <xdr:col>11</xdr:col>
                    <xdr:colOff>1270000</xdr:colOff>
                    <xdr:row>65</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dimension ref="A1:DQ259"/>
  <sheetViews>
    <sheetView showGridLines="0" zoomScale="70" zoomScaleNormal="70" workbookViewId="0">
      <selection activeCell="I25" sqref="I25:I26"/>
    </sheetView>
  </sheetViews>
  <sheetFormatPr defaultColWidth="9" defaultRowHeight="35.25"/>
  <cols>
    <col min="1" max="1" width="16.3628318584071" style="62" customWidth="1"/>
    <col min="2" max="2" width="10" style="62" customWidth="1"/>
    <col min="3" max="3" width="10.6371681415929" style="62" customWidth="1"/>
    <col min="4" max="4" width="12.9026548672566" style="62" customWidth="1"/>
    <col min="5" max="5" width="13.9026548672566" style="62" customWidth="1"/>
    <col min="6" max="6" width="14.6371681415929" style="62" customWidth="1"/>
    <col min="7" max="7" width="10.3628318584071" style="63" customWidth="1"/>
    <col min="8" max="8" width="11.9026548672566" style="62" customWidth="1"/>
    <col min="9" max="9" width="13.3628318584071" style="62" customWidth="1"/>
    <col min="10" max="10" width="12.9026548672566" style="62" customWidth="1"/>
    <col min="11" max="11" width="14.6371681415929" style="62" customWidth="1"/>
    <col min="12" max="12" width="16.6371681415929" style="62" customWidth="1"/>
    <col min="13" max="13" width="12" style="62" customWidth="1"/>
    <col min="14" max="16" width="13.9026548672566" style="62" customWidth="1"/>
    <col min="17" max="17" width="14" style="62" customWidth="1"/>
    <col min="18" max="19" width="13.9026548672566" style="62" customWidth="1"/>
    <col min="20" max="20" width="16.0884955752212" style="64" customWidth="1"/>
    <col min="21" max="21" width="13.9026548672566" style="62" customWidth="1"/>
    <col min="22" max="26" width="9.63716814159292" style="62" customWidth="1"/>
    <col min="27" max="27" width="19.6371681415929" style="63" customWidth="1"/>
    <col min="28" max="28" width="13.9026548672566" style="62" customWidth="1"/>
    <col min="29" max="29" width="10" style="62" customWidth="1"/>
    <col min="30" max="33" width="9.63716814159292" style="62" customWidth="1"/>
    <col min="34" max="34" width="9" style="63"/>
    <col min="35" max="35" width="8.90265486725664" style="62" customWidth="1"/>
    <col min="36" max="36" width="15" style="62" customWidth="1"/>
    <col min="37" max="41" width="13.9026548672566" style="62" customWidth="1"/>
    <col min="42" max="42" width="15" style="62" customWidth="1"/>
    <col min="43" max="44" width="10.6371681415929" style="62" customWidth="1"/>
    <col min="45" max="45" width="14" style="62" customWidth="1"/>
    <col min="46" max="51" width="10.6371681415929" style="62" customWidth="1"/>
    <col min="52" max="52" width="9" style="63"/>
    <col min="53" max="53" width="11.9026548672566" style="62" customWidth="1"/>
    <col min="54" max="57" width="11" style="62" customWidth="1"/>
    <col min="58" max="58" width="11.9026548672566" style="62" customWidth="1"/>
    <col min="59" max="59" width="10" style="62" customWidth="1"/>
    <col min="60" max="69" width="9.63716814159292" style="62" customWidth="1"/>
    <col min="70" max="71" width="9" style="62"/>
    <col min="72" max="74" width="9.63716814159292" style="62" customWidth="1"/>
    <col min="75" max="75" width="10" style="62" customWidth="1"/>
    <col min="76" max="76" width="9.63716814159292" style="62" customWidth="1"/>
    <col min="77" max="77" width="10" style="62" customWidth="1"/>
    <col min="78" max="78" width="9" style="62"/>
    <col min="79" max="87" width="9.63716814159292" style="62" customWidth="1"/>
    <col min="88" max="16384" width="9" style="62"/>
  </cols>
  <sheetData>
    <row r="1" s="59" customFormat="1" ht="16" customHeight="1" spans="1:121">
      <c r="A1" s="387" t="s">
        <v>489</v>
      </c>
      <c r="B1" s="387"/>
      <c r="C1" s="387"/>
      <c r="D1" s="387"/>
      <c r="E1" s="387"/>
      <c r="F1" s="387"/>
      <c r="G1" s="387"/>
      <c r="H1" s="387" t="s">
        <v>490</v>
      </c>
      <c r="I1" s="387"/>
      <c r="J1" s="387"/>
      <c r="K1" s="387"/>
      <c r="L1" s="387"/>
      <c r="M1" s="387"/>
      <c r="N1" s="387"/>
      <c r="O1" s="387"/>
      <c r="P1" s="387"/>
      <c r="Q1" s="387"/>
      <c r="R1" s="387"/>
      <c r="S1" s="387"/>
      <c r="T1" s="394"/>
      <c r="U1" s="387" t="s">
        <v>491</v>
      </c>
      <c r="V1" s="387"/>
      <c r="W1" s="387"/>
      <c r="X1" s="387"/>
      <c r="Y1" s="387"/>
      <c r="Z1" s="387"/>
      <c r="AA1" s="387"/>
      <c r="AB1" s="387" t="s">
        <v>492</v>
      </c>
      <c r="AC1" s="387"/>
      <c r="AD1" s="387"/>
      <c r="AE1" s="387"/>
      <c r="AF1" s="387"/>
      <c r="AG1" s="387"/>
      <c r="AH1" s="387"/>
      <c r="AI1" s="387" t="s">
        <v>493</v>
      </c>
      <c r="AJ1" s="387"/>
      <c r="AK1" s="387"/>
      <c r="AL1" s="387"/>
      <c r="AM1" s="387"/>
      <c r="AN1" s="387"/>
      <c r="AO1" s="387"/>
      <c r="AP1" s="387"/>
      <c r="AQ1" s="387"/>
      <c r="AR1" s="387"/>
      <c r="AS1" s="387"/>
      <c r="AT1" s="387"/>
      <c r="AU1" s="387"/>
      <c r="AV1" s="387"/>
      <c r="AW1" s="387"/>
      <c r="AX1" s="387"/>
      <c r="AY1" s="387"/>
      <c r="AZ1" s="404"/>
      <c r="BA1" s="404" t="s">
        <v>494</v>
      </c>
      <c r="BB1" s="404"/>
      <c r="BC1" s="404"/>
      <c r="BD1" s="404"/>
      <c r="BE1" s="404"/>
      <c r="BF1" s="404"/>
      <c r="BG1" s="404"/>
      <c r="BH1" s="404"/>
      <c r="BI1" s="404"/>
      <c r="BJ1" s="404"/>
      <c r="BK1" s="404"/>
      <c r="BL1" s="404"/>
      <c r="BM1" s="404"/>
      <c r="BN1" s="404"/>
      <c r="BO1" s="404"/>
      <c r="BP1" s="404"/>
      <c r="BQ1" s="404"/>
      <c r="BR1" s="406"/>
      <c r="BS1" s="404" t="s">
        <v>495</v>
      </c>
      <c r="BT1" s="404"/>
      <c r="BU1" s="404"/>
      <c r="BV1" s="404"/>
      <c r="BW1" s="404"/>
      <c r="BX1" s="404"/>
      <c r="BY1" s="404"/>
      <c r="BZ1" s="404"/>
      <c r="CA1" s="404"/>
      <c r="CB1" s="404"/>
      <c r="CC1" s="404"/>
      <c r="CD1" s="404"/>
      <c r="CE1" s="404"/>
      <c r="CF1" s="404"/>
      <c r="CG1" s="404"/>
      <c r="CH1" s="404"/>
      <c r="CI1" s="404"/>
      <c r="CJ1" s="406"/>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row>
    <row r="2" s="59" customFormat="1" ht="16" customHeight="1" spans="1:121">
      <c r="A2" s="387"/>
      <c r="B2" s="387"/>
      <c r="C2" s="387"/>
      <c r="D2" s="387"/>
      <c r="E2" s="387"/>
      <c r="F2" s="387"/>
      <c r="G2" s="387"/>
      <c r="H2" s="387"/>
      <c r="I2" s="387"/>
      <c r="J2" s="387"/>
      <c r="K2" s="387"/>
      <c r="L2" s="387"/>
      <c r="M2" s="387"/>
      <c r="N2" s="387"/>
      <c r="O2" s="387"/>
      <c r="P2" s="387"/>
      <c r="Q2" s="387"/>
      <c r="R2" s="387"/>
      <c r="S2" s="387"/>
      <c r="T2" s="394"/>
      <c r="U2" s="387"/>
      <c r="V2" s="387"/>
      <c r="W2" s="387"/>
      <c r="X2" s="387"/>
      <c r="Y2" s="387"/>
      <c r="Z2" s="387"/>
      <c r="AA2" s="387"/>
      <c r="AB2" s="38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404"/>
      <c r="BA2" s="404"/>
      <c r="BB2" s="404"/>
      <c r="BC2" s="404"/>
      <c r="BD2" s="404"/>
      <c r="BE2" s="404"/>
      <c r="BF2" s="404"/>
      <c r="BG2" s="404"/>
      <c r="BH2" s="404"/>
      <c r="BI2" s="404"/>
      <c r="BJ2" s="404"/>
      <c r="BK2" s="404"/>
      <c r="BL2" s="404"/>
      <c r="BM2" s="404"/>
      <c r="BN2" s="404"/>
      <c r="BO2" s="404"/>
      <c r="BP2" s="404"/>
      <c r="BQ2" s="404"/>
      <c r="BR2" s="406"/>
      <c r="BS2" s="404"/>
      <c r="BT2" s="404"/>
      <c r="BU2" s="404"/>
      <c r="BV2" s="404"/>
      <c r="BW2" s="404"/>
      <c r="BX2" s="404"/>
      <c r="BY2" s="404"/>
      <c r="BZ2" s="404"/>
      <c r="CA2" s="404"/>
      <c r="CB2" s="404"/>
      <c r="CC2" s="404"/>
      <c r="CD2" s="404"/>
      <c r="CE2" s="404"/>
      <c r="CF2" s="404"/>
      <c r="CG2" s="404"/>
      <c r="CH2" s="404"/>
      <c r="CI2" s="404"/>
      <c r="CJ2" s="406"/>
      <c r="CK2" s="232"/>
      <c r="CL2" s="232"/>
      <c r="CM2" s="232"/>
      <c r="CN2" s="232"/>
      <c r="CO2" s="232"/>
      <c r="CP2" s="232"/>
      <c r="CQ2" s="232"/>
      <c r="CR2" s="232"/>
      <c r="CS2" s="232"/>
      <c r="CT2" s="232"/>
      <c r="CU2" s="232"/>
      <c r="CV2" s="232"/>
      <c r="CW2" s="232"/>
      <c r="CX2" s="232"/>
      <c r="CY2" s="232"/>
      <c r="CZ2" s="232"/>
      <c r="DA2" s="232"/>
      <c r="DB2" s="232"/>
      <c r="DC2" s="232"/>
      <c r="DD2" s="232"/>
      <c r="DE2" s="232"/>
      <c r="DF2" s="232"/>
      <c r="DG2" s="232"/>
      <c r="DH2" s="232"/>
      <c r="DI2" s="232"/>
      <c r="DJ2" s="232"/>
      <c r="DK2" s="232"/>
      <c r="DL2" s="232"/>
      <c r="DM2" s="232"/>
      <c r="DN2" s="232"/>
      <c r="DO2" s="232"/>
      <c r="DP2" s="232"/>
      <c r="DQ2" s="232"/>
    </row>
    <row r="3" s="60" customFormat="1" ht="16" customHeight="1" spans="1:121">
      <c r="A3" s="388"/>
      <c r="B3" s="388"/>
      <c r="C3" s="388"/>
      <c r="D3" s="388"/>
      <c r="E3" s="388"/>
      <c r="F3" s="388"/>
      <c r="G3" s="387"/>
      <c r="H3" s="388"/>
      <c r="I3" s="388"/>
      <c r="J3" s="388"/>
      <c r="K3" s="388"/>
      <c r="L3" s="388"/>
      <c r="M3" s="392"/>
      <c r="N3" s="388"/>
      <c r="O3" s="388"/>
      <c r="P3" s="388"/>
      <c r="Q3" s="388"/>
      <c r="R3" s="388"/>
      <c r="S3" s="388"/>
      <c r="T3" s="394"/>
      <c r="U3" s="388"/>
      <c r="V3" s="388"/>
      <c r="W3" s="388"/>
      <c r="X3" s="388"/>
      <c r="Y3" s="388"/>
      <c r="Z3" s="388"/>
      <c r="AA3" s="387"/>
      <c r="AB3" s="388"/>
      <c r="AC3" s="388"/>
      <c r="AD3" s="388"/>
      <c r="AE3" s="388"/>
      <c r="AF3" s="388"/>
      <c r="AG3" s="388"/>
      <c r="AH3" s="387"/>
      <c r="AI3" s="388"/>
      <c r="AJ3" s="388"/>
      <c r="AK3" s="388"/>
      <c r="AL3" s="388"/>
      <c r="AM3" s="388"/>
      <c r="AN3" s="388"/>
      <c r="AO3" s="388"/>
      <c r="AP3" s="388"/>
      <c r="AQ3" s="388"/>
      <c r="AR3" s="388"/>
      <c r="AS3" s="388"/>
      <c r="AT3" s="388"/>
      <c r="AU3" s="388"/>
      <c r="AV3" s="388"/>
      <c r="AW3" s="388"/>
      <c r="AX3" s="388"/>
      <c r="AY3" s="388"/>
      <c r="AZ3" s="404"/>
      <c r="BA3" s="405"/>
      <c r="BB3" s="405"/>
      <c r="BC3" s="405"/>
      <c r="BD3" s="405"/>
      <c r="BE3" s="405"/>
      <c r="BF3" s="405"/>
      <c r="BG3" s="405"/>
      <c r="BH3" s="405"/>
      <c r="BI3" s="405"/>
      <c r="BJ3" s="405"/>
      <c r="BK3" s="405"/>
      <c r="BL3" s="405"/>
      <c r="BM3" s="405"/>
      <c r="BN3" s="405"/>
      <c r="BO3" s="405"/>
      <c r="BP3" s="405"/>
      <c r="BQ3" s="405"/>
      <c r="BR3" s="406"/>
      <c r="BS3" s="405"/>
      <c r="BT3" s="405"/>
      <c r="BU3" s="405"/>
      <c r="BV3" s="405"/>
      <c r="BW3" s="405"/>
      <c r="BX3" s="405"/>
      <c r="BY3" s="405"/>
      <c r="BZ3" s="405"/>
      <c r="CA3" s="405"/>
      <c r="CB3" s="405"/>
      <c r="CC3" s="405"/>
      <c r="CD3" s="405"/>
      <c r="CE3" s="405" t="s">
        <v>738</v>
      </c>
      <c r="CF3" s="405"/>
      <c r="CG3" s="405"/>
      <c r="CH3" s="405"/>
      <c r="CI3" s="405"/>
      <c r="CJ3" s="406"/>
      <c r="CK3" s="233"/>
      <c r="CL3" s="233"/>
      <c r="CM3" s="233"/>
      <c r="CN3" s="233"/>
      <c r="CO3" s="233"/>
      <c r="CP3" s="233"/>
      <c r="CQ3" s="233"/>
      <c r="CR3" s="233"/>
      <c r="CS3" s="233"/>
      <c r="CT3" s="234"/>
      <c r="CU3" s="234"/>
      <c r="CV3" s="234"/>
      <c r="CW3" s="234"/>
      <c r="CX3" s="234"/>
      <c r="CY3" s="234"/>
      <c r="CZ3" s="234"/>
      <c r="DA3" s="234"/>
      <c r="DB3" s="234"/>
      <c r="DC3" s="234"/>
      <c r="DD3" s="234"/>
      <c r="DE3" s="234"/>
      <c r="DF3" s="234"/>
      <c r="DG3" s="234"/>
      <c r="DH3" s="234"/>
      <c r="DI3" s="234"/>
      <c r="DJ3" s="234"/>
      <c r="DK3" s="234"/>
      <c r="DL3" s="234"/>
      <c r="DM3" s="234"/>
      <c r="DN3" s="234"/>
      <c r="DO3" s="234"/>
      <c r="DP3" s="234"/>
      <c r="DQ3" s="234"/>
    </row>
    <row r="4" s="61" customFormat="1" ht="16" customHeight="1" spans="1:121">
      <c r="A4" s="269" t="s">
        <v>274</v>
      </c>
      <c r="B4" s="270"/>
      <c r="C4" s="270"/>
      <c r="D4" s="270"/>
      <c r="E4" s="270"/>
      <c r="F4" s="270"/>
      <c r="G4" s="70" t="e">
        <f>IF(O20=0,"未做决策",IF(MAX(T20:T23)&gt;=6,"价格打错","决策无误"))</f>
        <v>#DIV/0!</v>
      </c>
      <c r="H4" s="269" t="s">
        <v>497</v>
      </c>
      <c r="I4" s="270"/>
      <c r="J4" s="270"/>
      <c r="K4" s="270"/>
      <c r="L4" s="270"/>
      <c r="M4" s="85"/>
      <c r="N4" s="269" t="s">
        <v>475</v>
      </c>
      <c r="O4" s="270"/>
      <c r="P4" s="270"/>
      <c r="Q4" s="270"/>
      <c r="R4" s="270"/>
      <c r="S4" s="74"/>
      <c r="T4" s="120"/>
      <c r="U4" s="269" t="s">
        <v>498</v>
      </c>
      <c r="V4" s="269" t="s">
        <v>513</v>
      </c>
      <c r="W4" s="269" t="s">
        <v>514</v>
      </c>
      <c r="X4" s="269" t="s">
        <v>515</v>
      </c>
      <c r="Y4" s="269" t="s">
        <v>516</v>
      </c>
      <c r="Z4" s="269" t="s">
        <v>499</v>
      </c>
      <c r="AA4" s="269" t="s">
        <v>500</v>
      </c>
      <c r="AB4" s="154" t="s">
        <v>501</v>
      </c>
      <c r="AC4" s="154" t="s">
        <v>241</v>
      </c>
      <c r="AD4" s="154" t="s">
        <v>38</v>
      </c>
      <c r="AE4" s="154" t="s">
        <v>39</v>
      </c>
      <c r="AF4" s="154" t="s">
        <v>40</v>
      </c>
      <c r="AG4" s="154" t="s">
        <v>41</v>
      </c>
      <c r="AH4" s="73"/>
      <c r="AI4" s="68" t="s">
        <v>502</v>
      </c>
      <c r="AJ4" s="69"/>
      <c r="AK4" s="69"/>
      <c r="AL4" s="69"/>
      <c r="AM4" s="69"/>
      <c r="AN4" s="69"/>
      <c r="AO4" s="69"/>
      <c r="AP4" s="69"/>
      <c r="AQ4" s="69"/>
      <c r="AR4" s="69"/>
      <c r="AS4" s="69"/>
      <c r="AT4" s="69"/>
      <c r="AU4" s="69"/>
      <c r="AV4" s="69"/>
      <c r="AW4" s="69"/>
      <c r="AX4" s="69"/>
      <c r="AY4" s="69"/>
      <c r="AZ4" s="193"/>
      <c r="BA4" s="194" t="s">
        <v>503</v>
      </c>
      <c r="BB4" s="195"/>
      <c r="BC4" s="195"/>
      <c r="BD4" s="195"/>
      <c r="BE4" s="195"/>
      <c r="BF4" s="195"/>
      <c r="BG4" s="195"/>
      <c r="BH4" s="195"/>
      <c r="BI4" s="195"/>
      <c r="BJ4" s="195"/>
      <c r="BK4" s="195"/>
      <c r="BL4" s="195"/>
      <c r="BM4" s="195"/>
      <c r="BN4" s="195"/>
      <c r="BO4" s="195"/>
      <c r="BP4" s="195"/>
      <c r="BQ4" s="195"/>
      <c r="BR4" s="211"/>
      <c r="BS4" s="194" t="s">
        <v>504</v>
      </c>
      <c r="BT4" s="194" t="s">
        <v>505</v>
      </c>
      <c r="BU4" s="194" t="s">
        <v>506</v>
      </c>
      <c r="BV4" s="194" t="s">
        <v>262</v>
      </c>
      <c r="BW4" s="194" t="s">
        <v>507</v>
      </c>
      <c r="BX4" s="194" t="s">
        <v>508</v>
      </c>
      <c r="BY4" s="194" t="s">
        <v>264</v>
      </c>
      <c r="BZ4" s="194" t="s">
        <v>268</v>
      </c>
      <c r="CA4" s="194" t="s">
        <v>272</v>
      </c>
      <c r="CB4" s="194" t="s">
        <v>270</v>
      </c>
      <c r="CC4" s="194" t="s">
        <v>509</v>
      </c>
      <c r="CD4" s="194" t="s">
        <v>510</v>
      </c>
      <c r="CE4" s="194" t="s">
        <v>511</v>
      </c>
      <c r="CF4" s="194" t="s">
        <v>512</v>
      </c>
      <c r="CG4" s="226"/>
      <c r="CH4" s="226"/>
      <c r="CI4" s="227"/>
      <c r="CJ4" s="228"/>
      <c r="CK4" s="227"/>
      <c r="CL4" s="228"/>
      <c r="CM4" s="228"/>
      <c r="CN4" s="228"/>
      <c r="CO4" s="228"/>
      <c r="CP4" s="228"/>
      <c r="CQ4" s="228"/>
      <c r="CR4" s="228"/>
      <c r="CS4" s="228"/>
      <c r="CT4" s="227"/>
      <c r="CU4" s="227"/>
      <c r="CV4" s="227"/>
      <c r="CW4" s="227"/>
      <c r="CX4" s="227"/>
      <c r="CY4" s="227"/>
      <c r="CZ4" s="227"/>
      <c r="DA4" s="227"/>
      <c r="DB4" s="228"/>
      <c r="DC4" s="228"/>
      <c r="DD4" s="228"/>
      <c r="DE4" s="228"/>
      <c r="DF4" s="228"/>
      <c r="DG4" s="228"/>
      <c r="DH4" s="228"/>
      <c r="DI4" s="228"/>
      <c r="DJ4" s="228"/>
      <c r="DK4" s="228"/>
      <c r="DL4" s="228"/>
      <c r="DM4" s="228"/>
      <c r="DN4" s="228"/>
      <c r="DO4" s="228"/>
      <c r="DP4" s="228"/>
      <c r="DQ4" s="228"/>
    </row>
    <row r="5" s="61" customFormat="1" ht="16" customHeight="1" spans="1:121">
      <c r="A5" s="269" t="s">
        <v>475</v>
      </c>
      <c r="B5" s="269" t="s">
        <v>513</v>
      </c>
      <c r="C5" s="269" t="s">
        <v>514</v>
      </c>
      <c r="D5" s="269" t="s">
        <v>515</v>
      </c>
      <c r="E5" s="269" t="s">
        <v>516</v>
      </c>
      <c r="F5" s="269" t="s">
        <v>276</v>
      </c>
      <c r="G5" s="70" t="str">
        <f>IF(AI24="","未粘报表","已粘报表")</f>
        <v>未粘报表</v>
      </c>
      <c r="H5" s="269" t="s">
        <v>283</v>
      </c>
      <c r="I5" s="269" t="s">
        <v>347</v>
      </c>
      <c r="J5" s="269" t="s">
        <v>517</v>
      </c>
      <c r="K5" s="269" t="s">
        <v>518</v>
      </c>
      <c r="L5" s="269" t="s">
        <v>519</v>
      </c>
      <c r="M5" s="85"/>
      <c r="N5" s="269" t="s">
        <v>520</v>
      </c>
      <c r="O5" s="269" t="s">
        <v>521</v>
      </c>
      <c r="P5" s="269" t="s">
        <v>522</v>
      </c>
      <c r="Q5" s="269" t="s">
        <v>523</v>
      </c>
      <c r="R5" s="269" t="s">
        <v>524</v>
      </c>
      <c r="S5" s="121"/>
      <c r="T5" s="120"/>
      <c r="U5" s="269" t="s">
        <v>521</v>
      </c>
      <c r="V5" s="77">
        <f>第4期!AP9</f>
        <v>0</v>
      </c>
      <c r="W5" s="77">
        <f>第4期!AP10</f>
        <v>0</v>
      </c>
      <c r="X5" s="77">
        <f>第4期!AP11</f>
        <v>0</v>
      </c>
      <c r="Y5" s="77">
        <f>第4期!AP12</f>
        <v>0</v>
      </c>
      <c r="Z5" s="77">
        <f>第4期!AJ26</f>
        <v>0</v>
      </c>
      <c r="AA5" s="77" t="e">
        <f>(V5+W5+X5+Y5)*AC11</f>
        <v>#DIV/0!</v>
      </c>
      <c r="AB5" s="154" t="s">
        <v>521</v>
      </c>
      <c r="AC5" s="152" t="e">
        <f>初始化表!$B$8*初始化表!E17*初始化表!$H$5/1300+初始化表!$B$12*初始化表!E17/1300+初始化表!E19+初始化表!E18*(-C35-C44)/(SUM(B17:E17)*初始化表!E18+SUM(B18:E18)*初始化表!F18+SUM(B19:E19)*初始化表!G18+SUM(B20:E20)*初始化表!H18)</f>
        <v>#DIV/0!</v>
      </c>
      <c r="AD5" s="153" t="e">
        <f>$AC5+初始化表!L19+$F6*B6/SUMPRODUCT($B6:$E6,$V42:$Y42)+B$10*B6/SUMPRODUCT(B$6:B$9,V$42:V$45)+初始化表!L13/I63+(IF(I25+J25=0,0,1)*初始化表!H25+IF(K25+L25=0,0,1)*初始化表!I25)/(I63+J63+K63+L63)</f>
        <v>#DIV/0!</v>
      </c>
      <c r="AE5" s="153" t="e">
        <f>$AC5+初始化表!M19+$F6*C6/SUMPRODUCT($B6:$E6,$V42:$Y42)+C$10*C6/SUMPRODUCT(C$6:C$9,W$42:W$45)+初始化表!M13/J63+(IF(I25+J25=0,0,1)*初始化表!H25+IF(K25+L25=0,0,1)*初始化表!I25)/(I63+J63+K63+L63)</f>
        <v>#DIV/0!</v>
      </c>
      <c r="AF5" s="153" t="e">
        <f>$AC5+初始化表!N19+$F6*D6/SUMPRODUCT($B6:$E6,$V42:$Y42)+D$10*D6/SUMPRODUCT(D$6:D$9,X$42:X$45)+初始化表!N13/K63+(IF(I25+J25=0,0,1)*初始化表!H25+IF(K25+L25=0,0,1)*初始化表!I25)/(I63+J63+K63+L63)</f>
        <v>#DIV/0!</v>
      </c>
      <c r="AG5" s="153" t="e">
        <f>$AC5+初始化表!O19+$F6*E6/SUMPRODUCT($B6:$E6,$V42:$Y42)+E$10*E6/SUMPRODUCT(E$6:E$9,Y$42:Y$45)+初始化表!O13/L63+(IF(I25+J25=0,0,1)*初始化表!H25+IF(K25+L25=0,0,1)*初始化表!I25)/(I63+J63+K63+L63)</f>
        <v>#DIV/0!</v>
      </c>
      <c r="AH5" s="73"/>
      <c r="AI5" s="69"/>
      <c r="AJ5" s="69"/>
      <c r="AK5" s="69"/>
      <c r="AL5" s="69"/>
      <c r="AM5" s="69"/>
      <c r="AN5" s="69"/>
      <c r="AO5" s="69"/>
      <c r="AP5" s="69"/>
      <c r="AQ5" s="69"/>
      <c r="AR5" s="69"/>
      <c r="AS5" s="69"/>
      <c r="AT5" s="69"/>
      <c r="AU5" s="69"/>
      <c r="AV5" s="69"/>
      <c r="AW5" s="69"/>
      <c r="AX5" s="69"/>
      <c r="AY5" s="69"/>
      <c r="AZ5" s="193"/>
      <c r="BA5" s="194" t="s">
        <v>37</v>
      </c>
      <c r="BB5" s="194" t="s">
        <v>521</v>
      </c>
      <c r="BC5" s="195"/>
      <c r="BD5" s="195"/>
      <c r="BE5" s="195"/>
      <c r="BF5" s="194" t="s">
        <v>522</v>
      </c>
      <c r="BG5" s="195"/>
      <c r="BH5" s="195"/>
      <c r="BI5" s="195"/>
      <c r="BJ5" s="194" t="s">
        <v>523</v>
      </c>
      <c r="BK5" s="195"/>
      <c r="BL5" s="195"/>
      <c r="BM5" s="195"/>
      <c r="BN5" s="194" t="s">
        <v>524</v>
      </c>
      <c r="BO5" s="195"/>
      <c r="BP5" s="195"/>
      <c r="BQ5" s="195"/>
      <c r="BR5" s="211"/>
      <c r="BS5" s="195">
        <f t="shared" ref="BS5:BS24" si="0">BA7</f>
        <v>0</v>
      </c>
      <c r="BT5" s="201">
        <f t="shared" ref="BT5:BT24" si="1">IF(BS5=0,0,1)</f>
        <v>0</v>
      </c>
      <c r="BU5" s="201">
        <f>第4期!AQ107*0.5</f>
        <v>0</v>
      </c>
      <c r="BV5" s="205" t="e">
        <f>AVERAGE(BT30:CI30)*初始化表!B$31</f>
        <v>#DIV/0!</v>
      </c>
      <c r="BW5" s="205" t="e">
        <f>$BT5*(AL107-BW$25)/BW$26*初始化表!B$30</f>
        <v>#DIV/0!</v>
      </c>
      <c r="BX5" s="205" t="e">
        <f>$BT5*(AM107-BX$25)/BX$26*初始化表!B$33</f>
        <v>#DIV/0!</v>
      </c>
      <c r="BY5" s="205" t="e">
        <f>$BT5*(AN107-BY$25)/BY$26*初始化表!B$32</f>
        <v>#DIV/0!</v>
      </c>
      <c r="BZ5" s="205" t="e">
        <f>$BT5*(AP107-BZ$25)/BZ$26*初始化表!B$34</f>
        <v>#DIV/0!</v>
      </c>
      <c r="CA5" s="205" t="e">
        <f>$BT$5*(AW107-CA$25)/CA$26*初始化表!B$36</f>
        <v>#DIV/0!</v>
      </c>
      <c r="CB5" s="205" t="e">
        <f>CE5-CC5-BU5-SUM(BV5:CA5)/2</f>
        <v>#DIV/0!</v>
      </c>
      <c r="CC5" s="201">
        <f>IF(AO107-AX107&gt;=0,0,-0.1*(1-EXP(2*10^(-6)*(AO107-AX107))))</f>
        <v>0</v>
      </c>
      <c r="CD5" s="229" t="e">
        <f>SUM(BV5:CB5)</f>
        <v>#DIV/0!</v>
      </c>
      <c r="CE5" s="229">
        <f>AQ107</f>
        <v>0</v>
      </c>
      <c r="CF5" s="229">
        <f>BU5*2</f>
        <v>0</v>
      </c>
      <c r="CG5" s="226"/>
      <c r="CH5" s="226"/>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c r="DP5" s="228"/>
      <c r="DQ5" s="228"/>
    </row>
    <row r="6" s="61" customFormat="1" ht="16" customHeight="1" spans="1:121">
      <c r="A6" s="269" t="s">
        <v>521</v>
      </c>
      <c r="B6" s="71" t="e">
        <f>O20</f>
        <v>#DIV/0!</v>
      </c>
      <c r="C6" s="71" t="e">
        <f t="shared" ref="C6:E9" si="2">P20</f>
        <v>#DIV/0!</v>
      </c>
      <c r="D6" s="71" t="e">
        <f t="shared" si="2"/>
        <v>#DIV/0!</v>
      </c>
      <c r="E6" s="71" t="e">
        <f t="shared" si="2"/>
        <v>#DIV/0!</v>
      </c>
      <c r="F6" s="72" t="e">
        <f>O28</f>
        <v>#DIV/0!</v>
      </c>
      <c r="G6" s="73"/>
      <c r="H6" s="269" t="s">
        <v>521</v>
      </c>
      <c r="I6" s="72">
        <f>第4期!I6+第4期!J6</f>
        <v>0</v>
      </c>
      <c r="J6" s="86"/>
      <c r="K6" s="87">
        <f>IF(IF((I6+F17)&gt;=初始化表!I31,5,IF((I6+F17)&gt;=初始化表!H31,4,IF((I6+F17)&gt;=初始化表!G31,3,IF((I6+F17)&gt;=初始化表!F31,2,IF((I6+F17)&gt;=初始化表!E31,1,0)))))+IF(I6+F17&gt;初始化表!E31,O$45)&lt;第4期!K6+1,IF((I6+F17)&gt;=初始化表!I31,5,IF((I6+F17)&gt;=初始化表!H31,4,IF((I6+F17)&gt;=初始化表!G31,3,IF((I6+F17)&gt;=初始化表!F31,2,IF((I6+F17)&gt;=初始化表!E31,1,0)))))+IF(I6+F17&gt;初始化表!E31,O$45),第4期!K6+1)</f>
        <v>5</v>
      </c>
      <c r="L6" s="72">
        <f>IF(I6&lt;初始化表!E31,初始化表!E31-I6,IF(I6&lt;初始化表!F31,初始化表!F31-I6,IF(I6&lt;初始化表!G31,初始化表!G31-I6,IF(I6&lt;初始化表!H31,初始化表!H31-I6,IF(I6&lt;初始化表!I31,初始化表!I31-I6,0)))))</f>
        <v>0</v>
      </c>
      <c r="M6" s="85"/>
      <c r="N6" s="269" t="s">
        <v>525</v>
      </c>
      <c r="O6" s="88">
        <f>第4期!O6+0.0005</f>
        <v>0.04</v>
      </c>
      <c r="P6" s="88">
        <f>第4期!P6+0.0005</f>
        <v>0.04</v>
      </c>
      <c r="Q6" s="88">
        <f>第4期!Q6+0.0005</f>
        <v>0.04</v>
      </c>
      <c r="R6" s="88">
        <f>第4期!R6+0.0005</f>
        <v>0.04</v>
      </c>
      <c r="S6" s="122"/>
      <c r="T6" s="120"/>
      <c r="U6" s="269" t="s">
        <v>522</v>
      </c>
      <c r="V6" s="77">
        <f>第4期!AP13</f>
        <v>0</v>
      </c>
      <c r="W6" s="77">
        <f>第4期!AP14</f>
        <v>0</v>
      </c>
      <c r="X6" s="77">
        <f>第4期!AP15</f>
        <v>0</v>
      </c>
      <c r="Y6" s="77">
        <f>第4期!AP16</f>
        <v>0</v>
      </c>
      <c r="Z6" s="77">
        <f>第4期!AJ27</f>
        <v>0</v>
      </c>
      <c r="AA6" s="77" t="e">
        <f t="shared" ref="AA6:AA8" si="3">(V6+W6+X6+Y6)*AC12</f>
        <v>#DIV/0!</v>
      </c>
      <c r="AB6" s="154" t="s">
        <v>522</v>
      </c>
      <c r="AC6" s="152" t="e">
        <f>初始化表!$B$8*初始化表!F17*初始化表!$H$5/1300+初始化表!$B$12*初始化表!F17/1300+初始化表!F19+初始化表!F18*(-C35-C44)/(SUM(B17:E17)*初始化表!E18+SUM(B18:E18)*初始化表!F18+SUM(B19:E19)*初始化表!G18+SUM(B20:E20)*初始化表!H18)</f>
        <v>#DIV/0!</v>
      </c>
      <c r="AD6" s="153" t="e">
        <f>$AC6+初始化表!L20+$F7*B7/SUMPRODUCT($B7:$E7,$V43:$Y43)+B$10*B7/SUMPRODUCT(B$6:B$9,V$42:V$45)+初始化表!L14/I64+(IF(I26+J26=0,0,1)*初始化表!H26+IF(K26+L26=0,0,1)*初始化表!I26)/(I64+J64+K64+L64)</f>
        <v>#DIV/0!</v>
      </c>
      <c r="AE6" s="153" t="e">
        <f>$AC6+初始化表!M20+$F7*C7/SUMPRODUCT($B7:$E7,$V43:$Y43)+C$10*C7/SUMPRODUCT(C$6:C$9,W$42:W$45)+初始化表!M14/J64+(IF(I26+J26=0,0,1)*初始化表!H26+IF(K26+L26=0,0,1)*初始化表!I26)/(I64+J64+K64+L64)</f>
        <v>#DIV/0!</v>
      </c>
      <c r="AF6" s="153" t="e">
        <f>$AC6+初始化表!N20+$F7*D7/SUMPRODUCT($B7:$E7,$V43:$Y43)+D$10*D7/SUMPRODUCT(D$6:D$9,X$42:X$45)+初始化表!N14/K64+(IF(I26+J26=0,0,1)*初始化表!H26+IF(K26+L26=0,0,1)*初始化表!I26)/(I64+J64+K64+L64)</f>
        <v>#DIV/0!</v>
      </c>
      <c r="AG6" s="153" t="e">
        <f>$AC6+初始化表!O20+$F7*E7/SUMPRODUCT($B7:$E7,$V43:$Y43)+E$10*E7/SUMPRODUCT(E$6:E$9,Y$42:Y$45)+初始化表!O14/L64+(IF(I26+J26=0,0,1)*初始化表!H26+IF(K26+L26=0,0,1)*初始化表!I26)/(I64+J64+K64+L64)</f>
        <v>#DIV/0!</v>
      </c>
      <c r="AH6" s="73"/>
      <c r="AZ6" s="193"/>
      <c r="BA6" s="195"/>
      <c r="BB6" s="194" t="s">
        <v>513</v>
      </c>
      <c r="BC6" s="194" t="s">
        <v>514</v>
      </c>
      <c r="BD6" s="194" t="s">
        <v>515</v>
      </c>
      <c r="BE6" s="194" t="s">
        <v>516</v>
      </c>
      <c r="BF6" s="194" t="s">
        <v>513</v>
      </c>
      <c r="BG6" s="194" t="s">
        <v>514</v>
      </c>
      <c r="BH6" s="194" t="s">
        <v>515</v>
      </c>
      <c r="BI6" s="194" t="s">
        <v>516</v>
      </c>
      <c r="BJ6" s="194" t="s">
        <v>513</v>
      </c>
      <c r="BK6" s="194" t="s">
        <v>514</v>
      </c>
      <c r="BL6" s="194" t="s">
        <v>515</v>
      </c>
      <c r="BM6" s="194" t="s">
        <v>516</v>
      </c>
      <c r="BN6" s="194" t="s">
        <v>513</v>
      </c>
      <c r="BO6" s="194" t="s">
        <v>514</v>
      </c>
      <c r="BP6" s="194" t="s">
        <v>515</v>
      </c>
      <c r="BQ6" s="194" t="s">
        <v>516</v>
      </c>
      <c r="BR6" s="211"/>
      <c r="BS6" s="195">
        <f t="shared" si="0"/>
        <v>0</v>
      </c>
      <c r="BT6" s="201">
        <f t="shared" si="1"/>
        <v>0</v>
      </c>
      <c r="BU6" s="201">
        <f>第4期!AQ108*0.5</f>
        <v>0</v>
      </c>
      <c r="BV6" s="205" t="e">
        <f>AVERAGE(BT31:CI31)*初始化表!B$31</f>
        <v>#DIV/0!</v>
      </c>
      <c r="BW6" s="205" t="e">
        <f>$BT6*(AL108-BW$25)/BW$26*初始化表!B$30</f>
        <v>#DIV/0!</v>
      </c>
      <c r="BX6" s="205" t="e">
        <f>$BT6*(AM108-BX$25)/BX$26*初始化表!B$33</f>
        <v>#DIV/0!</v>
      </c>
      <c r="BY6" s="205" t="e">
        <f>$BT6*(AN108-BY$25)/BY$26*初始化表!B$32</f>
        <v>#DIV/0!</v>
      </c>
      <c r="BZ6" s="205" t="e">
        <f>$BT6*(AP108-BZ$25)/BZ$26*初始化表!B$34</f>
        <v>#DIV/0!</v>
      </c>
      <c r="CA6" s="205" t="e">
        <f>$BT$5*(AW108-CA$25)/CA$26*初始化表!B$36</f>
        <v>#DIV/0!</v>
      </c>
      <c r="CB6" s="205" t="e">
        <f t="shared" ref="CB6:CB24" si="4">CE6-CC6-BU6-SUM(BV6:CA6)/2</f>
        <v>#DIV/0!</v>
      </c>
      <c r="CC6" s="201">
        <f t="shared" ref="CC6:CC24" si="5">IF(AO108-AX108&gt;=0,0,-0.1*(1-EXP(2*10^(-6)*(AO108-AX108))))</f>
        <v>0</v>
      </c>
      <c r="CD6" s="229" t="e">
        <f t="shared" ref="CD6:CD24" si="6">SUM(BV6:CB6)</f>
        <v>#DIV/0!</v>
      </c>
      <c r="CE6" s="229">
        <f t="shared" ref="CE6:CE24" si="7">AQ108</f>
        <v>0</v>
      </c>
      <c r="CF6" s="229">
        <f t="shared" ref="CF6:CF24" si="8">BU6*2</f>
        <v>0</v>
      </c>
      <c r="CG6" s="226"/>
      <c r="CH6" s="226"/>
      <c r="CI6" s="227"/>
      <c r="CJ6" s="228"/>
      <c r="CK6" s="227"/>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c r="DP6" s="228"/>
      <c r="DQ6" s="228"/>
    </row>
    <row r="7" s="61" customFormat="1" ht="16" customHeight="1" spans="1:121">
      <c r="A7" s="269" t="s">
        <v>522</v>
      </c>
      <c r="B7" s="71" t="e">
        <f t="shared" ref="B7:B9" si="9">O21</f>
        <v>#DIV/0!</v>
      </c>
      <c r="C7" s="71" t="e">
        <f t="shared" si="2"/>
        <v>#DIV/0!</v>
      </c>
      <c r="D7" s="71" t="e">
        <f t="shared" si="2"/>
        <v>#DIV/0!</v>
      </c>
      <c r="E7" s="71" t="e">
        <f t="shared" si="2"/>
        <v>#DIV/0!</v>
      </c>
      <c r="F7" s="72" t="e">
        <f>P28</f>
        <v>#DIV/0!</v>
      </c>
      <c r="G7" s="73"/>
      <c r="H7" s="269" t="s">
        <v>522</v>
      </c>
      <c r="I7" s="72">
        <f>第4期!I7+第4期!J7</f>
        <v>0</v>
      </c>
      <c r="J7" s="86"/>
      <c r="K7" s="87">
        <f>IF(IF((I7+F18)&gt;=初始化表!I32,5,IF((I7+F18)&gt;=初始化表!H32,4,IF((I7+F18)&gt;=初始化表!G32,3,IF((I7+F18)&gt;=初始化表!F32,2,IF((I7+F18)&gt;=初始化表!E32,1,0)))))+IF(I7+F18&gt;初始化表!E32,O$45)&lt;第4期!K7+1,IF((I7+F18)&gt;=初始化表!I32,5,IF((I7+F18)&gt;=初始化表!H32,4,IF((I7+F18)&gt;=初始化表!G32,3,IF((I7+F18)&gt;=初始化表!F32,2,IF((I7+F18)&gt;=初始化表!E32,1,0)))))+IF(I7+F18&gt;初始化表!E32,O$45),第4期!K7+1)</f>
        <v>5</v>
      </c>
      <c r="L7" s="72">
        <f>IF(I7&lt;初始化表!E32,初始化表!E32-I7,IF(I7&lt;初始化表!F32,初始化表!F32-I7,IF(I7&lt;初始化表!G32,初始化表!G32-I7,IF(I7&lt;初始化表!H32,初始化表!H32-I7,IF(I7&lt;初始化表!I32,初始化表!I32-I7,0)))))</f>
        <v>0</v>
      </c>
      <c r="M7" s="85"/>
      <c r="N7" s="269" t="s">
        <v>526</v>
      </c>
      <c r="O7" s="269" t="s">
        <v>513</v>
      </c>
      <c r="P7" s="269" t="s">
        <v>514</v>
      </c>
      <c r="Q7" s="269" t="s">
        <v>515</v>
      </c>
      <c r="R7" s="269" t="s">
        <v>516</v>
      </c>
      <c r="S7" s="121"/>
      <c r="T7" s="120"/>
      <c r="U7" s="269" t="s">
        <v>523</v>
      </c>
      <c r="V7" s="77">
        <f>第4期!AP17</f>
        <v>0</v>
      </c>
      <c r="W7" s="77">
        <f>第4期!AP18</f>
        <v>0</v>
      </c>
      <c r="X7" s="77">
        <f>第4期!AP19</f>
        <v>0</v>
      </c>
      <c r="Y7" s="77">
        <f>第4期!AP20</f>
        <v>0</v>
      </c>
      <c r="Z7" s="77">
        <f>第4期!AJ28</f>
        <v>0</v>
      </c>
      <c r="AA7" s="77" t="e">
        <f t="shared" si="3"/>
        <v>#DIV/0!</v>
      </c>
      <c r="AB7" s="154" t="s">
        <v>523</v>
      </c>
      <c r="AC7" s="152" t="e">
        <f>初始化表!$B$8*初始化表!G17*初始化表!$H$5/1300+初始化表!$B$12*初始化表!G17/1300+初始化表!G19+初始化表!G18*(-C35-C44)/(SUM(B17:E17)*初始化表!E18+SUM(B18:E18)*初始化表!F18+SUM(B19:E19)*初始化表!G18+SUM(B20:E20)*初始化表!H18)</f>
        <v>#DIV/0!</v>
      </c>
      <c r="AD7" s="153" t="e">
        <f>$AC7+初始化表!L21+$F8*B8/SUMPRODUCT($B8:$E8,$V44:$Y44)+B$10*B8/SUMPRODUCT(B$6:B$9,V$42:V$45)+初始化表!L15/I65+(IF(I27+J27=0,0,1)*初始化表!H27+IF(K27+L27=0,0,1)*初始化表!I27)/(I65+J65+K65+L65)</f>
        <v>#DIV/0!</v>
      </c>
      <c r="AE7" s="153" t="e">
        <f>$AC7+初始化表!M21+$F8*C8/SUMPRODUCT($B8:$E8,$V44:$Y44)+C$10*C8/SUMPRODUCT(C$6:C$9,W$42:W$45)+初始化表!M15/J65+(IF(I27+J27=0,0,1)*初始化表!H27+IF(K27+L27=0,0,1)*初始化表!I27)/(I65+J65+K65+L65)</f>
        <v>#DIV/0!</v>
      </c>
      <c r="AF7" s="153" t="e">
        <f>$AC7+初始化表!N21+$F8*D8/SUMPRODUCT($B8:$E8,$V44:$Y44)+D$10*D8/SUMPRODUCT(D$6:D$9,X$42:X$45)+初始化表!N15/K65+(IF(I27+J27=0,0,1)*初始化表!H27+IF(K27+L27=0,0,1)*初始化表!I27)/(I65+J65+K65+L65)</f>
        <v>#DIV/0!</v>
      </c>
      <c r="AG7" s="153" t="e">
        <f>$AC7+初始化表!O21+$F8*E8/SUMPRODUCT($B8:$E8,$V44:$Y44)+E$10*E8/SUMPRODUCT(E$6:E$9,Y$42:Y$45)+初始化表!O15/L65+(IF(I27+J27=0,0,1)*初始化表!H27+IF(K27+L27=0,0,1)*初始化表!I27)/(I65+J65+K65+L65)</f>
        <v>#DIV/0!</v>
      </c>
      <c r="AH7" s="73"/>
      <c r="AI7" s="68" t="s">
        <v>424</v>
      </c>
      <c r="AJ7" s="69"/>
      <c r="AK7" s="69"/>
      <c r="AL7" s="69"/>
      <c r="AM7" s="69"/>
      <c r="AN7" s="69"/>
      <c r="AO7" s="69"/>
      <c r="AP7" s="69"/>
      <c r="AQ7" s="69"/>
      <c r="AZ7" s="193"/>
      <c r="BA7" s="196">
        <f t="shared" ref="BA7:BA26" si="10">AI37</f>
        <v>0</v>
      </c>
      <c r="BB7" s="197">
        <f t="shared" ref="BB7:BB26" si="11">IF($BA7="","",INT(BB$28*AJ61))</f>
        <v>0</v>
      </c>
      <c r="BC7" s="197">
        <f t="shared" ref="BC7:BC26" si="12">IF($BA7="","",INT(BC$28*AK61))</f>
        <v>0</v>
      </c>
      <c r="BD7" s="197">
        <f t="shared" ref="BD7:BD26" si="13">IF($BA7="","",INT(BD$28*AL61))</f>
        <v>0</v>
      </c>
      <c r="BE7" s="197">
        <f t="shared" ref="BE7:BE26" si="14">IF($BA7="","",INT(BE$28*AM61))</f>
        <v>0</v>
      </c>
      <c r="BF7" s="197">
        <f t="shared" ref="BF7:BF26" si="15">IF($BA7="","",INT(BF$28*AN61))</f>
        <v>0</v>
      </c>
      <c r="BG7" s="197">
        <f t="shared" ref="BG7:BG26" si="16">IF($BA7="","",INT(BG$28*AO61))</f>
        <v>0</v>
      </c>
      <c r="BH7" s="197">
        <f t="shared" ref="BH7:BH26" si="17">IF($BA7="","",INT(BH$28*AP61))</f>
        <v>0</v>
      </c>
      <c r="BI7" s="197">
        <f t="shared" ref="BI7:BI26" si="18">IF($BA7="","",INT(BI$28*AQ61))</f>
        <v>0</v>
      </c>
      <c r="BJ7" s="197">
        <f t="shared" ref="BJ7:BJ26" si="19">IF($BA7="","",INT(BJ$28*AR61))</f>
        <v>0</v>
      </c>
      <c r="BK7" s="197">
        <f t="shared" ref="BK7:BK26" si="20">IF($BA7="","",INT(BK$28*AS61))</f>
        <v>0</v>
      </c>
      <c r="BL7" s="197">
        <f t="shared" ref="BL7:BL26" si="21">IF($BA7="","",INT(BL$28*AT61))</f>
        <v>0</v>
      </c>
      <c r="BM7" s="197">
        <f t="shared" ref="BM7:BM26" si="22">IF($BA7="","",INT(BM$28*AU61))</f>
        <v>0</v>
      </c>
      <c r="BN7" s="197">
        <f t="shared" ref="BN7:BN26" si="23">IF($BA7="","",INT(BN$28*AV61))</f>
        <v>0</v>
      </c>
      <c r="BO7" s="197">
        <f t="shared" ref="BO7:BO26" si="24">IF($BA7="","",INT(BO$28*AW61))</f>
        <v>0</v>
      </c>
      <c r="BP7" s="197">
        <f t="shared" ref="BP7:BP26" si="25">IF($BA7="","",INT(BP$28*AX61))</f>
        <v>0</v>
      </c>
      <c r="BQ7" s="197">
        <f t="shared" ref="BQ7:BQ26" si="26">IF($BA7="","",INT(BQ$28*AY61))</f>
        <v>0</v>
      </c>
      <c r="BR7" s="211"/>
      <c r="BS7" s="195">
        <f t="shared" si="0"/>
        <v>0</v>
      </c>
      <c r="BT7" s="201">
        <f t="shared" si="1"/>
        <v>0</v>
      </c>
      <c r="BU7" s="201">
        <f>第4期!AQ109*0.5</f>
        <v>0</v>
      </c>
      <c r="BV7" s="205" t="e">
        <f>AVERAGE(BT32:CI32)*初始化表!B$31</f>
        <v>#DIV/0!</v>
      </c>
      <c r="BW7" s="205" t="e">
        <f>$BT7*(AL109-BW$25)/BW$26*初始化表!B$30</f>
        <v>#DIV/0!</v>
      </c>
      <c r="BX7" s="205" t="e">
        <f>$BT7*(AM109-BX$25)/BX$26*初始化表!B$33</f>
        <v>#DIV/0!</v>
      </c>
      <c r="BY7" s="205" t="e">
        <f>$BT7*(AN109-BY$25)/BY$26*初始化表!B$32</f>
        <v>#DIV/0!</v>
      </c>
      <c r="BZ7" s="205" t="e">
        <f>$BT7*(AP109-BZ$25)/BZ$26*初始化表!B$34</f>
        <v>#DIV/0!</v>
      </c>
      <c r="CA7" s="205" t="e">
        <f>$BT$5*(AW109-CA$25)/CA$26*初始化表!B$36</f>
        <v>#DIV/0!</v>
      </c>
      <c r="CB7" s="205" t="e">
        <f t="shared" si="4"/>
        <v>#DIV/0!</v>
      </c>
      <c r="CC7" s="201">
        <f t="shared" si="5"/>
        <v>0</v>
      </c>
      <c r="CD7" s="229" t="e">
        <f t="shared" si="6"/>
        <v>#DIV/0!</v>
      </c>
      <c r="CE7" s="229">
        <f t="shared" si="7"/>
        <v>0</v>
      </c>
      <c r="CF7" s="229">
        <f t="shared" si="8"/>
        <v>0</v>
      </c>
      <c r="CG7" s="226"/>
      <c r="CH7" s="226"/>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row>
    <row r="8" s="61" customFormat="1" ht="16" customHeight="1" spans="1:121">
      <c r="A8" s="269" t="s">
        <v>523</v>
      </c>
      <c r="B8" s="71" t="e">
        <f t="shared" si="9"/>
        <v>#DIV/0!</v>
      </c>
      <c r="C8" s="71" t="e">
        <f t="shared" si="2"/>
        <v>#DIV/0!</v>
      </c>
      <c r="D8" s="71" t="e">
        <f t="shared" si="2"/>
        <v>#DIV/0!</v>
      </c>
      <c r="E8" s="71" t="e">
        <f t="shared" si="2"/>
        <v>#DIV/0!</v>
      </c>
      <c r="F8" s="72" t="e">
        <f>Q28</f>
        <v>#DIV/0!</v>
      </c>
      <c r="G8" s="73"/>
      <c r="H8" s="269" t="s">
        <v>523</v>
      </c>
      <c r="I8" s="72">
        <f>第4期!I8+第4期!J8</f>
        <v>0</v>
      </c>
      <c r="J8" s="86"/>
      <c r="K8" s="87">
        <f>IF(IF((I8+F19)&gt;=初始化表!I33,5,IF((I8+F19)&gt;=初始化表!H33,4,IF((I8+F19)&gt;=初始化表!G33,3,IF((I8+F19)&gt;=初始化表!F33,2,IF((I8+F19)&gt;=初始化表!E33,1,0)))))+IF(I8+F19&gt;初始化表!E33,O$45)&lt;第4期!K8+1,IF((I8+F19)&gt;=初始化表!I33,5,IF((I8+F19)&gt;=初始化表!H33,4,IF((I8+F19)&gt;=初始化表!G33,3,IF((I8+F19)&gt;=初始化表!F33,2,IF((I8+F19)&gt;=初始化表!E33,1,0)))))+IF(I8+F19&gt;初始化表!E33,O$45),第4期!K8+1)</f>
        <v>5</v>
      </c>
      <c r="L8" s="72">
        <f>IF(I8&lt;初始化表!E33,初始化表!E33-I8,IF(I8&lt;初始化表!F33,初始化表!F33-I8,IF(I8&lt;初始化表!G33,初始化表!G33-I8,IF(I8&lt;初始化表!H33,初始化表!H33-I8,IF(I8&lt;初始化表!I33,初始化表!I33-I8,0)))))</f>
        <v>0</v>
      </c>
      <c r="M8" s="85"/>
      <c r="N8" s="269" t="s">
        <v>525</v>
      </c>
      <c r="O8" s="88">
        <f>第4期!O8+0.0005</f>
        <v>0.04</v>
      </c>
      <c r="P8" s="88">
        <f>第4期!P8+0.0005</f>
        <v>0.04</v>
      </c>
      <c r="Q8" s="88">
        <f>第4期!Q8+0.0005</f>
        <v>0.04</v>
      </c>
      <c r="R8" s="88">
        <f>第4期!R8+0.0005</f>
        <v>0.04</v>
      </c>
      <c r="S8" s="122"/>
      <c r="T8" s="120"/>
      <c r="U8" s="269" t="s">
        <v>524</v>
      </c>
      <c r="V8" s="77">
        <f>第4期!AP21</f>
        <v>0</v>
      </c>
      <c r="W8" s="77">
        <f>第4期!AP22</f>
        <v>0</v>
      </c>
      <c r="X8" s="77">
        <f>第4期!AP23</f>
        <v>0</v>
      </c>
      <c r="Y8" s="77">
        <f>第4期!AP24</f>
        <v>0</v>
      </c>
      <c r="Z8" s="77">
        <f>第4期!AJ29</f>
        <v>0</v>
      </c>
      <c r="AA8" s="77" t="e">
        <f t="shared" si="3"/>
        <v>#DIV/0!</v>
      </c>
      <c r="AB8" s="154" t="s">
        <v>524</v>
      </c>
      <c r="AC8" s="152" t="e">
        <f>初始化表!$B$8*初始化表!H17*初始化表!$H$5/1300+初始化表!$B$12*初始化表!H17/1300+初始化表!H19+初始化表!H18*(-C35-C44)/(SUM(B17:E17)*初始化表!E18+SUM(B18:E18)*初始化表!F18+SUM(B19:E19)*初始化表!G18+SUM(B20:E20)*初始化表!H18)</f>
        <v>#DIV/0!</v>
      </c>
      <c r="AD8" s="153" t="e">
        <f>$AC8+初始化表!L22+$F9*B9/SUMPRODUCT($B9:$E9,$V45:$Y45)+B$10*B9/SUMPRODUCT(B$6:B$9,V$42:V$45)+初始化表!L16/I66+(IF(I28+J28=0,0,1)*初始化表!H28+IF(K28+L28=0,0,1)*初始化表!I28)/(I66+J66+K66+L66)</f>
        <v>#DIV/0!</v>
      </c>
      <c r="AE8" s="153" t="e">
        <f>$AC8+初始化表!M22+$F9*C9/SUMPRODUCT($B9:$E9,$V45:$Y45)+C$10*C9/SUMPRODUCT(C$6:C$9,W$42:W$45)+初始化表!M16/J66+(IF(I28+J28=0,0,1)*初始化表!H28+IF(K28+L28=0,0,1)*初始化表!I28)/(I66+J66+K66+L66)</f>
        <v>#DIV/0!</v>
      </c>
      <c r="AF8" s="153" t="e">
        <f>$AC8+初始化表!N22+$F9*D9/SUMPRODUCT($B9:$E9,$V45:$Y45)+D$10*D9/SUMPRODUCT(D$6:D$9,X$42:X$45)+初始化表!N16/K66+(IF(I28+J28=0,0,1)*初始化表!H28+IF(K28+L28=0,0,1)*初始化表!I28)/(I66+J66+K66+L66)</f>
        <v>#DIV/0!</v>
      </c>
      <c r="AG8" s="153" t="e">
        <f>$AC8+初始化表!O22+$F9*E9/SUMPRODUCT($B9:$E9,$V45:$Y45)+E$10*E9/SUMPRODUCT(E$6:E$9,Y$42:Y$45)+初始化表!O16/L66+(IF(I28+J28=0,0,1)*初始化表!H28+IF(K28+L28=0,0,1)*初始化表!I28)/(I66+J66+K66+L66)</f>
        <v>#DIV/0!</v>
      </c>
      <c r="AH8" s="73"/>
      <c r="AI8" s="298" t="s">
        <v>283</v>
      </c>
      <c r="AJ8" s="298" t="s">
        <v>284</v>
      </c>
      <c r="AK8" s="298" t="s">
        <v>285</v>
      </c>
      <c r="AL8" s="298" t="s">
        <v>286</v>
      </c>
      <c r="AM8" s="298" t="s">
        <v>287</v>
      </c>
      <c r="AN8" s="298" t="s">
        <v>288</v>
      </c>
      <c r="AO8" s="298" t="s">
        <v>289</v>
      </c>
      <c r="AP8" s="298" t="s">
        <v>290</v>
      </c>
      <c r="AQ8" s="314" t="s">
        <v>291</v>
      </c>
      <c r="AR8" s="185" t="s">
        <v>433</v>
      </c>
      <c r="AS8" s="185" t="s">
        <v>434</v>
      </c>
      <c r="AT8" s="185" t="s">
        <v>435</v>
      </c>
      <c r="AU8" s="185" t="s">
        <v>436</v>
      </c>
      <c r="AV8" s="185" t="s">
        <v>437</v>
      </c>
      <c r="AW8" s="185" t="s">
        <v>438</v>
      </c>
      <c r="AZ8" s="193"/>
      <c r="BA8" s="196">
        <f t="shared" si="10"/>
        <v>0</v>
      </c>
      <c r="BB8" s="197">
        <f t="shared" si="11"/>
        <v>0</v>
      </c>
      <c r="BC8" s="197">
        <f t="shared" si="12"/>
        <v>0</v>
      </c>
      <c r="BD8" s="197">
        <f t="shared" si="13"/>
        <v>0</v>
      </c>
      <c r="BE8" s="197">
        <f t="shared" si="14"/>
        <v>0</v>
      </c>
      <c r="BF8" s="197">
        <f t="shared" si="15"/>
        <v>0</v>
      </c>
      <c r="BG8" s="197">
        <f t="shared" si="16"/>
        <v>0</v>
      </c>
      <c r="BH8" s="197">
        <f t="shared" si="17"/>
        <v>0</v>
      </c>
      <c r="BI8" s="197">
        <f t="shared" si="18"/>
        <v>0</v>
      </c>
      <c r="BJ8" s="197">
        <f t="shared" si="19"/>
        <v>0</v>
      </c>
      <c r="BK8" s="197">
        <f t="shared" si="20"/>
        <v>0</v>
      </c>
      <c r="BL8" s="197">
        <f t="shared" si="21"/>
        <v>0</v>
      </c>
      <c r="BM8" s="197">
        <f t="shared" si="22"/>
        <v>0</v>
      </c>
      <c r="BN8" s="197">
        <f t="shared" si="23"/>
        <v>0</v>
      </c>
      <c r="BO8" s="197">
        <f t="shared" si="24"/>
        <v>0</v>
      </c>
      <c r="BP8" s="197">
        <f t="shared" si="25"/>
        <v>0</v>
      </c>
      <c r="BQ8" s="197">
        <f t="shared" si="26"/>
        <v>0</v>
      </c>
      <c r="BR8" s="211"/>
      <c r="BS8" s="195">
        <f t="shared" si="0"/>
        <v>0</v>
      </c>
      <c r="BT8" s="201">
        <f t="shared" si="1"/>
        <v>0</v>
      </c>
      <c r="BU8" s="201">
        <f>第4期!AQ110*0.5</f>
        <v>0</v>
      </c>
      <c r="BV8" s="205" t="e">
        <f>AVERAGE(BT33:CI33)*初始化表!B$31</f>
        <v>#DIV/0!</v>
      </c>
      <c r="BW8" s="205" t="e">
        <f>$BT8*(AL110-BW$25)/BW$26*初始化表!B$30</f>
        <v>#DIV/0!</v>
      </c>
      <c r="BX8" s="205" t="e">
        <f>$BT8*(AM110-BX$25)/BX$26*初始化表!B$33</f>
        <v>#DIV/0!</v>
      </c>
      <c r="BY8" s="205" t="e">
        <f>$BT8*(AN110-BY$25)/BY$26*初始化表!B$32</f>
        <v>#DIV/0!</v>
      </c>
      <c r="BZ8" s="205" t="e">
        <f>$BT8*(AP110-BZ$25)/BZ$26*初始化表!B$34</f>
        <v>#DIV/0!</v>
      </c>
      <c r="CA8" s="205" t="e">
        <f>$BT$5*(AW110-CA$25)/CA$26*初始化表!B$36</f>
        <v>#DIV/0!</v>
      </c>
      <c r="CB8" s="205" t="e">
        <f t="shared" si="4"/>
        <v>#DIV/0!</v>
      </c>
      <c r="CC8" s="201">
        <f t="shared" si="5"/>
        <v>0</v>
      </c>
      <c r="CD8" s="229" t="e">
        <f t="shared" si="6"/>
        <v>#DIV/0!</v>
      </c>
      <c r="CE8" s="229">
        <f t="shared" si="7"/>
        <v>0</v>
      </c>
      <c r="CF8" s="229">
        <f t="shared" si="8"/>
        <v>0</v>
      </c>
      <c r="CG8" s="226"/>
      <c r="CH8" s="226"/>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c r="DQ8" s="228"/>
    </row>
    <row r="9" s="61" customFormat="1" ht="16" customHeight="1" spans="1:121">
      <c r="A9" s="269" t="s">
        <v>524</v>
      </c>
      <c r="B9" s="71" t="e">
        <f t="shared" si="9"/>
        <v>#DIV/0!</v>
      </c>
      <c r="C9" s="71" t="e">
        <f t="shared" si="2"/>
        <v>#DIV/0!</v>
      </c>
      <c r="D9" s="71" t="e">
        <f t="shared" si="2"/>
        <v>#DIV/0!</v>
      </c>
      <c r="E9" s="71" t="e">
        <f t="shared" si="2"/>
        <v>#DIV/0!</v>
      </c>
      <c r="F9" s="72" t="e">
        <f>R28</f>
        <v>#DIV/0!</v>
      </c>
      <c r="G9" s="73"/>
      <c r="H9" s="269" t="s">
        <v>524</v>
      </c>
      <c r="I9" s="72">
        <f>第4期!I9+第4期!J9</f>
        <v>0</v>
      </c>
      <c r="J9" s="86"/>
      <c r="K9" s="87">
        <f>IF(IF((I9+F20)&gt;=初始化表!I34,5,IF((I9+F20)&gt;=初始化表!H34,4,IF((I9+F20)&gt;=初始化表!G34,3,IF((I9+F20)&gt;=初始化表!F34,2,IF((I9+F20)&gt;=初始化表!E34,1,0)))))+IF(I9+F20&gt;初始化表!E34,O$45)&lt;第4期!K9+1,IF((I9+F20)&gt;=初始化表!I34,5,IF((I9+F20)&gt;=初始化表!H34,4,IF((I9+F20)&gt;=初始化表!G34,3,IF((I9+F20)&gt;=初始化表!F34,2,IF((I9+F20)&gt;=初始化表!E34,1,0)))))+IF(I9+F20&gt;初始化表!E34,O$45),第4期!K9+1)</f>
        <v>5</v>
      </c>
      <c r="L9" s="72">
        <f>IF(I9&lt;初始化表!E34,初始化表!E34-I9,IF(I9&lt;初始化表!F34,初始化表!F34-I9,IF(I9&lt;初始化表!G34,初始化表!G34-I9,IF(I9&lt;初始化表!H34,初始化表!H34-I9,IF(I9&lt;初始化表!I34,初始化表!I34-I9,0)))))</f>
        <v>0</v>
      </c>
      <c r="M9" s="85"/>
      <c r="N9" s="269" t="s">
        <v>527</v>
      </c>
      <c r="O9" s="269" t="s">
        <v>513</v>
      </c>
      <c r="P9" s="269" t="s">
        <v>514</v>
      </c>
      <c r="Q9" s="269" t="s">
        <v>515</v>
      </c>
      <c r="R9" s="269" t="s">
        <v>516</v>
      </c>
      <c r="S9" s="121"/>
      <c r="T9" s="68" t="s">
        <v>528</v>
      </c>
      <c r="U9" s="123"/>
      <c r="V9" s="74"/>
      <c r="W9" s="74"/>
      <c r="X9" s="74"/>
      <c r="Y9" s="74"/>
      <c r="Z9" s="74" t="e">
        <f>SUMPRODUCT(V5:Y8,V23:Y26)</f>
        <v>#DIV/0!</v>
      </c>
      <c r="AA9" s="73"/>
      <c r="AB9" s="155"/>
      <c r="AC9" s="155"/>
      <c r="AD9" s="155"/>
      <c r="AE9" s="155"/>
      <c r="AF9" s="155"/>
      <c r="AG9" s="155"/>
      <c r="AH9" s="73"/>
      <c r="AI9" s="359"/>
      <c r="AJ9" s="359"/>
      <c r="AK9" s="360"/>
      <c r="AL9" s="360">
        <f>V42</f>
        <v>0</v>
      </c>
      <c r="AM9" s="361"/>
      <c r="AN9" s="362"/>
      <c r="AO9" s="360"/>
      <c r="AP9" s="360"/>
      <c r="AQ9" s="369"/>
      <c r="AR9" s="103"/>
      <c r="AS9" s="103">
        <f t="shared" ref="AS9:AS24" si="27">AL9-AK9</f>
        <v>0</v>
      </c>
      <c r="AT9" s="103"/>
      <c r="AU9" s="103"/>
      <c r="AV9" s="103"/>
      <c r="AW9" s="103"/>
      <c r="AZ9" s="193"/>
      <c r="BA9" s="196">
        <f t="shared" si="10"/>
        <v>0</v>
      </c>
      <c r="BB9" s="197">
        <f t="shared" si="11"/>
        <v>0</v>
      </c>
      <c r="BC9" s="197">
        <f t="shared" si="12"/>
        <v>0</v>
      </c>
      <c r="BD9" s="197">
        <f t="shared" si="13"/>
        <v>0</v>
      </c>
      <c r="BE9" s="197">
        <f t="shared" si="14"/>
        <v>0</v>
      </c>
      <c r="BF9" s="197">
        <f t="shared" si="15"/>
        <v>0</v>
      </c>
      <c r="BG9" s="197">
        <f t="shared" si="16"/>
        <v>0</v>
      </c>
      <c r="BH9" s="197">
        <f t="shared" si="17"/>
        <v>0</v>
      </c>
      <c r="BI9" s="197">
        <f t="shared" si="18"/>
        <v>0</v>
      </c>
      <c r="BJ9" s="197">
        <f t="shared" si="19"/>
        <v>0</v>
      </c>
      <c r="BK9" s="197">
        <f t="shared" si="20"/>
        <v>0</v>
      </c>
      <c r="BL9" s="197">
        <f t="shared" si="21"/>
        <v>0</v>
      </c>
      <c r="BM9" s="197">
        <f t="shared" si="22"/>
        <v>0</v>
      </c>
      <c r="BN9" s="197">
        <f t="shared" si="23"/>
        <v>0</v>
      </c>
      <c r="BO9" s="197">
        <f t="shared" si="24"/>
        <v>0</v>
      </c>
      <c r="BP9" s="197">
        <f t="shared" si="25"/>
        <v>0</v>
      </c>
      <c r="BQ9" s="197">
        <f t="shared" si="26"/>
        <v>0</v>
      </c>
      <c r="BR9" s="211"/>
      <c r="BS9" s="195">
        <f t="shared" si="0"/>
        <v>0</v>
      </c>
      <c r="BT9" s="201">
        <f t="shared" si="1"/>
        <v>0</v>
      </c>
      <c r="BU9" s="201">
        <f>第4期!AQ111*0.5</f>
        <v>0</v>
      </c>
      <c r="BV9" s="205" t="e">
        <f>AVERAGE(BT34:CI34)*初始化表!B$31</f>
        <v>#DIV/0!</v>
      </c>
      <c r="BW9" s="205" t="e">
        <f>$BT9*(AL111-BW$25)/BW$26*初始化表!B$30</f>
        <v>#DIV/0!</v>
      </c>
      <c r="BX9" s="205" t="e">
        <f>$BT9*(AM111-BX$25)/BX$26*初始化表!B$33</f>
        <v>#DIV/0!</v>
      </c>
      <c r="BY9" s="205" t="e">
        <f>$BT9*(AN111-BY$25)/BY$26*初始化表!B$32</f>
        <v>#DIV/0!</v>
      </c>
      <c r="BZ9" s="205" t="e">
        <f>$BT9*(AP111-BZ$25)/BZ$26*初始化表!B$34</f>
        <v>#DIV/0!</v>
      </c>
      <c r="CA9" s="205" t="e">
        <f>$BT$5*(AW111-CA$25)/CA$26*初始化表!B$36</f>
        <v>#DIV/0!</v>
      </c>
      <c r="CB9" s="205" t="e">
        <f t="shared" si="4"/>
        <v>#DIV/0!</v>
      </c>
      <c r="CC9" s="201">
        <f t="shared" si="5"/>
        <v>0</v>
      </c>
      <c r="CD9" s="229" t="e">
        <f t="shared" si="6"/>
        <v>#DIV/0!</v>
      </c>
      <c r="CE9" s="229">
        <f t="shared" si="7"/>
        <v>0</v>
      </c>
      <c r="CF9" s="229">
        <f t="shared" si="8"/>
        <v>0</v>
      </c>
      <c r="CG9" s="226"/>
      <c r="CH9" s="226"/>
      <c r="CI9" s="228"/>
      <c r="CJ9" s="230"/>
      <c r="CK9" s="228"/>
      <c r="CL9" s="230"/>
      <c r="CM9" s="230"/>
      <c r="CN9" s="230"/>
      <c r="CO9" s="230"/>
      <c r="CP9" s="228"/>
      <c r="CQ9" s="228"/>
      <c r="CR9" s="228"/>
      <c r="CS9" s="228"/>
      <c r="CT9" s="228"/>
      <c r="CU9" s="228"/>
      <c r="CV9" s="231"/>
      <c r="CW9" s="231"/>
      <c r="CX9" s="231"/>
      <c r="CY9" s="231"/>
      <c r="CZ9" s="228"/>
      <c r="DA9" s="228"/>
      <c r="DB9" s="228"/>
      <c r="DC9" s="228"/>
      <c r="DD9" s="228"/>
      <c r="DE9" s="228"/>
      <c r="DF9" s="228"/>
      <c r="DG9" s="228"/>
      <c r="DH9" s="228"/>
      <c r="DI9" s="228"/>
      <c r="DJ9" s="228"/>
      <c r="DK9" s="228"/>
      <c r="DL9" s="228"/>
      <c r="DM9" s="228"/>
      <c r="DN9" s="228"/>
      <c r="DO9" s="228"/>
      <c r="DP9" s="228"/>
      <c r="DQ9" s="228"/>
    </row>
    <row r="10" s="61" customFormat="1" ht="16" customHeight="1" spans="1:121">
      <c r="A10" s="269" t="s">
        <v>280</v>
      </c>
      <c r="B10" s="72" t="e">
        <f>O29</f>
        <v>#DIV/0!</v>
      </c>
      <c r="C10" s="72" t="e">
        <f>P29</f>
        <v>#DIV/0!</v>
      </c>
      <c r="D10" s="72" t="e">
        <f t="shared" ref="D10:E10" si="28">Q29</f>
        <v>#DIV/0!</v>
      </c>
      <c r="E10" s="72" t="e">
        <f t="shared" si="28"/>
        <v>#DIV/0!</v>
      </c>
      <c r="F10" s="269" t="s">
        <v>281</v>
      </c>
      <c r="G10" s="73"/>
      <c r="H10" s="90"/>
      <c r="I10" s="90"/>
      <c r="J10" s="90"/>
      <c r="K10" s="90"/>
      <c r="L10" s="90"/>
      <c r="M10" s="85"/>
      <c r="N10" s="269" t="s">
        <v>198</v>
      </c>
      <c r="O10" s="89">
        <f t="shared" ref="O10:O13" si="29">S10+T10</f>
        <v>0.005</v>
      </c>
      <c r="P10" s="89"/>
      <c r="Q10" s="89"/>
      <c r="R10" s="89"/>
      <c r="S10" s="89">
        <v>0.005</v>
      </c>
      <c r="T10" s="125">
        <f t="shared" ref="T10:T13" si="30">(Z17-Z42)/10000</f>
        <v>0</v>
      </c>
      <c r="U10" s="269" t="s">
        <v>529</v>
      </c>
      <c r="V10" s="269" t="s">
        <v>513</v>
      </c>
      <c r="W10" s="269" t="s">
        <v>514</v>
      </c>
      <c r="X10" s="269" t="s">
        <v>515</v>
      </c>
      <c r="Y10" s="269" t="s">
        <v>516</v>
      </c>
      <c r="Z10" s="74"/>
      <c r="AA10" s="73"/>
      <c r="AB10" s="154" t="s">
        <v>530</v>
      </c>
      <c r="AC10" s="154" t="s">
        <v>513</v>
      </c>
      <c r="AD10" s="154" t="s">
        <v>514</v>
      </c>
      <c r="AE10" s="154" t="s">
        <v>515</v>
      </c>
      <c r="AF10" s="154" t="s">
        <v>516</v>
      </c>
      <c r="AG10" s="305" t="s">
        <v>402</v>
      </c>
      <c r="AH10" s="168" t="s">
        <v>531</v>
      </c>
      <c r="AI10" s="359"/>
      <c r="AJ10" s="359"/>
      <c r="AK10" s="360"/>
      <c r="AL10" s="360">
        <f>W42</f>
        <v>0</v>
      </c>
      <c r="AM10" s="361"/>
      <c r="AN10" s="362"/>
      <c r="AO10" s="360"/>
      <c r="AP10" s="360"/>
      <c r="AQ10" s="369"/>
      <c r="AR10" s="103"/>
      <c r="AS10" s="103">
        <f t="shared" si="27"/>
        <v>0</v>
      </c>
      <c r="AT10" s="103"/>
      <c r="AU10" s="103"/>
      <c r="AV10" s="103"/>
      <c r="AW10" s="103"/>
      <c r="AZ10" s="193"/>
      <c r="BA10" s="196">
        <f t="shared" si="10"/>
        <v>0</v>
      </c>
      <c r="BB10" s="197">
        <f t="shared" si="11"/>
        <v>0</v>
      </c>
      <c r="BC10" s="197">
        <f t="shared" si="12"/>
        <v>0</v>
      </c>
      <c r="BD10" s="197">
        <f t="shared" si="13"/>
        <v>0</v>
      </c>
      <c r="BE10" s="197">
        <f t="shared" si="14"/>
        <v>0</v>
      </c>
      <c r="BF10" s="197">
        <f t="shared" si="15"/>
        <v>0</v>
      </c>
      <c r="BG10" s="197">
        <f t="shared" si="16"/>
        <v>0</v>
      </c>
      <c r="BH10" s="197">
        <f t="shared" si="17"/>
        <v>0</v>
      </c>
      <c r="BI10" s="197">
        <f t="shared" si="18"/>
        <v>0</v>
      </c>
      <c r="BJ10" s="197">
        <f t="shared" si="19"/>
        <v>0</v>
      </c>
      <c r="BK10" s="197">
        <f t="shared" si="20"/>
        <v>0</v>
      </c>
      <c r="BL10" s="197">
        <f t="shared" si="21"/>
        <v>0</v>
      </c>
      <c r="BM10" s="197">
        <f t="shared" si="22"/>
        <v>0</v>
      </c>
      <c r="BN10" s="197">
        <f t="shared" si="23"/>
        <v>0</v>
      </c>
      <c r="BO10" s="197">
        <f t="shared" si="24"/>
        <v>0</v>
      </c>
      <c r="BP10" s="197">
        <f t="shared" si="25"/>
        <v>0</v>
      </c>
      <c r="BQ10" s="197">
        <f t="shared" si="26"/>
        <v>0</v>
      </c>
      <c r="BR10" s="211"/>
      <c r="BS10" s="195">
        <f t="shared" si="0"/>
        <v>0</v>
      </c>
      <c r="BT10" s="201">
        <f t="shared" si="1"/>
        <v>0</v>
      </c>
      <c r="BU10" s="201">
        <f>第4期!AQ112*0.5</f>
        <v>0</v>
      </c>
      <c r="BV10" s="205" t="e">
        <f>AVERAGE(BT35:CI35)*初始化表!B$31</f>
        <v>#DIV/0!</v>
      </c>
      <c r="BW10" s="205" t="e">
        <f>$BT10*(AL112-BW$25)/BW$26*初始化表!B$30</f>
        <v>#DIV/0!</v>
      </c>
      <c r="BX10" s="205" t="e">
        <f>$BT10*(AM112-BX$25)/BX$26*初始化表!B$33</f>
        <v>#DIV/0!</v>
      </c>
      <c r="BY10" s="205" t="e">
        <f>$BT10*(AN112-BY$25)/BY$26*初始化表!B$32</f>
        <v>#DIV/0!</v>
      </c>
      <c r="BZ10" s="205" t="e">
        <f>$BT10*(AP112-BZ$25)/BZ$26*初始化表!B$34</f>
        <v>#DIV/0!</v>
      </c>
      <c r="CA10" s="205" t="e">
        <f>$BT$5*(AW112-CA$25)/CA$26*初始化表!B$36</f>
        <v>#DIV/0!</v>
      </c>
      <c r="CB10" s="205" t="e">
        <f t="shared" si="4"/>
        <v>#DIV/0!</v>
      </c>
      <c r="CC10" s="201">
        <f t="shared" si="5"/>
        <v>0</v>
      </c>
      <c r="CD10" s="229" t="e">
        <f t="shared" si="6"/>
        <v>#DIV/0!</v>
      </c>
      <c r="CE10" s="229">
        <f t="shared" si="7"/>
        <v>0</v>
      </c>
      <c r="CF10" s="229">
        <f t="shared" si="8"/>
        <v>0</v>
      </c>
      <c r="CG10" s="226"/>
      <c r="CH10" s="226"/>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c r="DP10" s="228"/>
      <c r="DQ10" s="228"/>
    </row>
    <row r="11" s="61" customFormat="1" ht="16" customHeight="1" spans="1:121">
      <c r="A11" s="269" t="s">
        <v>282</v>
      </c>
      <c r="B11" s="269" t="s">
        <v>513</v>
      </c>
      <c r="C11" s="269" t="s">
        <v>514</v>
      </c>
      <c r="D11" s="269" t="s">
        <v>515</v>
      </c>
      <c r="E11" s="269" t="s">
        <v>516</v>
      </c>
      <c r="F11" s="389" t="e">
        <f>F77</f>
        <v>#DIV/0!</v>
      </c>
      <c r="G11" s="73"/>
      <c r="H11" s="269" t="s">
        <v>532</v>
      </c>
      <c r="I11" s="270"/>
      <c r="J11" s="270"/>
      <c r="K11" s="270"/>
      <c r="L11" s="270"/>
      <c r="M11" s="85"/>
      <c r="N11" s="269" t="s">
        <v>202</v>
      </c>
      <c r="O11" s="89">
        <f t="shared" si="29"/>
        <v>0.005</v>
      </c>
      <c r="P11" s="89"/>
      <c r="Q11" s="89"/>
      <c r="R11" s="89"/>
      <c r="S11" s="89">
        <v>0.005</v>
      </c>
      <c r="T11" s="125">
        <f t="shared" si="30"/>
        <v>0</v>
      </c>
      <c r="U11" s="269" t="s">
        <v>521</v>
      </c>
      <c r="V11" s="115">
        <f>第4期!AO9</f>
        <v>0</v>
      </c>
      <c r="W11" s="115">
        <f>第4期!AO10</f>
        <v>0</v>
      </c>
      <c r="X11" s="115">
        <f>第4期!AO11</f>
        <v>0</v>
      </c>
      <c r="Y11" s="115">
        <f>第4期!AO12</f>
        <v>0</v>
      </c>
      <c r="Z11" s="74"/>
      <c r="AA11" s="73"/>
      <c r="AB11" s="154" t="s">
        <v>198</v>
      </c>
      <c r="AC11" s="153" t="e">
        <f t="shared" ref="AC11:AF14" si="31">B6-AD5</f>
        <v>#DIV/0!</v>
      </c>
      <c r="AD11" s="153" t="e">
        <f t="shared" si="31"/>
        <v>#DIV/0!</v>
      </c>
      <c r="AE11" s="153" t="e">
        <f t="shared" si="31"/>
        <v>#DIV/0!</v>
      </c>
      <c r="AF11" s="153" t="e">
        <f t="shared" si="31"/>
        <v>#DIV/0!</v>
      </c>
      <c r="AG11" s="306" t="str">
        <f>IF(AJ24="","未粘报表",IF(AND(V84=AQ9,W84=AQ10,X84=AQ11,Y84=AQ12,V85=AQ13,W85=AQ14,X85=AQ15,Y85=AQ16,V86=AQ17,W86=AQ18,X86=AQ19,Y86=AQ20,V87=AQ21,W87=AQ22,X87=AQ23,Y87=AQ24),"正确","错误"))</f>
        <v>未粘报表</v>
      </c>
      <c r="AH11" s="170" t="str">
        <f>IF(AJ24="","未粘报表",IF(INT(VLOOKUP(初期!$G$52,$AI$107:$AQ$126,7,0))=INT(F64),"现金正确","现金错误"))</f>
        <v>未粘报表</v>
      </c>
      <c r="AI11" s="359"/>
      <c r="AJ11" s="359"/>
      <c r="AK11" s="360"/>
      <c r="AL11" s="360">
        <f>X42</f>
        <v>0</v>
      </c>
      <c r="AM11" s="361"/>
      <c r="AN11" s="362"/>
      <c r="AO11" s="360"/>
      <c r="AP11" s="360"/>
      <c r="AQ11" s="369"/>
      <c r="AR11" s="103"/>
      <c r="AS11" s="103">
        <f t="shared" si="27"/>
        <v>0</v>
      </c>
      <c r="AT11" s="103"/>
      <c r="AU11" s="103"/>
      <c r="AV11" s="103"/>
      <c r="AW11" s="103"/>
      <c r="AZ11" s="193"/>
      <c r="BA11" s="196">
        <f t="shared" si="10"/>
        <v>0</v>
      </c>
      <c r="BB11" s="197">
        <f t="shared" si="11"/>
        <v>0</v>
      </c>
      <c r="BC11" s="197">
        <f t="shared" si="12"/>
        <v>0</v>
      </c>
      <c r="BD11" s="197">
        <f t="shared" si="13"/>
        <v>0</v>
      </c>
      <c r="BE11" s="197">
        <f t="shared" si="14"/>
        <v>0</v>
      </c>
      <c r="BF11" s="197">
        <f t="shared" si="15"/>
        <v>0</v>
      </c>
      <c r="BG11" s="197">
        <f t="shared" si="16"/>
        <v>0</v>
      </c>
      <c r="BH11" s="197">
        <f t="shared" si="17"/>
        <v>0</v>
      </c>
      <c r="BI11" s="197">
        <f t="shared" si="18"/>
        <v>0</v>
      </c>
      <c r="BJ11" s="197">
        <f t="shared" si="19"/>
        <v>0</v>
      </c>
      <c r="BK11" s="197">
        <f t="shared" si="20"/>
        <v>0</v>
      </c>
      <c r="BL11" s="197">
        <f t="shared" si="21"/>
        <v>0</v>
      </c>
      <c r="BM11" s="197">
        <f t="shared" si="22"/>
        <v>0</v>
      </c>
      <c r="BN11" s="197">
        <f t="shared" si="23"/>
        <v>0</v>
      </c>
      <c r="BO11" s="197">
        <f t="shared" si="24"/>
        <v>0</v>
      </c>
      <c r="BP11" s="197">
        <f t="shared" si="25"/>
        <v>0</v>
      </c>
      <c r="BQ11" s="197">
        <f t="shared" si="26"/>
        <v>0</v>
      </c>
      <c r="BR11" s="211"/>
      <c r="BS11" s="195">
        <f t="shared" si="0"/>
        <v>0</v>
      </c>
      <c r="BT11" s="201">
        <f t="shared" si="1"/>
        <v>0</v>
      </c>
      <c r="BU11" s="201">
        <f>第4期!AQ113*0.5</f>
        <v>0</v>
      </c>
      <c r="BV11" s="205" t="e">
        <f>AVERAGE(BT36:CI36)*初始化表!B$31</f>
        <v>#DIV/0!</v>
      </c>
      <c r="BW11" s="205" t="e">
        <f>$BT11*(AL113-BW$25)/BW$26*初始化表!B$30</f>
        <v>#DIV/0!</v>
      </c>
      <c r="BX11" s="205" t="e">
        <f>$BT11*(AM113-BX$25)/BX$26*初始化表!B$33</f>
        <v>#DIV/0!</v>
      </c>
      <c r="BY11" s="205" t="e">
        <f>$BT11*(AN113-BY$25)/BY$26*初始化表!B$32</f>
        <v>#DIV/0!</v>
      </c>
      <c r="BZ11" s="205" t="e">
        <f>$BT11*(AP113-BZ$25)/BZ$26*初始化表!B$34</f>
        <v>#DIV/0!</v>
      </c>
      <c r="CA11" s="205" t="e">
        <f>$BT$5*(AW113-CA$25)/CA$26*初始化表!B$36</f>
        <v>#DIV/0!</v>
      </c>
      <c r="CB11" s="205" t="e">
        <f t="shared" si="4"/>
        <v>#DIV/0!</v>
      </c>
      <c r="CC11" s="201">
        <f t="shared" si="5"/>
        <v>0</v>
      </c>
      <c r="CD11" s="229" t="e">
        <f t="shared" si="6"/>
        <v>#DIV/0!</v>
      </c>
      <c r="CE11" s="229">
        <f t="shared" si="7"/>
        <v>0</v>
      </c>
      <c r="CF11" s="229">
        <f t="shared" si="8"/>
        <v>0</v>
      </c>
      <c r="CG11" s="226"/>
      <c r="CH11" s="226"/>
      <c r="CI11" s="227"/>
      <c r="CJ11" s="228"/>
      <c r="CK11" s="227"/>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row>
    <row r="12" s="61" customFormat="1" ht="16" customHeight="1" spans="1:121">
      <c r="A12" s="269" t="s">
        <v>521</v>
      </c>
      <c r="B12" s="71">
        <f>I63</f>
        <v>0</v>
      </c>
      <c r="C12" s="71">
        <f t="shared" ref="C12:E15" si="32">J63</f>
        <v>0</v>
      </c>
      <c r="D12" s="71">
        <f t="shared" si="32"/>
        <v>0</v>
      </c>
      <c r="E12" s="71">
        <f t="shared" si="32"/>
        <v>0</v>
      </c>
      <c r="F12" s="269" t="s">
        <v>292</v>
      </c>
      <c r="G12" s="73"/>
      <c r="H12" s="269" t="s">
        <v>533</v>
      </c>
      <c r="I12" s="269" t="s">
        <v>521</v>
      </c>
      <c r="J12" s="269" t="s">
        <v>522</v>
      </c>
      <c r="K12" s="269" t="s">
        <v>523</v>
      </c>
      <c r="L12" s="269" t="s">
        <v>524</v>
      </c>
      <c r="M12" s="85"/>
      <c r="N12" s="269" t="s">
        <v>206</v>
      </c>
      <c r="O12" s="89">
        <f t="shared" si="29"/>
        <v>0.005</v>
      </c>
      <c r="P12" s="89"/>
      <c r="Q12" s="89"/>
      <c r="R12" s="89"/>
      <c r="S12" s="89">
        <v>0.005</v>
      </c>
      <c r="T12" s="125">
        <f t="shared" si="30"/>
        <v>0</v>
      </c>
      <c r="U12" s="269" t="s">
        <v>522</v>
      </c>
      <c r="V12" s="115">
        <f>第4期!AO13</f>
        <v>0</v>
      </c>
      <c r="W12" s="115">
        <f>第4期!AO14</f>
        <v>0</v>
      </c>
      <c r="X12" s="115">
        <f>第4期!AO15</f>
        <v>0</v>
      </c>
      <c r="Y12" s="115">
        <f>第4期!AO16</f>
        <v>0</v>
      </c>
      <c r="Z12" s="74"/>
      <c r="AA12" s="73"/>
      <c r="AB12" s="154" t="s">
        <v>202</v>
      </c>
      <c r="AC12" s="153" t="e">
        <f t="shared" si="31"/>
        <v>#DIV/0!</v>
      </c>
      <c r="AD12" s="153" t="e">
        <f t="shared" si="31"/>
        <v>#DIV/0!</v>
      </c>
      <c r="AE12" s="153" t="e">
        <f t="shared" si="31"/>
        <v>#DIV/0!</v>
      </c>
      <c r="AF12" s="153" t="e">
        <f t="shared" si="31"/>
        <v>#DIV/0!</v>
      </c>
      <c r="AG12" s="305" t="s">
        <v>534</v>
      </c>
      <c r="AH12" s="168" t="s">
        <v>535</v>
      </c>
      <c r="AI12" s="359"/>
      <c r="AJ12" s="359"/>
      <c r="AK12" s="360"/>
      <c r="AL12" s="360">
        <f>Y42</f>
        <v>0</v>
      </c>
      <c r="AM12" s="361"/>
      <c r="AN12" s="362"/>
      <c r="AO12" s="360"/>
      <c r="AP12" s="360"/>
      <c r="AQ12" s="369"/>
      <c r="AR12" s="103">
        <f>SUM(AL9:AL12)</f>
        <v>0</v>
      </c>
      <c r="AS12" s="103">
        <f t="shared" si="27"/>
        <v>0</v>
      </c>
      <c r="AT12" s="103">
        <f>SUMIF(AS9:AS12,"&gt;=0",AS9:AS12)</f>
        <v>0</v>
      </c>
      <c r="AU12" s="103">
        <f>SUM(AO9:AO12)</f>
        <v>0</v>
      </c>
      <c r="AV12" s="103">
        <f>SUM(AP9:AP12)</f>
        <v>0</v>
      </c>
      <c r="AW12" s="103">
        <f>SUM(AQ9:AQ12)</f>
        <v>0</v>
      </c>
      <c r="AZ12" s="193"/>
      <c r="BA12" s="196">
        <f t="shared" si="10"/>
        <v>0</v>
      </c>
      <c r="BB12" s="197">
        <f t="shared" si="11"/>
        <v>0</v>
      </c>
      <c r="BC12" s="197">
        <f t="shared" si="12"/>
        <v>0</v>
      </c>
      <c r="BD12" s="197">
        <f t="shared" si="13"/>
        <v>0</v>
      </c>
      <c r="BE12" s="197">
        <f t="shared" si="14"/>
        <v>0</v>
      </c>
      <c r="BF12" s="197">
        <f t="shared" si="15"/>
        <v>0</v>
      </c>
      <c r="BG12" s="197">
        <f t="shared" si="16"/>
        <v>0</v>
      </c>
      <c r="BH12" s="197">
        <f t="shared" si="17"/>
        <v>0</v>
      </c>
      <c r="BI12" s="197">
        <f t="shared" si="18"/>
        <v>0</v>
      </c>
      <c r="BJ12" s="197">
        <f t="shared" si="19"/>
        <v>0</v>
      </c>
      <c r="BK12" s="197">
        <f t="shared" si="20"/>
        <v>0</v>
      </c>
      <c r="BL12" s="197">
        <f t="shared" si="21"/>
        <v>0</v>
      </c>
      <c r="BM12" s="197">
        <f t="shared" si="22"/>
        <v>0</v>
      </c>
      <c r="BN12" s="197">
        <f t="shared" si="23"/>
        <v>0</v>
      </c>
      <c r="BO12" s="197">
        <f t="shared" si="24"/>
        <v>0</v>
      </c>
      <c r="BP12" s="197">
        <f t="shared" si="25"/>
        <v>0</v>
      </c>
      <c r="BQ12" s="197">
        <f t="shared" si="26"/>
        <v>0</v>
      </c>
      <c r="BR12" s="211"/>
      <c r="BS12" s="195">
        <f t="shared" si="0"/>
        <v>0</v>
      </c>
      <c r="BT12" s="201">
        <f t="shared" si="1"/>
        <v>0</v>
      </c>
      <c r="BU12" s="201">
        <f>第4期!AQ114*0.5</f>
        <v>0</v>
      </c>
      <c r="BV12" s="205" t="e">
        <f>AVERAGE(BT37:CI37)*初始化表!B$31</f>
        <v>#DIV/0!</v>
      </c>
      <c r="BW12" s="205" t="e">
        <f>$BT12*(AL114-BW$25)/BW$26*初始化表!B$30</f>
        <v>#DIV/0!</v>
      </c>
      <c r="BX12" s="205" t="e">
        <f>$BT12*(AM114-BX$25)/BX$26*初始化表!B$33</f>
        <v>#DIV/0!</v>
      </c>
      <c r="BY12" s="205" t="e">
        <f>$BT12*(AN114-BY$25)/BY$26*初始化表!B$32</f>
        <v>#DIV/0!</v>
      </c>
      <c r="BZ12" s="205" t="e">
        <f>$BT12*(AP114-BZ$25)/BZ$26*初始化表!B$34</f>
        <v>#DIV/0!</v>
      </c>
      <c r="CA12" s="205" t="e">
        <f>$BT$5*(AW114-CA$25)/CA$26*初始化表!B$36</f>
        <v>#DIV/0!</v>
      </c>
      <c r="CB12" s="205" t="e">
        <f t="shared" si="4"/>
        <v>#DIV/0!</v>
      </c>
      <c r="CC12" s="201">
        <f t="shared" si="5"/>
        <v>0</v>
      </c>
      <c r="CD12" s="229" t="e">
        <f t="shared" si="6"/>
        <v>#DIV/0!</v>
      </c>
      <c r="CE12" s="229">
        <f t="shared" si="7"/>
        <v>0</v>
      </c>
      <c r="CF12" s="229">
        <f t="shared" si="8"/>
        <v>0</v>
      </c>
      <c r="CG12" s="226"/>
      <c r="CH12" s="226"/>
      <c r="CI12" s="231"/>
      <c r="CJ12" s="231"/>
      <c r="CK12" s="231"/>
      <c r="CL12" s="231"/>
      <c r="CM12" s="231"/>
      <c r="CN12" s="231"/>
      <c r="CO12" s="231"/>
      <c r="CP12" s="231"/>
      <c r="CQ12" s="231"/>
      <c r="CR12" s="231"/>
      <c r="CS12" s="231"/>
      <c r="CT12" s="231"/>
      <c r="CU12" s="231"/>
      <c r="CV12" s="231"/>
      <c r="CW12" s="231"/>
      <c r="CX12" s="231"/>
      <c r="CY12" s="231"/>
      <c r="CZ12" s="231"/>
      <c r="DA12" s="228"/>
      <c r="DB12" s="228"/>
      <c r="DC12" s="228"/>
      <c r="DD12" s="228"/>
      <c r="DE12" s="228"/>
      <c r="DF12" s="228"/>
      <c r="DG12" s="228"/>
      <c r="DH12" s="228"/>
      <c r="DI12" s="228"/>
      <c r="DJ12" s="228"/>
      <c r="DK12" s="228"/>
      <c r="DL12" s="228"/>
      <c r="DM12" s="228"/>
      <c r="DN12" s="228"/>
      <c r="DO12" s="228"/>
      <c r="DP12" s="228"/>
      <c r="DQ12" s="228"/>
    </row>
    <row r="13" s="61" customFormat="1" ht="16" customHeight="1" spans="1:121">
      <c r="A13" s="269" t="s">
        <v>522</v>
      </c>
      <c r="B13" s="71">
        <f t="shared" ref="B13:B15" si="33">I64</f>
        <v>0</v>
      </c>
      <c r="C13" s="71">
        <f t="shared" si="32"/>
        <v>0</v>
      </c>
      <c r="D13" s="71">
        <f t="shared" si="32"/>
        <v>0</v>
      </c>
      <c r="E13" s="71">
        <f t="shared" si="32"/>
        <v>0</v>
      </c>
      <c r="F13" s="390" t="e">
        <f>E60</f>
        <v>#DIV/0!</v>
      </c>
      <c r="G13" s="73"/>
      <c r="H13" s="269" t="s">
        <v>536</v>
      </c>
      <c r="I13" s="90">
        <v>3</v>
      </c>
      <c r="J13" s="90">
        <v>1</v>
      </c>
      <c r="K13" s="90">
        <v>1</v>
      </c>
      <c r="L13" s="90">
        <v>1</v>
      </c>
      <c r="M13" s="85"/>
      <c r="N13" s="269" t="s">
        <v>208</v>
      </c>
      <c r="O13" s="89">
        <f t="shared" si="29"/>
        <v>0.005</v>
      </c>
      <c r="P13" s="89"/>
      <c r="Q13" s="89"/>
      <c r="R13" s="89"/>
      <c r="S13" s="89">
        <v>0.005</v>
      </c>
      <c r="T13" s="125">
        <f t="shared" si="30"/>
        <v>0</v>
      </c>
      <c r="U13" s="269" t="s">
        <v>523</v>
      </c>
      <c r="V13" s="115">
        <f>第4期!AO17</f>
        <v>0</v>
      </c>
      <c r="W13" s="115">
        <f>第4期!AO18</f>
        <v>0</v>
      </c>
      <c r="X13" s="115">
        <f>第4期!AO19</f>
        <v>0</v>
      </c>
      <c r="Y13" s="115">
        <f>第4期!AO20</f>
        <v>0</v>
      </c>
      <c r="Z13" s="74"/>
      <c r="AA13" s="73"/>
      <c r="AB13" s="154" t="s">
        <v>206</v>
      </c>
      <c r="AC13" s="153" t="e">
        <f t="shared" si="31"/>
        <v>#DIV/0!</v>
      </c>
      <c r="AD13" s="153" t="e">
        <f t="shared" si="31"/>
        <v>#DIV/0!</v>
      </c>
      <c r="AE13" s="153" t="e">
        <f t="shared" si="31"/>
        <v>#DIV/0!</v>
      </c>
      <c r="AF13" s="153" t="e">
        <f t="shared" si="31"/>
        <v>#DIV/0!</v>
      </c>
      <c r="AG13" s="306" t="str">
        <f>IF(AJ24="","未粘报表",IF(INT(VLOOKUP(初期!$G$52,$AI$107:$AQ$126,3,0))=INT($E$60),"成本正确","成本错误"))</f>
        <v>未粘报表</v>
      </c>
      <c r="AH13" s="170" t="str">
        <f>IF(AJ24="","未粘报表",IF(INT(VLOOKUP(初期!$G$52,$AI$107:$AQ$126,6,0))=INT($F$81),"分红正确","分红错误"))</f>
        <v>未粘报表</v>
      </c>
      <c r="AI13" s="359"/>
      <c r="AJ13" s="359"/>
      <c r="AK13" s="360"/>
      <c r="AL13" s="360">
        <f>V43</f>
        <v>0</v>
      </c>
      <c r="AM13" s="361"/>
      <c r="AN13" s="362"/>
      <c r="AO13" s="360"/>
      <c r="AP13" s="360"/>
      <c r="AQ13" s="369"/>
      <c r="AR13" s="103"/>
      <c r="AS13" s="103">
        <f t="shared" si="27"/>
        <v>0</v>
      </c>
      <c r="AT13" s="103"/>
      <c r="AU13" s="103"/>
      <c r="AV13" s="103"/>
      <c r="AW13" s="103"/>
      <c r="AZ13" s="193"/>
      <c r="BA13" s="196">
        <f t="shared" si="10"/>
        <v>0</v>
      </c>
      <c r="BB13" s="197">
        <f t="shared" si="11"/>
        <v>0</v>
      </c>
      <c r="BC13" s="197">
        <f t="shared" si="12"/>
        <v>0</v>
      </c>
      <c r="BD13" s="197">
        <f t="shared" si="13"/>
        <v>0</v>
      </c>
      <c r="BE13" s="197">
        <f t="shared" si="14"/>
        <v>0</v>
      </c>
      <c r="BF13" s="197">
        <f t="shared" si="15"/>
        <v>0</v>
      </c>
      <c r="BG13" s="197">
        <f t="shared" si="16"/>
        <v>0</v>
      </c>
      <c r="BH13" s="197">
        <f t="shared" si="17"/>
        <v>0</v>
      </c>
      <c r="BI13" s="197">
        <f t="shared" si="18"/>
        <v>0</v>
      </c>
      <c r="BJ13" s="197">
        <f t="shared" si="19"/>
        <v>0</v>
      </c>
      <c r="BK13" s="197">
        <f t="shared" si="20"/>
        <v>0</v>
      </c>
      <c r="BL13" s="197">
        <f t="shared" si="21"/>
        <v>0</v>
      </c>
      <c r="BM13" s="197">
        <f t="shared" si="22"/>
        <v>0</v>
      </c>
      <c r="BN13" s="197">
        <f t="shared" si="23"/>
        <v>0</v>
      </c>
      <c r="BO13" s="197">
        <f t="shared" si="24"/>
        <v>0</v>
      </c>
      <c r="BP13" s="197">
        <f t="shared" si="25"/>
        <v>0</v>
      </c>
      <c r="BQ13" s="197">
        <f t="shared" si="26"/>
        <v>0</v>
      </c>
      <c r="BR13" s="211"/>
      <c r="BS13" s="195">
        <f t="shared" si="0"/>
        <v>0</v>
      </c>
      <c r="BT13" s="201">
        <f t="shared" si="1"/>
        <v>0</v>
      </c>
      <c r="BU13" s="201">
        <f>第4期!AQ115*0.5</f>
        <v>0</v>
      </c>
      <c r="BV13" s="205" t="e">
        <f>AVERAGE(BT38:CI38)*初始化表!B$31</f>
        <v>#DIV/0!</v>
      </c>
      <c r="BW13" s="205" t="e">
        <f>$BT13*(AL115-BW$25)/BW$26*初始化表!B$30</f>
        <v>#DIV/0!</v>
      </c>
      <c r="BX13" s="205" t="e">
        <f>$BT13*(AM115-BX$25)/BX$26*初始化表!B$33</f>
        <v>#DIV/0!</v>
      </c>
      <c r="BY13" s="205" t="e">
        <f>$BT13*(AN115-BY$25)/BY$26*初始化表!B$32</f>
        <v>#DIV/0!</v>
      </c>
      <c r="BZ13" s="205" t="e">
        <f>$BT13*(AP115-BZ$25)/BZ$26*初始化表!B$34</f>
        <v>#DIV/0!</v>
      </c>
      <c r="CA13" s="205" t="e">
        <f>$BT$5*(AW115-CA$25)/CA$26*初始化表!B$36</f>
        <v>#DIV/0!</v>
      </c>
      <c r="CB13" s="205" t="e">
        <f t="shared" si="4"/>
        <v>#DIV/0!</v>
      </c>
      <c r="CC13" s="201">
        <f t="shared" si="5"/>
        <v>0</v>
      </c>
      <c r="CD13" s="229" t="e">
        <f t="shared" si="6"/>
        <v>#DIV/0!</v>
      </c>
      <c r="CE13" s="229">
        <f t="shared" si="7"/>
        <v>0</v>
      </c>
      <c r="CF13" s="229">
        <f t="shared" si="8"/>
        <v>0</v>
      </c>
      <c r="CG13" s="226"/>
      <c r="CH13" s="226"/>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row>
    <row r="14" s="61" customFormat="1" ht="16" customHeight="1" spans="1:121">
      <c r="A14" s="269" t="s">
        <v>523</v>
      </c>
      <c r="B14" s="71">
        <f t="shared" si="33"/>
        <v>0</v>
      </c>
      <c r="C14" s="71">
        <f t="shared" si="32"/>
        <v>0</v>
      </c>
      <c r="D14" s="71">
        <f t="shared" si="32"/>
        <v>0</v>
      </c>
      <c r="E14" s="71">
        <f t="shared" si="32"/>
        <v>0</v>
      </c>
      <c r="F14" s="269" t="s">
        <v>296</v>
      </c>
      <c r="G14" s="73"/>
      <c r="H14" s="269" t="s">
        <v>537</v>
      </c>
      <c r="I14" s="87" t="e">
        <f>2*(I13*初始化表!E18+J13*初始化表!F18+K13*初始化表!G18+初始化表!H18/初始化表!H17*(L13*初始化表!H17-1/5*(I13*初始化表!E17+J13*初始化表!F17+K13*初始化表!G17+L13*初始化表!H17)))/((I13*初始化表!E17+J13*初始化表!F17+K13*初始化表!G17+L13*初始化表!H17)*4/5)</f>
        <v>#DIV/0!</v>
      </c>
      <c r="J14" s="269" t="s">
        <v>538</v>
      </c>
      <c r="K14" s="269" t="s">
        <v>539</v>
      </c>
      <c r="L14" s="269" t="s">
        <v>540</v>
      </c>
      <c r="M14" s="85"/>
      <c r="N14" s="269" t="s">
        <v>541</v>
      </c>
      <c r="O14" s="269" t="s">
        <v>513</v>
      </c>
      <c r="P14" s="269" t="s">
        <v>514</v>
      </c>
      <c r="Q14" s="269" t="s">
        <v>515</v>
      </c>
      <c r="R14" s="269" t="s">
        <v>516</v>
      </c>
      <c r="S14" s="121"/>
      <c r="T14" s="120"/>
      <c r="U14" s="269" t="s">
        <v>524</v>
      </c>
      <c r="V14" s="115">
        <f>第4期!AO21</f>
        <v>0</v>
      </c>
      <c r="W14" s="115">
        <f>第4期!AO22</f>
        <v>0</v>
      </c>
      <c r="X14" s="115">
        <f>第4期!AO23</f>
        <v>0</v>
      </c>
      <c r="Y14" s="115">
        <f>第4期!AO24</f>
        <v>0</v>
      </c>
      <c r="Z14" s="74"/>
      <c r="AA14" s="73"/>
      <c r="AB14" s="154" t="s">
        <v>208</v>
      </c>
      <c r="AC14" s="153" t="e">
        <f t="shared" si="31"/>
        <v>#DIV/0!</v>
      </c>
      <c r="AD14" s="153" t="e">
        <f t="shared" si="31"/>
        <v>#DIV/0!</v>
      </c>
      <c r="AE14" s="153" t="e">
        <f t="shared" si="31"/>
        <v>#DIV/0!</v>
      </c>
      <c r="AF14" s="153" t="e">
        <f t="shared" si="31"/>
        <v>#DIV/0!</v>
      </c>
      <c r="AG14" s="74"/>
      <c r="AH14" s="307"/>
      <c r="AI14" s="359"/>
      <c r="AJ14" s="359"/>
      <c r="AK14" s="360"/>
      <c r="AL14" s="360">
        <f>W43</f>
        <v>0</v>
      </c>
      <c r="AM14" s="361"/>
      <c r="AN14" s="362"/>
      <c r="AO14" s="360"/>
      <c r="AP14" s="360"/>
      <c r="AQ14" s="369"/>
      <c r="AR14" s="103"/>
      <c r="AS14" s="103">
        <f t="shared" si="27"/>
        <v>0</v>
      </c>
      <c r="AT14" s="103"/>
      <c r="AU14" s="103"/>
      <c r="AV14" s="103"/>
      <c r="AW14" s="103"/>
      <c r="AZ14" s="193"/>
      <c r="BA14" s="196">
        <f t="shared" si="10"/>
        <v>0</v>
      </c>
      <c r="BB14" s="197">
        <f t="shared" si="11"/>
        <v>0</v>
      </c>
      <c r="BC14" s="197">
        <f t="shared" si="12"/>
        <v>0</v>
      </c>
      <c r="BD14" s="197">
        <f t="shared" si="13"/>
        <v>0</v>
      </c>
      <c r="BE14" s="197">
        <f t="shared" si="14"/>
        <v>0</v>
      </c>
      <c r="BF14" s="197">
        <f t="shared" si="15"/>
        <v>0</v>
      </c>
      <c r="BG14" s="197">
        <f t="shared" si="16"/>
        <v>0</v>
      </c>
      <c r="BH14" s="197">
        <f t="shared" si="17"/>
        <v>0</v>
      </c>
      <c r="BI14" s="197">
        <f t="shared" si="18"/>
        <v>0</v>
      </c>
      <c r="BJ14" s="197">
        <f t="shared" si="19"/>
        <v>0</v>
      </c>
      <c r="BK14" s="197">
        <f t="shared" si="20"/>
        <v>0</v>
      </c>
      <c r="BL14" s="197">
        <f t="shared" si="21"/>
        <v>0</v>
      </c>
      <c r="BM14" s="197">
        <f t="shared" si="22"/>
        <v>0</v>
      </c>
      <c r="BN14" s="197">
        <f t="shared" si="23"/>
        <v>0</v>
      </c>
      <c r="BO14" s="197">
        <f t="shared" si="24"/>
        <v>0</v>
      </c>
      <c r="BP14" s="197">
        <f t="shared" si="25"/>
        <v>0</v>
      </c>
      <c r="BQ14" s="197">
        <f t="shared" si="26"/>
        <v>0</v>
      </c>
      <c r="BR14" s="211"/>
      <c r="BS14" s="195">
        <f t="shared" si="0"/>
        <v>0</v>
      </c>
      <c r="BT14" s="201">
        <f t="shared" si="1"/>
        <v>0</v>
      </c>
      <c r="BU14" s="201">
        <f>第4期!AQ116*0.5</f>
        <v>0</v>
      </c>
      <c r="BV14" s="205" t="e">
        <f>AVERAGE(BT39:CI39)*初始化表!B$31</f>
        <v>#DIV/0!</v>
      </c>
      <c r="BW14" s="205" t="e">
        <f>$BT14*(AL116-BW$25)/BW$26*初始化表!B$30</f>
        <v>#DIV/0!</v>
      </c>
      <c r="BX14" s="205" t="e">
        <f>$BT14*(AM116-BX$25)/BX$26*初始化表!B$33</f>
        <v>#DIV/0!</v>
      </c>
      <c r="BY14" s="205" t="e">
        <f>$BT14*(AN116-BY$25)/BY$26*初始化表!B$32</f>
        <v>#DIV/0!</v>
      </c>
      <c r="BZ14" s="205" t="e">
        <f>$BT14*(AP116-BZ$25)/BZ$26*初始化表!B$34</f>
        <v>#DIV/0!</v>
      </c>
      <c r="CA14" s="205" t="e">
        <f>$BT$5*(AW116-CA$25)/CA$26*初始化表!B$36</f>
        <v>#DIV/0!</v>
      </c>
      <c r="CB14" s="205" t="e">
        <f t="shared" si="4"/>
        <v>#DIV/0!</v>
      </c>
      <c r="CC14" s="201">
        <f t="shared" si="5"/>
        <v>0</v>
      </c>
      <c r="CD14" s="229" t="e">
        <f t="shared" si="6"/>
        <v>#DIV/0!</v>
      </c>
      <c r="CE14" s="229">
        <f t="shared" si="7"/>
        <v>0</v>
      </c>
      <c r="CF14" s="229">
        <f t="shared" si="8"/>
        <v>0</v>
      </c>
      <c r="CG14" s="226"/>
      <c r="CH14" s="226"/>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c r="DP14" s="228"/>
      <c r="DQ14" s="228"/>
    </row>
    <row r="15" s="61" customFormat="1" ht="16" customHeight="1" spans="1:121">
      <c r="A15" s="269" t="s">
        <v>524</v>
      </c>
      <c r="B15" s="71">
        <f t="shared" si="33"/>
        <v>0</v>
      </c>
      <c r="C15" s="71">
        <f t="shared" si="32"/>
        <v>0</v>
      </c>
      <c r="D15" s="71">
        <f t="shared" si="32"/>
        <v>0</v>
      </c>
      <c r="E15" s="71">
        <f t="shared" si="32"/>
        <v>0</v>
      </c>
      <c r="F15" s="390" t="e">
        <f>F64</f>
        <v>#DIV/0!</v>
      </c>
      <c r="G15" s="73"/>
      <c r="H15" s="269" t="s">
        <v>542</v>
      </c>
      <c r="I15" s="87" t="e">
        <f>第4期!H17/第4期!N49</f>
        <v>#DIV/0!</v>
      </c>
      <c r="J15" s="87" t="e">
        <f>N49*I14-H17</f>
        <v>#DIV/0!</v>
      </c>
      <c r="K15" s="87" t="e">
        <f>N49*I15-H17</f>
        <v>#DIV/0!</v>
      </c>
      <c r="L15" s="77" t="e">
        <f>C22+I15*(O49-N49)</f>
        <v>#DIV/0!</v>
      </c>
      <c r="M15" s="85"/>
      <c r="N15" s="269" t="s">
        <v>198</v>
      </c>
      <c r="O15" s="71" t="e">
        <f t="shared" ref="O15:R16" si="34">INT((1+O10+IF(V42&gt;V17,(V17-V42)/V17/15,(V17-V42)/V17/10))*V23)</f>
        <v>#DIV/0!</v>
      </c>
      <c r="P15" s="71" t="e">
        <f t="shared" si="34"/>
        <v>#DIV/0!</v>
      </c>
      <c r="Q15" s="71" t="e">
        <f t="shared" si="34"/>
        <v>#DIV/0!</v>
      </c>
      <c r="R15" s="71" t="e">
        <f t="shared" si="34"/>
        <v>#DIV/0!</v>
      </c>
      <c r="S15" s="126"/>
      <c r="T15" s="120"/>
      <c r="U15" s="123"/>
      <c r="V15" s="74"/>
      <c r="W15" s="74"/>
      <c r="X15" s="74"/>
      <c r="Y15" s="74"/>
      <c r="Z15" s="74"/>
      <c r="AA15" s="73"/>
      <c r="AB15" s="155"/>
      <c r="AC15" s="155"/>
      <c r="AD15" s="155"/>
      <c r="AE15" s="155"/>
      <c r="AF15" s="155"/>
      <c r="AG15" s="155"/>
      <c r="AH15" s="73"/>
      <c r="AI15" s="359"/>
      <c r="AJ15" s="359"/>
      <c r="AK15" s="360"/>
      <c r="AL15" s="360">
        <f>X43</f>
        <v>0</v>
      </c>
      <c r="AM15" s="361"/>
      <c r="AN15" s="362"/>
      <c r="AO15" s="360"/>
      <c r="AP15" s="360"/>
      <c r="AQ15" s="369"/>
      <c r="AR15" s="103"/>
      <c r="AS15" s="103">
        <f t="shared" si="27"/>
        <v>0</v>
      </c>
      <c r="AT15" s="103"/>
      <c r="AU15" s="103"/>
      <c r="AV15" s="103"/>
      <c r="AW15" s="103"/>
      <c r="AZ15" s="193"/>
      <c r="BA15" s="196">
        <f t="shared" si="10"/>
        <v>0</v>
      </c>
      <c r="BB15" s="197">
        <f t="shared" si="11"/>
        <v>0</v>
      </c>
      <c r="BC15" s="197">
        <f t="shared" si="12"/>
        <v>0</v>
      </c>
      <c r="BD15" s="197">
        <f t="shared" si="13"/>
        <v>0</v>
      </c>
      <c r="BE15" s="197">
        <f t="shared" si="14"/>
        <v>0</v>
      </c>
      <c r="BF15" s="197">
        <f t="shared" si="15"/>
        <v>0</v>
      </c>
      <c r="BG15" s="197">
        <f t="shared" si="16"/>
        <v>0</v>
      </c>
      <c r="BH15" s="197">
        <f t="shared" si="17"/>
        <v>0</v>
      </c>
      <c r="BI15" s="197">
        <f t="shared" si="18"/>
        <v>0</v>
      </c>
      <c r="BJ15" s="197">
        <f t="shared" si="19"/>
        <v>0</v>
      </c>
      <c r="BK15" s="197">
        <f t="shared" si="20"/>
        <v>0</v>
      </c>
      <c r="BL15" s="197">
        <f t="shared" si="21"/>
        <v>0</v>
      </c>
      <c r="BM15" s="197">
        <f t="shared" si="22"/>
        <v>0</v>
      </c>
      <c r="BN15" s="197">
        <f t="shared" si="23"/>
        <v>0</v>
      </c>
      <c r="BO15" s="197">
        <f t="shared" si="24"/>
        <v>0</v>
      </c>
      <c r="BP15" s="197">
        <f t="shared" si="25"/>
        <v>0</v>
      </c>
      <c r="BQ15" s="197">
        <f t="shared" si="26"/>
        <v>0</v>
      </c>
      <c r="BR15" s="211"/>
      <c r="BS15" s="195">
        <f t="shared" si="0"/>
        <v>0</v>
      </c>
      <c r="BT15" s="201">
        <f t="shared" si="1"/>
        <v>0</v>
      </c>
      <c r="BU15" s="201">
        <f>第4期!AQ117*0.5</f>
        <v>0</v>
      </c>
      <c r="BV15" s="205" t="e">
        <f>AVERAGE(BT40:CI40)*初始化表!B$31</f>
        <v>#DIV/0!</v>
      </c>
      <c r="BW15" s="205" t="e">
        <f>$BT15*(AL117-BW$25)/BW$26*初始化表!B$30</f>
        <v>#DIV/0!</v>
      </c>
      <c r="BX15" s="205" t="e">
        <f>$BT15*(AM117-BX$25)/BX$26*初始化表!B$33</f>
        <v>#DIV/0!</v>
      </c>
      <c r="BY15" s="205" t="e">
        <f>$BT15*(AN117-BY$25)/BY$26*初始化表!B$32</f>
        <v>#DIV/0!</v>
      </c>
      <c r="BZ15" s="205" t="e">
        <f>$BT15*(AP117-BZ$25)/BZ$26*初始化表!B$34</f>
        <v>#DIV/0!</v>
      </c>
      <c r="CA15" s="205" t="e">
        <f>$BT$5*(AW117-CA$25)/CA$26*初始化表!B$36</f>
        <v>#DIV/0!</v>
      </c>
      <c r="CB15" s="205" t="e">
        <f t="shared" si="4"/>
        <v>#DIV/0!</v>
      </c>
      <c r="CC15" s="201">
        <f t="shared" si="5"/>
        <v>0</v>
      </c>
      <c r="CD15" s="229" t="e">
        <f t="shared" si="6"/>
        <v>#DIV/0!</v>
      </c>
      <c r="CE15" s="229">
        <f t="shared" si="7"/>
        <v>0</v>
      </c>
      <c r="CF15" s="229">
        <f t="shared" si="8"/>
        <v>0</v>
      </c>
      <c r="CG15" s="226"/>
      <c r="CH15" s="226"/>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c r="DP15" s="228"/>
      <c r="DQ15" s="228"/>
    </row>
    <row r="16" s="61" customFormat="1" ht="16" customHeight="1" spans="1:121">
      <c r="A16" s="269" t="s">
        <v>298</v>
      </c>
      <c r="B16" s="269" t="s">
        <v>103</v>
      </c>
      <c r="C16" s="269" t="s">
        <v>299</v>
      </c>
      <c r="D16" s="269" t="s">
        <v>104</v>
      </c>
      <c r="E16" s="269" t="s">
        <v>300</v>
      </c>
      <c r="F16" s="269" t="s">
        <v>110</v>
      </c>
      <c r="G16" s="73"/>
      <c r="H16" s="269" t="s">
        <v>543</v>
      </c>
      <c r="I16" s="269" t="s">
        <v>544</v>
      </c>
      <c r="J16" s="269" t="s">
        <v>545</v>
      </c>
      <c r="K16" s="269" t="s">
        <v>546</v>
      </c>
      <c r="L16" s="269" t="s">
        <v>547</v>
      </c>
      <c r="M16" s="85"/>
      <c r="N16" s="269" t="s">
        <v>202</v>
      </c>
      <c r="O16" s="71" t="e">
        <f t="shared" si="34"/>
        <v>#DIV/0!</v>
      </c>
      <c r="P16" s="71" t="e">
        <f t="shared" si="34"/>
        <v>#DIV/0!</v>
      </c>
      <c r="Q16" s="71" t="e">
        <f t="shared" si="34"/>
        <v>#DIV/0!</v>
      </c>
      <c r="R16" s="71" t="e">
        <f t="shared" si="34"/>
        <v>#DIV/0!</v>
      </c>
      <c r="S16" s="126"/>
      <c r="T16" s="120"/>
      <c r="U16" s="269" t="s">
        <v>548</v>
      </c>
      <c r="V16" s="269" t="s">
        <v>513</v>
      </c>
      <c r="W16" s="269" t="s">
        <v>514</v>
      </c>
      <c r="X16" s="269" t="s">
        <v>515</v>
      </c>
      <c r="Y16" s="269" t="s">
        <v>516</v>
      </c>
      <c r="Z16" s="269" t="s">
        <v>549</v>
      </c>
      <c r="AA16" s="73"/>
      <c r="AB16" s="154" t="s">
        <v>550</v>
      </c>
      <c r="AC16" s="154" t="s">
        <v>513</v>
      </c>
      <c r="AD16" s="154" t="s">
        <v>514</v>
      </c>
      <c r="AE16" s="154" t="s">
        <v>515</v>
      </c>
      <c r="AF16" s="154" t="s">
        <v>516</v>
      </c>
      <c r="AG16" s="74"/>
      <c r="AH16" s="73"/>
      <c r="AI16" s="359"/>
      <c r="AJ16" s="359"/>
      <c r="AK16" s="360"/>
      <c r="AL16" s="360">
        <f>Y43</f>
        <v>0</v>
      </c>
      <c r="AM16" s="361"/>
      <c r="AN16" s="362"/>
      <c r="AO16" s="360"/>
      <c r="AP16" s="360"/>
      <c r="AQ16" s="369"/>
      <c r="AR16" s="103">
        <f>SUM(AL13:AL16)</f>
        <v>0</v>
      </c>
      <c r="AS16" s="103">
        <f t="shared" si="27"/>
        <v>0</v>
      </c>
      <c r="AT16" s="103">
        <f>SUMIF(AS13:AS16,"&gt;=0",AS13:AS16)</f>
        <v>0</v>
      </c>
      <c r="AU16" s="103">
        <f>SUM(AO13:AO16)</f>
        <v>0</v>
      </c>
      <c r="AV16" s="103">
        <f>SUM(AP13:AP16)</f>
        <v>0</v>
      </c>
      <c r="AW16" s="103">
        <f>SUM(AQ13:AQ16)</f>
        <v>0</v>
      </c>
      <c r="AZ16" s="193"/>
      <c r="BA16" s="196">
        <f t="shared" si="10"/>
        <v>0</v>
      </c>
      <c r="BB16" s="197">
        <f t="shared" si="11"/>
        <v>0</v>
      </c>
      <c r="BC16" s="197">
        <f t="shared" si="12"/>
        <v>0</v>
      </c>
      <c r="BD16" s="197">
        <f t="shared" si="13"/>
        <v>0</v>
      </c>
      <c r="BE16" s="197">
        <f t="shared" si="14"/>
        <v>0</v>
      </c>
      <c r="BF16" s="197">
        <f t="shared" si="15"/>
        <v>0</v>
      </c>
      <c r="BG16" s="197">
        <f t="shared" si="16"/>
        <v>0</v>
      </c>
      <c r="BH16" s="197">
        <f t="shared" si="17"/>
        <v>0</v>
      </c>
      <c r="BI16" s="197">
        <f t="shared" si="18"/>
        <v>0</v>
      </c>
      <c r="BJ16" s="197">
        <f t="shared" si="19"/>
        <v>0</v>
      </c>
      <c r="BK16" s="197">
        <f t="shared" si="20"/>
        <v>0</v>
      </c>
      <c r="BL16" s="197">
        <f t="shared" si="21"/>
        <v>0</v>
      </c>
      <c r="BM16" s="197">
        <f t="shared" si="22"/>
        <v>0</v>
      </c>
      <c r="BN16" s="197">
        <f t="shared" si="23"/>
        <v>0</v>
      </c>
      <c r="BO16" s="197">
        <f t="shared" si="24"/>
        <v>0</v>
      </c>
      <c r="BP16" s="197">
        <f t="shared" si="25"/>
        <v>0</v>
      </c>
      <c r="BQ16" s="197">
        <f t="shared" si="26"/>
        <v>0</v>
      </c>
      <c r="BR16" s="211"/>
      <c r="BS16" s="195">
        <f t="shared" si="0"/>
        <v>0</v>
      </c>
      <c r="BT16" s="201">
        <f t="shared" si="1"/>
        <v>0</v>
      </c>
      <c r="BU16" s="201">
        <f>第4期!AQ118*0.5</f>
        <v>0</v>
      </c>
      <c r="BV16" s="205" t="e">
        <f>AVERAGE(BT41:CI41)*初始化表!B$31</f>
        <v>#DIV/0!</v>
      </c>
      <c r="BW16" s="205" t="e">
        <f>$BT16*(AL118-BW$25)/BW$26*初始化表!B$30</f>
        <v>#DIV/0!</v>
      </c>
      <c r="BX16" s="205" t="e">
        <f>$BT16*(AM118-BX$25)/BX$26*初始化表!B$33</f>
        <v>#DIV/0!</v>
      </c>
      <c r="BY16" s="205" t="e">
        <f>$BT16*(AN118-BY$25)/BY$26*初始化表!B$32</f>
        <v>#DIV/0!</v>
      </c>
      <c r="BZ16" s="205" t="e">
        <f>$BT16*(AP118-BZ$25)/BZ$26*初始化表!B$34</f>
        <v>#DIV/0!</v>
      </c>
      <c r="CA16" s="205" t="e">
        <f>$BT$5*(AW118-CA$25)/CA$26*初始化表!B$36</f>
        <v>#DIV/0!</v>
      </c>
      <c r="CB16" s="205" t="e">
        <f t="shared" si="4"/>
        <v>#DIV/0!</v>
      </c>
      <c r="CC16" s="201">
        <f t="shared" si="5"/>
        <v>0</v>
      </c>
      <c r="CD16" s="229" t="e">
        <f t="shared" si="6"/>
        <v>#DIV/0!</v>
      </c>
      <c r="CE16" s="229">
        <f t="shared" si="7"/>
        <v>0</v>
      </c>
      <c r="CF16" s="229">
        <f t="shared" si="8"/>
        <v>0</v>
      </c>
      <c r="CG16" s="226"/>
      <c r="CH16" s="226"/>
      <c r="CI16" s="227"/>
      <c r="CJ16" s="228"/>
      <c r="CK16" s="227"/>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c r="DQ16" s="228"/>
    </row>
    <row r="17" s="61" customFormat="1" ht="16" customHeight="1" spans="1:121">
      <c r="A17" s="269" t="s">
        <v>521</v>
      </c>
      <c r="B17" s="71">
        <f>I25</f>
        <v>0</v>
      </c>
      <c r="C17" s="71">
        <f t="shared" ref="C17:E20" si="35">J25</f>
        <v>0</v>
      </c>
      <c r="D17" s="71">
        <f t="shared" si="35"/>
        <v>0</v>
      </c>
      <c r="E17" s="71">
        <f t="shared" si="35"/>
        <v>0</v>
      </c>
      <c r="F17" s="72">
        <f>J6</f>
        <v>0</v>
      </c>
      <c r="G17" s="73"/>
      <c r="H17" s="77">
        <f>第4期!F68</f>
        <v>0</v>
      </c>
      <c r="I17" s="77">
        <f>INT(0.5*H17)</f>
        <v>0</v>
      </c>
      <c r="J17" s="77">
        <f>IF(初始化表!B1=1,INT(3%*H17),INT(3%*H17+0.99))</f>
        <v>0</v>
      </c>
      <c r="K17" s="77">
        <f>INT(0.1*H17)</f>
        <v>0</v>
      </c>
      <c r="L17" s="77">
        <f>H17+B22-C22</f>
        <v>0</v>
      </c>
      <c r="M17" s="85"/>
      <c r="N17" s="269" t="s">
        <v>206</v>
      </c>
      <c r="O17" s="71" t="e">
        <f t="shared" ref="O17:R18" si="36">INT((1+O12+IF(V44&gt;V19,(V19-V44)/V19/20,(V19-V44)/V19/8))*V25)</f>
        <v>#DIV/0!</v>
      </c>
      <c r="P17" s="71" t="e">
        <f t="shared" si="36"/>
        <v>#DIV/0!</v>
      </c>
      <c r="Q17" s="71" t="e">
        <f t="shared" si="36"/>
        <v>#DIV/0!</v>
      </c>
      <c r="R17" s="71" t="e">
        <f t="shared" si="36"/>
        <v>#DIV/0!</v>
      </c>
      <c r="S17" s="126"/>
      <c r="T17" s="120"/>
      <c r="U17" s="269" t="s">
        <v>521</v>
      </c>
      <c r="V17" s="115">
        <f>第4期!AL9</f>
        <v>0</v>
      </c>
      <c r="W17" s="115">
        <f>第4期!AL10</f>
        <v>0</v>
      </c>
      <c r="X17" s="115">
        <f>第4期!AL11</f>
        <v>0</v>
      </c>
      <c r="Y17" s="115">
        <f>第4期!AL12</f>
        <v>0</v>
      </c>
      <c r="Z17" s="398">
        <f>SUM(V17:Y17)</f>
        <v>0</v>
      </c>
      <c r="AA17" s="73"/>
      <c r="AB17" s="154" t="s">
        <v>198</v>
      </c>
      <c r="AC17" s="156" t="e">
        <f>AC11/初始化表!$E$18</f>
        <v>#DIV/0!</v>
      </c>
      <c r="AD17" s="156" t="e">
        <f>AD11/初始化表!$E$18</f>
        <v>#DIV/0!</v>
      </c>
      <c r="AE17" s="156" t="e">
        <f>AE11/初始化表!$E$18</f>
        <v>#DIV/0!</v>
      </c>
      <c r="AF17" s="156" t="e">
        <f>AF11/初始化表!$E$18</f>
        <v>#DIV/0!</v>
      </c>
      <c r="AG17" s="74"/>
      <c r="AH17" s="73"/>
      <c r="AI17" s="359"/>
      <c r="AJ17" s="359"/>
      <c r="AK17" s="360"/>
      <c r="AL17" s="360">
        <f>V44</f>
        <v>0</v>
      </c>
      <c r="AM17" s="361"/>
      <c r="AN17" s="362"/>
      <c r="AO17" s="360"/>
      <c r="AP17" s="360"/>
      <c r="AQ17" s="369"/>
      <c r="AR17" s="103"/>
      <c r="AS17" s="103">
        <f t="shared" si="27"/>
        <v>0</v>
      </c>
      <c r="AT17" s="103"/>
      <c r="AU17" s="103"/>
      <c r="AV17" s="103"/>
      <c r="AW17" s="103"/>
      <c r="AZ17" s="193"/>
      <c r="BA17" s="196">
        <f t="shared" si="10"/>
        <v>0</v>
      </c>
      <c r="BB17" s="197">
        <f t="shared" si="11"/>
        <v>0</v>
      </c>
      <c r="BC17" s="197">
        <f t="shared" si="12"/>
        <v>0</v>
      </c>
      <c r="BD17" s="197">
        <f t="shared" si="13"/>
        <v>0</v>
      </c>
      <c r="BE17" s="197">
        <f t="shared" si="14"/>
        <v>0</v>
      </c>
      <c r="BF17" s="197">
        <f t="shared" si="15"/>
        <v>0</v>
      </c>
      <c r="BG17" s="197">
        <f t="shared" si="16"/>
        <v>0</v>
      </c>
      <c r="BH17" s="197">
        <f t="shared" si="17"/>
        <v>0</v>
      </c>
      <c r="BI17" s="197">
        <f t="shared" si="18"/>
        <v>0</v>
      </c>
      <c r="BJ17" s="197">
        <f t="shared" si="19"/>
        <v>0</v>
      </c>
      <c r="BK17" s="197">
        <f t="shared" si="20"/>
        <v>0</v>
      </c>
      <c r="BL17" s="197">
        <f t="shared" si="21"/>
        <v>0</v>
      </c>
      <c r="BM17" s="197">
        <f t="shared" si="22"/>
        <v>0</v>
      </c>
      <c r="BN17" s="197">
        <f t="shared" si="23"/>
        <v>0</v>
      </c>
      <c r="BO17" s="197">
        <f t="shared" si="24"/>
        <v>0</v>
      </c>
      <c r="BP17" s="197">
        <f t="shared" si="25"/>
        <v>0</v>
      </c>
      <c r="BQ17" s="197">
        <f t="shared" si="26"/>
        <v>0</v>
      </c>
      <c r="BR17" s="211"/>
      <c r="BS17" s="195">
        <f t="shared" si="0"/>
        <v>0</v>
      </c>
      <c r="BT17" s="201">
        <f t="shared" si="1"/>
        <v>0</v>
      </c>
      <c r="BU17" s="201">
        <f>第4期!AQ119*0.5</f>
        <v>0</v>
      </c>
      <c r="BV17" s="205" t="e">
        <f>AVERAGE(BT42:CI42)*初始化表!B$31</f>
        <v>#DIV/0!</v>
      </c>
      <c r="BW17" s="205" t="e">
        <f>$BT17*(AL119-BW$25)/BW$26*初始化表!B$30</f>
        <v>#DIV/0!</v>
      </c>
      <c r="BX17" s="205" t="e">
        <f>$BT17*(AM119-BX$25)/BX$26*初始化表!B$33</f>
        <v>#DIV/0!</v>
      </c>
      <c r="BY17" s="205" t="e">
        <f>$BT17*(AN119-BY$25)/BY$26*初始化表!B$32</f>
        <v>#DIV/0!</v>
      </c>
      <c r="BZ17" s="205" t="e">
        <f>$BT17*(AP119-BZ$25)/BZ$26*初始化表!B$34</f>
        <v>#DIV/0!</v>
      </c>
      <c r="CA17" s="205" t="e">
        <f>$BT$5*(AW119-CA$25)/CA$26*初始化表!B$36</f>
        <v>#DIV/0!</v>
      </c>
      <c r="CB17" s="205" t="e">
        <f t="shared" si="4"/>
        <v>#DIV/0!</v>
      </c>
      <c r="CC17" s="201">
        <f t="shared" si="5"/>
        <v>0</v>
      </c>
      <c r="CD17" s="229" t="e">
        <f t="shared" si="6"/>
        <v>#DIV/0!</v>
      </c>
      <c r="CE17" s="229">
        <f t="shared" si="7"/>
        <v>0</v>
      </c>
      <c r="CF17" s="229">
        <f t="shared" si="8"/>
        <v>0</v>
      </c>
      <c r="CG17" s="226"/>
      <c r="CH17" s="226"/>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c r="DP17" s="228"/>
      <c r="DQ17" s="228"/>
    </row>
    <row r="18" s="61" customFormat="1" ht="16" customHeight="1" spans="1:121">
      <c r="A18" s="269" t="s">
        <v>522</v>
      </c>
      <c r="B18" s="71">
        <f t="shared" ref="B18:B20" si="37">I26</f>
        <v>0</v>
      </c>
      <c r="C18" s="71">
        <f t="shared" si="35"/>
        <v>0</v>
      </c>
      <c r="D18" s="71">
        <f t="shared" si="35"/>
        <v>0</v>
      </c>
      <c r="E18" s="71">
        <f t="shared" si="35"/>
        <v>0</v>
      </c>
      <c r="F18" s="72">
        <f t="shared" ref="F18:F20" si="38">J7</f>
        <v>0</v>
      </c>
      <c r="G18" s="73"/>
      <c r="H18" s="269" t="s">
        <v>551</v>
      </c>
      <c r="I18" s="277"/>
      <c r="J18" s="269" t="s">
        <v>552</v>
      </c>
      <c r="K18" s="90"/>
      <c r="L18" s="74"/>
      <c r="M18" s="85"/>
      <c r="N18" s="269" t="s">
        <v>208</v>
      </c>
      <c r="O18" s="71" t="e">
        <f t="shared" si="36"/>
        <v>#DIV/0!</v>
      </c>
      <c r="P18" s="71" t="e">
        <f t="shared" si="36"/>
        <v>#DIV/0!</v>
      </c>
      <c r="Q18" s="71" t="e">
        <f t="shared" si="36"/>
        <v>#DIV/0!</v>
      </c>
      <c r="R18" s="71" t="e">
        <f t="shared" si="36"/>
        <v>#DIV/0!</v>
      </c>
      <c r="S18" s="126"/>
      <c r="T18" s="127" t="s">
        <v>716</v>
      </c>
      <c r="U18" s="269" t="s">
        <v>522</v>
      </c>
      <c r="V18" s="115">
        <f>第4期!AL13</f>
        <v>0</v>
      </c>
      <c r="W18" s="115">
        <f>第4期!AL14</f>
        <v>0</v>
      </c>
      <c r="X18" s="115">
        <f>第4期!AL15</f>
        <v>0</v>
      </c>
      <c r="Y18" s="115">
        <f>第4期!AL16</f>
        <v>0</v>
      </c>
      <c r="Z18" s="398">
        <f>SUM(V18:Y18)</f>
        <v>0</v>
      </c>
      <c r="AA18" s="73"/>
      <c r="AB18" s="154" t="s">
        <v>202</v>
      </c>
      <c r="AC18" s="156" t="e">
        <f>AC12/初始化表!$F$18</f>
        <v>#DIV/0!</v>
      </c>
      <c r="AD18" s="156" t="e">
        <f>AD12/初始化表!$F$18</f>
        <v>#DIV/0!</v>
      </c>
      <c r="AE18" s="156" t="e">
        <f>AE12/初始化表!$F$18</f>
        <v>#DIV/0!</v>
      </c>
      <c r="AF18" s="156" t="e">
        <f>AF12/初始化表!$F$18</f>
        <v>#DIV/0!</v>
      </c>
      <c r="AG18" s="74"/>
      <c r="AH18" s="73"/>
      <c r="AI18" s="359"/>
      <c r="AJ18" s="359"/>
      <c r="AK18" s="360"/>
      <c r="AL18" s="360">
        <f>W44</f>
        <v>0</v>
      </c>
      <c r="AM18" s="361"/>
      <c r="AN18" s="362"/>
      <c r="AO18" s="360"/>
      <c r="AP18" s="360"/>
      <c r="AQ18" s="369"/>
      <c r="AR18" s="103"/>
      <c r="AS18" s="103">
        <f t="shared" si="27"/>
        <v>0</v>
      </c>
      <c r="AT18" s="103"/>
      <c r="AU18" s="103"/>
      <c r="AV18" s="103"/>
      <c r="AW18" s="103"/>
      <c r="AZ18" s="193"/>
      <c r="BA18" s="196">
        <f t="shared" si="10"/>
        <v>0</v>
      </c>
      <c r="BB18" s="197">
        <f t="shared" si="11"/>
        <v>0</v>
      </c>
      <c r="BC18" s="197">
        <f t="shared" si="12"/>
        <v>0</v>
      </c>
      <c r="BD18" s="197">
        <f t="shared" si="13"/>
        <v>0</v>
      </c>
      <c r="BE18" s="197">
        <f t="shared" si="14"/>
        <v>0</v>
      </c>
      <c r="BF18" s="197">
        <f t="shared" si="15"/>
        <v>0</v>
      </c>
      <c r="BG18" s="197">
        <f t="shared" si="16"/>
        <v>0</v>
      </c>
      <c r="BH18" s="197">
        <f t="shared" si="17"/>
        <v>0</v>
      </c>
      <c r="BI18" s="197">
        <f t="shared" si="18"/>
        <v>0</v>
      </c>
      <c r="BJ18" s="197">
        <f t="shared" si="19"/>
        <v>0</v>
      </c>
      <c r="BK18" s="197">
        <f t="shared" si="20"/>
        <v>0</v>
      </c>
      <c r="BL18" s="197">
        <f t="shared" si="21"/>
        <v>0</v>
      </c>
      <c r="BM18" s="197">
        <f t="shared" si="22"/>
        <v>0</v>
      </c>
      <c r="BN18" s="197">
        <f t="shared" si="23"/>
        <v>0</v>
      </c>
      <c r="BO18" s="197">
        <f t="shared" si="24"/>
        <v>0</v>
      </c>
      <c r="BP18" s="197">
        <f t="shared" si="25"/>
        <v>0</v>
      </c>
      <c r="BQ18" s="197">
        <f t="shared" si="26"/>
        <v>0</v>
      </c>
      <c r="BR18" s="211"/>
      <c r="BS18" s="195">
        <f t="shared" si="0"/>
        <v>0</v>
      </c>
      <c r="BT18" s="201">
        <f t="shared" si="1"/>
        <v>0</v>
      </c>
      <c r="BU18" s="201">
        <f>第4期!AQ120*0.5</f>
        <v>0</v>
      </c>
      <c r="BV18" s="205" t="e">
        <f>AVERAGE(BT43:CI43)*初始化表!B$31</f>
        <v>#DIV/0!</v>
      </c>
      <c r="BW18" s="205" t="e">
        <f>$BT18*(AL120-BW$25)/BW$26*初始化表!B$30</f>
        <v>#DIV/0!</v>
      </c>
      <c r="BX18" s="205" t="e">
        <f>$BT18*(AM120-BX$25)/BX$26*初始化表!B$33</f>
        <v>#DIV/0!</v>
      </c>
      <c r="BY18" s="205" t="e">
        <f>$BT18*(AN120-BY$25)/BY$26*初始化表!B$32</f>
        <v>#DIV/0!</v>
      </c>
      <c r="BZ18" s="205" t="e">
        <f>$BT18*(AP120-BZ$25)/BZ$26*初始化表!B$34</f>
        <v>#DIV/0!</v>
      </c>
      <c r="CA18" s="205" t="e">
        <f>$BT$5*(AW120-CA$25)/CA$26*初始化表!B$36</f>
        <v>#DIV/0!</v>
      </c>
      <c r="CB18" s="205" t="e">
        <f t="shared" si="4"/>
        <v>#DIV/0!</v>
      </c>
      <c r="CC18" s="201">
        <f t="shared" si="5"/>
        <v>0</v>
      </c>
      <c r="CD18" s="229" t="e">
        <f t="shared" si="6"/>
        <v>#DIV/0!</v>
      </c>
      <c r="CE18" s="229">
        <f t="shared" si="7"/>
        <v>0</v>
      </c>
      <c r="CF18" s="229">
        <f t="shared" si="8"/>
        <v>0</v>
      </c>
      <c r="CG18" s="226"/>
      <c r="CH18" s="226"/>
      <c r="CI18" s="227"/>
      <c r="CJ18" s="228"/>
      <c r="CK18" s="227"/>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c r="DP18" s="228"/>
      <c r="DQ18" s="228"/>
    </row>
    <row r="19" s="61" customFormat="1" ht="16" customHeight="1" spans="1:121">
      <c r="A19" s="269" t="s">
        <v>523</v>
      </c>
      <c r="B19" s="71">
        <f t="shared" si="37"/>
        <v>0</v>
      </c>
      <c r="C19" s="71">
        <f t="shared" si="35"/>
        <v>0</v>
      </c>
      <c r="D19" s="71">
        <f t="shared" si="35"/>
        <v>0</v>
      </c>
      <c r="E19" s="71">
        <f t="shared" si="35"/>
        <v>0</v>
      </c>
      <c r="F19" s="72">
        <f t="shared" si="38"/>
        <v>0</v>
      </c>
      <c r="G19" s="73"/>
      <c r="H19" s="270"/>
      <c r="I19" s="269" t="s">
        <v>554</v>
      </c>
      <c r="J19" s="269" t="s">
        <v>555</v>
      </c>
      <c r="K19" s="269" t="s">
        <v>556</v>
      </c>
      <c r="L19" s="91"/>
      <c r="M19" s="85"/>
      <c r="N19" s="269" t="s">
        <v>557</v>
      </c>
      <c r="O19" s="269" t="s">
        <v>513</v>
      </c>
      <c r="P19" s="269" t="s">
        <v>514</v>
      </c>
      <c r="Q19" s="269" t="s">
        <v>515</v>
      </c>
      <c r="R19" s="269" t="s">
        <v>516</v>
      </c>
      <c r="S19" s="121"/>
      <c r="T19" s="127"/>
      <c r="U19" s="269" t="s">
        <v>523</v>
      </c>
      <c r="V19" s="115">
        <f>第4期!AL17</f>
        <v>0</v>
      </c>
      <c r="W19" s="115">
        <f>第4期!AL18</f>
        <v>0</v>
      </c>
      <c r="X19" s="115">
        <f>第4期!AL19</f>
        <v>0</v>
      </c>
      <c r="Y19" s="115">
        <f>第4期!AL20</f>
        <v>0</v>
      </c>
      <c r="Z19" s="398">
        <f>SUM(V19:Y19)</f>
        <v>0</v>
      </c>
      <c r="AA19" s="73"/>
      <c r="AB19" s="154" t="s">
        <v>206</v>
      </c>
      <c r="AC19" s="156" t="e">
        <f>AC13/初始化表!$G$18</f>
        <v>#DIV/0!</v>
      </c>
      <c r="AD19" s="156" t="e">
        <f>AD13/初始化表!$G$18</f>
        <v>#DIV/0!</v>
      </c>
      <c r="AE19" s="156" t="e">
        <f>AE13/初始化表!$G$18</f>
        <v>#DIV/0!</v>
      </c>
      <c r="AF19" s="156" t="e">
        <f>AF13/初始化表!$G$18</f>
        <v>#DIV/0!</v>
      </c>
      <c r="AG19" s="74"/>
      <c r="AH19" s="73"/>
      <c r="AI19" s="359"/>
      <c r="AJ19" s="359"/>
      <c r="AK19" s="360"/>
      <c r="AL19" s="360">
        <f>X44</f>
        <v>0</v>
      </c>
      <c r="AM19" s="361"/>
      <c r="AN19" s="362"/>
      <c r="AO19" s="360"/>
      <c r="AP19" s="360"/>
      <c r="AQ19" s="369"/>
      <c r="AR19" s="103"/>
      <c r="AS19" s="103">
        <f t="shared" si="27"/>
        <v>0</v>
      </c>
      <c r="AT19" s="103"/>
      <c r="AU19" s="103"/>
      <c r="AV19" s="103"/>
      <c r="AW19" s="103"/>
      <c r="AZ19" s="193"/>
      <c r="BA19" s="196">
        <f t="shared" si="10"/>
        <v>0</v>
      </c>
      <c r="BB19" s="197">
        <f t="shared" si="11"/>
        <v>0</v>
      </c>
      <c r="BC19" s="197">
        <f t="shared" si="12"/>
        <v>0</v>
      </c>
      <c r="BD19" s="197">
        <f t="shared" si="13"/>
        <v>0</v>
      </c>
      <c r="BE19" s="197">
        <f t="shared" si="14"/>
        <v>0</v>
      </c>
      <c r="BF19" s="197">
        <f t="shared" si="15"/>
        <v>0</v>
      </c>
      <c r="BG19" s="197">
        <f t="shared" si="16"/>
        <v>0</v>
      </c>
      <c r="BH19" s="197">
        <f t="shared" si="17"/>
        <v>0</v>
      </c>
      <c r="BI19" s="197">
        <f t="shared" si="18"/>
        <v>0</v>
      </c>
      <c r="BJ19" s="197">
        <f t="shared" si="19"/>
        <v>0</v>
      </c>
      <c r="BK19" s="197">
        <f t="shared" si="20"/>
        <v>0</v>
      </c>
      <c r="BL19" s="197">
        <f t="shared" si="21"/>
        <v>0</v>
      </c>
      <c r="BM19" s="197">
        <f t="shared" si="22"/>
        <v>0</v>
      </c>
      <c r="BN19" s="197">
        <f t="shared" si="23"/>
        <v>0</v>
      </c>
      <c r="BO19" s="197">
        <f t="shared" si="24"/>
        <v>0</v>
      </c>
      <c r="BP19" s="197">
        <f t="shared" si="25"/>
        <v>0</v>
      </c>
      <c r="BQ19" s="197">
        <f t="shared" si="26"/>
        <v>0</v>
      </c>
      <c r="BR19" s="211"/>
      <c r="BS19" s="195">
        <f t="shared" si="0"/>
        <v>0</v>
      </c>
      <c r="BT19" s="201">
        <f t="shared" si="1"/>
        <v>0</v>
      </c>
      <c r="BU19" s="201">
        <f>第4期!AQ121*0.5</f>
        <v>0</v>
      </c>
      <c r="BV19" s="205" t="e">
        <f>AVERAGE(BT44:CI44)*初始化表!B$31</f>
        <v>#DIV/0!</v>
      </c>
      <c r="BW19" s="205" t="e">
        <f>$BT19*(AL121-BW$25)/BW$26*初始化表!B$30</f>
        <v>#DIV/0!</v>
      </c>
      <c r="BX19" s="205" t="e">
        <f>$BT19*(AM121-BX$25)/BX$26*初始化表!B$33</f>
        <v>#DIV/0!</v>
      </c>
      <c r="BY19" s="205" t="e">
        <f>$BT19*(AN121-BY$25)/BY$26*初始化表!B$32</f>
        <v>#DIV/0!</v>
      </c>
      <c r="BZ19" s="205" t="e">
        <f>$BT19*(AP121-BZ$25)/BZ$26*初始化表!B$34</f>
        <v>#DIV/0!</v>
      </c>
      <c r="CA19" s="205" t="e">
        <f>$BT$5*(AW121-CA$25)/CA$26*初始化表!B$36</f>
        <v>#DIV/0!</v>
      </c>
      <c r="CB19" s="205" t="e">
        <f t="shared" si="4"/>
        <v>#DIV/0!</v>
      </c>
      <c r="CC19" s="201">
        <f t="shared" si="5"/>
        <v>0</v>
      </c>
      <c r="CD19" s="229" t="e">
        <f t="shared" si="6"/>
        <v>#DIV/0!</v>
      </c>
      <c r="CE19" s="229">
        <f t="shared" si="7"/>
        <v>0</v>
      </c>
      <c r="CF19" s="229">
        <f t="shared" si="8"/>
        <v>0</v>
      </c>
      <c r="CG19" s="226"/>
      <c r="CH19" s="226"/>
      <c r="CI19" s="228"/>
      <c r="CJ19" s="228"/>
      <c r="CK19" s="228"/>
      <c r="CL19" s="228"/>
      <c r="CM19" s="228"/>
      <c r="CN19" s="228"/>
      <c r="CO19" s="228"/>
      <c r="CP19" s="228"/>
      <c r="CQ19" s="228"/>
      <c r="CR19" s="228"/>
      <c r="CS19" s="228"/>
      <c r="CT19" s="228"/>
      <c r="CU19" s="228"/>
      <c r="CV19" s="228"/>
      <c r="CW19" s="228"/>
      <c r="CX19" s="228"/>
      <c r="CY19" s="228"/>
      <c r="CZ19" s="228"/>
      <c r="DA19" s="228"/>
      <c r="DB19" s="228"/>
      <c r="DC19" s="228"/>
      <c r="DD19" s="228"/>
      <c r="DE19" s="228"/>
      <c r="DF19" s="228"/>
      <c r="DG19" s="228"/>
      <c r="DH19" s="228"/>
      <c r="DI19" s="228"/>
      <c r="DJ19" s="228"/>
      <c r="DK19" s="228"/>
      <c r="DL19" s="228"/>
      <c r="DM19" s="228"/>
      <c r="DN19" s="228"/>
      <c r="DO19" s="228"/>
      <c r="DP19" s="228"/>
      <c r="DQ19" s="228"/>
    </row>
    <row r="20" s="61" customFormat="1" ht="16" customHeight="1" spans="1:121">
      <c r="A20" s="269" t="s">
        <v>524</v>
      </c>
      <c r="B20" s="71">
        <f t="shared" si="37"/>
        <v>0</v>
      </c>
      <c r="C20" s="71">
        <f t="shared" si="35"/>
        <v>0</v>
      </c>
      <c r="D20" s="71">
        <f t="shared" si="35"/>
        <v>0</v>
      </c>
      <c r="E20" s="71">
        <f t="shared" si="35"/>
        <v>0</v>
      </c>
      <c r="F20" s="72">
        <f t="shared" si="38"/>
        <v>0</v>
      </c>
      <c r="G20" s="73"/>
      <c r="H20" s="269" t="s">
        <v>558</v>
      </c>
      <c r="I20" s="92" t="e">
        <f>(H17-K18)/N49</f>
        <v>#DIV/0!</v>
      </c>
      <c r="J20" s="92" t="e">
        <f>(H17-K18+I17/4)/N49</f>
        <v>#DIV/0!</v>
      </c>
      <c r="K20" s="92" t="e">
        <f>(H17-K18+I18/4)/N49</f>
        <v>#DIV/0!</v>
      </c>
      <c r="L20" s="91"/>
      <c r="M20" s="85"/>
      <c r="N20" s="269" t="s">
        <v>198</v>
      </c>
      <c r="O20" s="93" t="e">
        <f>O15</f>
        <v>#DIV/0!</v>
      </c>
      <c r="P20" s="93" t="e">
        <f t="shared" ref="P20:R20" si="39">P15</f>
        <v>#DIV/0!</v>
      </c>
      <c r="Q20" s="93" t="e">
        <f t="shared" si="39"/>
        <v>#DIV/0!</v>
      </c>
      <c r="R20" s="93" t="e">
        <f t="shared" si="39"/>
        <v>#DIV/0!</v>
      </c>
      <c r="S20" s="128"/>
      <c r="T20" s="395" t="e">
        <f>MAX(AC23,AD23,AE23,AF23)-MIN(AC23,AD23,AE23,AF23)</f>
        <v>#DIV/0!</v>
      </c>
      <c r="U20" s="269" t="s">
        <v>524</v>
      </c>
      <c r="V20" s="115">
        <f>第4期!AL21</f>
        <v>0</v>
      </c>
      <c r="W20" s="115">
        <f>第4期!AL22</f>
        <v>0</v>
      </c>
      <c r="X20" s="115">
        <f>第4期!AL23</f>
        <v>0</v>
      </c>
      <c r="Y20" s="115">
        <f>第4期!AL24</f>
        <v>0</v>
      </c>
      <c r="Z20" s="398">
        <f>SUM(V20:Y20)</f>
        <v>0</v>
      </c>
      <c r="AA20" s="73"/>
      <c r="AB20" s="154" t="s">
        <v>208</v>
      </c>
      <c r="AC20" s="156" t="e">
        <f>AC14/初始化表!$H$18</f>
        <v>#DIV/0!</v>
      </c>
      <c r="AD20" s="156" t="e">
        <f>AD14/初始化表!$H$18</f>
        <v>#DIV/0!</v>
      </c>
      <c r="AE20" s="156" t="e">
        <f>AE14/初始化表!$H$18</f>
        <v>#DIV/0!</v>
      </c>
      <c r="AF20" s="156" t="e">
        <f>AF14/初始化表!$H$18</f>
        <v>#DIV/0!</v>
      </c>
      <c r="AG20" s="74"/>
      <c r="AH20" s="73"/>
      <c r="AI20" s="359"/>
      <c r="AJ20" s="359"/>
      <c r="AK20" s="360"/>
      <c r="AL20" s="360">
        <f>Y44</f>
        <v>0</v>
      </c>
      <c r="AM20" s="361"/>
      <c r="AN20" s="362"/>
      <c r="AO20" s="360"/>
      <c r="AP20" s="360"/>
      <c r="AQ20" s="369"/>
      <c r="AR20" s="103">
        <f>SUM(AL17:AL20)</f>
        <v>0</v>
      </c>
      <c r="AS20" s="103">
        <f t="shared" si="27"/>
        <v>0</v>
      </c>
      <c r="AT20" s="103">
        <f>SUMIF(AS17:AS20,"&gt;=0",AS17:AS20)</f>
        <v>0</v>
      </c>
      <c r="AU20" s="103">
        <f>SUM(AO17:AO20)</f>
        <v>0</v>
      </c>
      <c r="AV20" s="103">
        <f>SUM(AP17:AP20)</f>
        <v>0</v>
      </c>
      <c r="AW20" s="103">
        <f>SUM(AQ17:AQ20)</f>
        <v>0</v>
      </c>
      <c r="AZ20" s="193"/>
      <c r="BA20" s="196">
        <f t="shared" si="10"/>
        <v>0</v>
      </c>
      <c r="BB20" s="197">
        <f t="shared" si="11"/>
        <v>0</v>
      </c>
      <c r="BC20" s="197">
        <f t="shared" si="12"/>
        <v>0</v>
      </c>
      <c r="BD20" s="197">
        <f t="shared" si="13"/>
        <v>0</v>
      </c>
      <c r="BE20" s="197">
        <f t="shared" si="14"/>
        <v>0</v>
      </c>
      <c r="BF20" s="197">
        <f t="shared" si="15"/>
        <v>0</v>
      </c>
      <c r="BG20" s="197">
        <f t="shared" si="16"/>
        <v>0</v>
      </c>
      <c r="BH20" s="197">
        <f t="shared" si="17"/>
        <v>0</v>
      </c>
      <c r="BI20" s="197">
        <f t="shared" si="18"/>
        <v>0</v>
      </c>
      <c r="BJ20" s="197">
        <f t="shared" si="19"/>
        <v>0</v>
      </c>
      <c r="BK20" s="197">
        <f t="shared" si="20"/>
        <v>0</v>
      </c>
      <c r="BL20" s="197">
        <f t="shared" si="21"/>
        <v>0</v>
      </c>
      <c r="BM20" s="197">
        <f t="shared" si="22"/>
        <v>0</v>
      </c>
      <c r="BN20" s="197">
        <f t="shared" si="23"/>
        <v>0</v>
      </c>
      <c r="BO20" s="197">
        <f t="shared" si="24"/>
        <v>0</v>
      </c>
      <c r="BP20" s="197">
        <f t="shared" si="25"/>
        <v>0</v>
      </c>
      <c r="BQ20" s="197">
        <f t="shared" si="26"/>
        <v>0</v>
      </c>
      <c r="BR20" s="211"/>
      <c r="BS20" s="195">
        <f t="shared" si="0"/>
        <v>0</v>
      </c>
      <c r="BT20" s="201">
        <f t="shared" si="1"/>
        <v>0</v>
      </c>
      <c r="BU20" s="201">
        <f>第4期!AQ122*0.5</f>
        <v>0</v>
      </c>
      <c r="BV20" s="205" t="e">
        <f>AVERAGE(BT45:CI45)*初始化表!B$31</f>
        <v>#DIV/0!</v>
      </c>
      <c r="BW20" s="205" t="e">
        <f>$BT20*(AL122-BW$25)/BW$26*初始化表!B$30</f>
        <v>#DIV/0!</v>
      </c>
      <c r="BX20" s="205" t="e">
        <f>$BT20*(AM122-BX$25)/BX$26*初始化表!B$33</f>
        <v>#DIV/0!</v>
      </c>
      <c r="BY20" s="205" t="e">
        <f>$BT20*(AN122-BY$25)/BY$26*初始化表!B$32</f>
        <v>#DIV/0!</v>
      </c>
      <c r="BZ20" s="205" t="e">
        <f>$BT20*(AP122-BZ$25)/BZ$26*初始化表!B$34</f>
        <v>#DIV/0!</v>
      </c>
      <c r="CA20" s="205" t="e">
        <f>$BT$5*(AW122-CA$25)/CA$26*初始化表!B$36</f>
        <v>#DIV/0!</v>
      </c>
      <c r="CB20" s="205" t="e">
        <f t="shared" si="4"/>
        <v>#DIV/0!</v>
      </c>
      <c r="CC20" s="201">
        <f t="shared" si="5"/>
        <v>0</v>
      </c>
      <c r="CD20" s="229" t="e">
        <f t="shared" si="6"/>
        <v>#DIV/0!</v>
      </c>
      <c r="CE20" s="229">
        <f t="shared" si="7"/>
        <v>0</v>
      </c>
      <c r="CF20" s="229">
        <f t="shared" si="8"/>
        <v>0</v>
      </c>
      <c r="CG20" s="226"/>
      <c r="CH20" s="226"/>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c r="DP20" s="228"/>
      <c r="DQ20" s="228"/>
    </row>
    <row r="21" s="61" customFormat="1" ht="16" customHeight="1" spans="1:121">
      <c r="A21" s="269" t="s">
        <v>303</v>
      </c>
      <c r="B21" s="269" t="s">
        <v>304</v>
      </c>
      <c r="C21" s="269" t="s">
        <v>305</v>
      </c>
      <c r="D21" s="269" t="s">
        <v>306</v>
      </c>
      <c r="E21" s="269" t="s">
        <v>307</v>
      </c>
      <c r="F21" s="270"/>
      <c r="G21" s="73"/>
      <c r="H21" s="269" t="s">
        <v>559</v>
      </c>
      <c r="I21" s="92" t="e">
        <f>(L17-ROUND(L17*0.03,0))/O49</f>
        <v>#DIV/0!</v>
      </c>
      <c r="J21" s="92" t="e">
        <f>(L17-ROUND(L17*0.03,0)+ROUNDDOWN(L17/2,0)/4)/O49</f>
        <v>#DIV/0!</v>
      </c>
      <c r="K21" s="269" t="s">
        <v>235</v>
      </c>
      <c r="L21" s="94" t="e">
        <f>初始化表!I20</f>
        <v>#DIV/0!</v>
      </c>
      <c r="M21" s="85"/>
      <c r="N21" s="269" t="s">
        <v>202</v>
      </c>
      <c r="O21" s="93" t="e">
        <f t="shared" ref="O21:R23" si="40">O16</f>
        <v>#DIV/0!</v>
      </c>
      <c r="P21" s="93" t="e">
        <f t="shared" si="40"/>
        <v>#DIV/0!</v>
      </c>
      <c r="Q21" s="93" t="e">
        <f t="shared" si="40"/>
        <v>#DIV/0!</v>
      </c>
      <c r="R21" s="93" t="e">
        <f t="shared" si="40"/>
        <v>#DIV/0!</v>
      </c>
      <c r="S21" s="128"/>
      <c r="T21" s="395" t="e">
        <f t="shared" ref="T21:T23" si="41">MAX(AC24,AD24,AE24,AF24)-MIN(AC24,AD24,AE24,AF24)</f>
        <v>#DIV/0!</v>
      </c>
      <c r="U21" s="396"/>
      <c r="V21" s="90"/>
      <c r="W21" s="90"/>
      <c r="X21" s="90"/>
      <c r="Y21" s="90"/>
      <c r="Z21" s="90"/>
      <c r="AA21" s="73"/>
      <c r="AB21" s="399"/>
      <c r="AC21" s="399"/>
      <c r="AD21" s="399"/>
      <c r="AE21" s="399"/>
      <c r="AF21" s="399"/>
      <c r="AG21" s="155"/>
      <c r="AH21" s="73"/>
      <c r="AI21" s="359"/>
      <c r="AJ21" s="359"/>
      <c r="AK21" s="360"/>
      <c r="AL21" s="360">
        <f>V45</f>
        <v>0</v>
      </c>
      <c r="AM21" s="361"/>
      <c r="AN21" s="362"/>
      <c r="AO21" s="360"/>
      <c r="AP21" s="360"/>
      <c r="AQ21" s="369"/>
      <c r="AR21" s="103"/>
      <c r="AS21" s="103">
        <f t="shared" si="27"/>
        <v>0</v>
      </c>
      <c r="AT21" s="103"/>
      <c r="AU21" s="103"/>
      <c r="AV21" s="103"/>
      <c r="AW21" s="103"/>
      <c r="AZ21" s="193"/>
      <c r="BA21" s="196">
        <f t="shared" si="10"/>
        <v>0</v>
      </c>
      <c r="BB21" s="197">
        <f t="shared" si="11"/>
        <v>0</v>
      </c>
      <c r="BC21" s="197">
        <f t="shared" si="12"/>
        <v>0</v>
      </c>
      <c r="BD21" s="197">
        <f t="shared" si="13"/>
        <v>0</v>
      </c>
      <c r="BE21" s="197">
        <f t="shared" si="14"/>
        <v>0</v>
      </c>
      <c r="BF21" s="197">
        <f t="shared" si="15"/>
        <v>0</v>
      </c>
      <c r="BG21" s="197">
        <f t="shared" si="16"/>
        <v>0</v>
      </c>
      <c r="BH21" s="197">
        <f t="shared" si="17"/>
        <v>0</v>
      </c>
      <c r="BI21" s="197">
        <f t="shared" si="18"/>
        <v>0</v>
      </c>
      <c r="BJ21" s="197">
        <f t="shared" si="19"/>
        <v>0</v>
      </c>
      <c r="BK21" s="197">
        <f t="shared" si="20"/>
        <v>0</v>
      </c>
      <c r="BL21" s="197">
        <f t="shared" si="21"/>
        <v>0</v>
      </c>
      <c r="BM21" s="197">
        <f t="shared" si="22"/>
        <v>0</v>
      </c>
      <c r="BN21" s="197">
        <f t="shared" si="23"/>
        <v>0</v>
      </c>
      <c r="BO21" s="197">
        <f t="shared" si="24"/>
        <v>0</v>
      </c>
      <c r="BP21" s="197">
        <f t="shared" si="25"/>
        <v>0</v>
      </c>
      <c r="BQ21" s="197">
        <f t="shared" si="26"/>
        <v>0</v>
      </c>
      <c r="BR21" s="211"/>
      <c r="BS21" s="195">
        <f t="shared" si="0"/>
        <v>0</v>
      </c>
      <c r="BT21" s="201">
        <f t="shared" si="1"/>
        <v>0</v>
      </c>
      <c r="BU21" s="201">
        <f>第4期!AQ123*0.5</f>
        <v>0</v>
      </c>
      <c r="BV21" s="205" t="e">
        <f>AVERAGE(BT46:CI46)*初始化表!B$31</f>
        <v>#DIV/0!</v>
      </c>
      <c r="BW21" s="205" t="e">
        <f>$BT21*(AL123-BW$25)/BW$26*初始化表!B$30</f>
        <v>#DIV/0!</v>
      </c>
      <c r="BX21" s="205" t="e">
        <f>$BT21*(AM123-BX$25)/BX$26*初始化表!B$33</f>
        <v>#DIV/0!</v>
      </c>
      <c r="BY21" s="205" t="e">
        <f>$BT21*(AN123-BY$25)/BY$26*初始化表!B$32</f>
        <v>#DIV/0!</v>
      </c>
      <c r="BZ21" s="205" t="e">
        <f>$BT21*(AP123-BZ$25)/BZ$26*初始化表!B$34</f>
        <v>#DIV/0!</v>
      </c>
      <c r="CA21" s="205" t="e">
        <f>$BT$5*(AW123-CA$25)/CA$26*初始化表!B$36</f>
        <v>#DIV/0!</v>
      </c>
      <c r="CB21" s="205" t="e">
        <f t="shared" si="4"/>
        <v>#DIV/0!</v>
      </c>
      <c r="CC21" s="201">
        <f t="shared" si="5"/>
        <v>0</v>
      </c>
      <c r="CD21" s="229" t="e">
        <f t="shared" si="6"/>
        <v>#DIV/0!</v>
      </c>
      <c r="CE21" s="229">
        <f t="shared" si="7"/>
        <v>0</v>
      </c>
      <c r="CF21" s="229">
        <f t="shared" si="8"/>
        <v>0</v>
      </c>
      <c r="CG21" s="226"/>
      <c r="CH21" s="226"/>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c r="DP21" s="228"/>
      <c r="DQ21" s="228"/>
    </row>
    <row r="22" s="61" customFormat="1" ht="16" customHeight="1" spans="1:121">
      <c r="A22" s="270"/>
      <c r="B22" s="77">
        <f>I18</f>
        <v>0</v>
      </c>
      <c r="C22" s="77">
        <f>K18</f>
        <v>0</v>
      </c>
      <c r="D22" s="72">
        <f>R49</f>
        <v>0</v>
      </c>
      <c r="E22" s="72">
        <f>K43</f>
        <v>0</v>
      </c>
      <c r="F22" s="270"/>
      <c r="G22" s="73"/>
      <c r="H22" s="269" t="s">
        <v>560</v>
      </c>
      <c r="I22" s="95" t="e">
        <f>(M25*初始化表!B4+SUM(V5:Z5)-SUM(V11:Y11)-Z17)/Z17</f>
        <v>#DIV/0!</v>
      </c>
      <c r="J22" s="95" t="e">
        <f>(M26*初始化表!B4+SUM(V6:Z6)-SUM(V12:Y12)-Z18)/Z18</f>
        <v>#DIV/0!</v>
      </c>
      <c r="K22" s="95" t="e">
        <f>(M27*初始化表!B4+SUM(V7:Z7)-SUM(V13:Y13)-Z19)/Z19</f>
        <v>#DIV/0!</v>
      </c>
      <c r="L22" s="95" t="e">
        <f>(M28*初始化表!B4+SUM(V8:Z8)-SUM(V14:Y14)-Z20)/Z20</f>
        <v>#DIV/0!</v>
      </c>
      <c r="M22" s="85"/>
      <c r="N22" s="269" t="s">
        <v>206</v>
      </c>
      <c r="O22" s="93" t="e">
        <f t="shared" si="40"/>
        <v>#DIV/0!</v>
      </c>
      <c r="P22" s="93" t="e">
        <f t="shared" si="40"/>
        <v>#DIV/0!</v>
      </c>
      <c r="Q22" s="93" t="e">
        <f t="shared" si="40"/>
        <v>#DIV/0!</v>
      </c>
      <c r="R22" s="93" t="e">
        <f t="shared" si="40"/>
        <v>#DIV/0!</v>
      </c>
      <c r="S22" s="128"/>
      <c r="T22" s="395" t="e">
        <f t="shared" si="41"/>
        <v>#DIV/0!</v>
      </c>
      <c r="U22" s="269" t="s">
        <v>561</v>
      </c>
      <c r="V22" s="269" t="s">
        <v>513</v>
      </c>
      <c r="W22" s="269" t="s">
        <v>514</v>
      </c>
      <c r="X22" s="269" t="s">
        <v>515</v>
      </c>
      <c r="Y22" s="269" t="s">
        <v>516</v>
      </c>
      <c r="Z22" s="269" t="s">
        <v>276</v>
      </c>
      <c r="AA22" s="73"/>
      <c r="AB22" s="154" t="s">
        <v>562</v>
      </c>
      <c r="AC22" s="154" t="s">
        <v>752</v>
      </c>
      <c r="AD22" s="154" t="s">
        <v>753</v>
      </c>
      <c r="AE22" s="154" t="s">
        <v>754</v>
      </c>
      <c r="AF22" s="154" t="s">
        <v>755</v>
      </c>
      <c r="AG22" s="74"/>
      <c r="AH22" s="73"/>
      <c r="AI22" s="359"/>
      <c r="AJ22" s="359"/>
      <c r="AK22" s="360"/>
      <c r="AL22" s="360">
        <f>W45</f>
        <v>0</v>
      </c>
      <c r="AM22" s="361"/>
      <c r="AN22" s="362"/>
      <c r="AO22" s="360"/>
      <c r="AP22" s="360"/>
      <c r="AQ22" s="369"/>
      <c r="AR22" s="103"/>
      <c r="AS22" s="103">
        <f t="shared" si="27"/>
        <v>0</v>
      </c>
      <c r="AT22" s="103"/>
      <c r="AU22" s="103"/>
      <c r="AV22" s="103"/>
      <c r="AW22" s="103"/>
      <c r="AZ22" s="193"/>
      <c r="BA22" s="196">
        <f t="shared" si="10"/>
        <v>0</v>
      </c>
      <c r="BB22" s="197">
        <f t="shared" si="11"/>
        <v>0</v>
      </c>
      <c r="BC22" s="197">
        <f t="shared" si="12"/>
        <v>0</v>
      </c>
      <c r="BD22" s="197">
        <f t="shared" si="13"/>
        <v>0</v>
      </c>
      <c r="BE22" s="197">
        <f t="shared" si="14"/>
        <v>0</v>
      </c>
      <c r="BF22" s="197">
        <f t="shared" si="15"/>
        <v>0</v>
      </c>
      <c r="BG22" s="197">
        <f t="shared" si="16"/>
        <v>0</v>
      </c>
      <c r="BH22" s="197">
        <f t="shared" si="17"/>
        <v>0</v>
      </c>
      <c r="BI22" s="197">
        <f t="shared" si="18"/>
        <v>0</v>
      </c>
      <c r="BJ22" s="197">
        <f t="shared" si="19"/>
        <v>0</v>
      </c>
      <c r="BK22" s="197">
        <f t="shared" si="20"/>
        <v>0</v>
      </c>
      <c r="BL22" s="197">
        <f t="shared" si="21"/>
        <v>0</v>
      </c>
      <c r="BM22" s="197">
        <f t="shared" si="22"/>
        <v>0</v>
      </c>
      <c r="BN22" s="197">
        <f t="shared" si="23"/>
        <v>0</v>
      </c>
      <c r="BO22" s="197">
        <f t="shared" si="24"/>
        <v>0</v>
      </c>
      <c r="BP22" s="197">
        <f t="shared" si="25"/>
        <v>0</v>
      </c>
      <c r="BQ22" s="197">
        <f t="shared" si="26"/>
        <v>0</v>
      </c>
      <c r="BR22" s="211"/>
      <c r="BS22" s="195">
        <f t="shared" si="0"/>
        <v>0</v>
      </c>
      <c r="BT22" s="201">
        <f t="shared" si="1"/>
        <v>0</v>
      </c>
      <c r="BU22" s="201">
        <f>第4期!AQ124*0.5</f>
        <v>0</v>
      </c>
      <c r="BV22" s="205" t="e">
        <f>AVERAGE(BT47:CI47)*初始化表!B$31</f>
        <v>#DIV/0!</v>
      </c>
      <c r="BW22" s="205" t="e">
        <f>$BT22*(AL124-BW$25)/BW$26*初始化表!B$30</f>
        <v>#DIV/0!</v>
      </c>
      <c r="BX22" s="205" t="e">
        <f>$BT22*(AM124-BX$25)/BX$26*初始化表!B$33</f>
        <v>#DIV/0!</v>
      </c>
      <c r="BY22" s="205" t="e">
        <f>$BT22*(AN124-BY$25)/BY$26*初始化表!B$32</f>
        <v>#DIV/0!</v>
      </c>
      <c r="BZ22" s="205" t="e">
        <f>$BT22*(AP124-BZ$25)/BZ$26*初始化表!B$34</f>
        <v>#DIV/0!</v>
      </c>
      <c r="CA22" s="205" t="e">
        <f>$BT$5*(AW124-CA$25)/CA$26*初始化表!B$36</f>
        <v>#DIV/0!</v>
      </c>
      <c r="CB22" s="205" t="e">
        <f t="shared" si="4"/>
        <v>#DIV/0!</v>
      </c>
      <c r="CC22" s="201">
        <f t="shared" si="5"/>
        <v>0</v>
      </c>
      <c r="CD22" s="229" t="e">
        <f t="shared" si="6"/>
        <v>#DIV/0!</v>
      </c>
      <c r="CE22" s="229">
        <f t="shared" si="7"/>
        <v>0</v>
      </c>
      <c r="CF22" s="229">
        <f t="shared" si="8"/>
        <v>0</v>
      </c>
      <c r="CG22" s="226"/>
      <c r="CH22" s="226"/>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c r="DP22" s="228"/>
      <c r="DQ22" s="228"/>
    </row>
    <row r="23" s="61" customFormat="1" ht="16" customHeight="1" spans="1:121">
      <c r="A23" s="269" t="s">
        <v>308</v>
      </c>
      <c r="B23" s="269" t="s">
        <v>309</v>
      </c>
      <c r="C23" s="269" t="s">
        <v>310</v>
      </c>
      <c r="D23" s="269" t="s">
        <v>311</v>
      </c>
      <c r="E23" s="269" t="s">
        <v>312</v>
      </c>
      <c r="F23" s="269" t="s">
        <v>313</v>
      </c>
      <c r="G23" s="73"/>
      <c r="H23" s="269" t="s">
        <v>298</v>
      </c>
      <c r="I23" s="270"/>
      <c r="J23" s="270"/>
      <c r="K23" s="270"/>
      <c r="L23" s="270"/>
      <c r="M23" s="289" t="s">
        <v>563</v>
      </c>
      <c r="N23" s="269" t="s">
        <v>208</v>
      </c>
      <c r="O23" s="93" t="e">
        <f t="shared" si="40"/>
        <v>#DIV/0!</v>
      </c>
      <c r="P23" s="93" t="e">
        <f t="shared" si="40"/>
        <v>#DIV/0!</v>
      </c>
      <c r="Q23" s="93" t="e">
        <f t="shared" si="40"/>
        <v>#DIV/0!</v>
      </c>
      <c r="R23" s="93" t="e">
        <f t="shared" si="40"/>
        <v>#DIV/0!</v>
      </c>
      <c r="S23" s="128"/>
      <c r="T23" s="395" t="e">
        <f t="shared" si="41"/>
        <v>#DIV/0!</v>
      </c>
      <c r="U23" s="269" t="s">
        <v>521</v>
      </c>
      <c r="V23" s="115" t="e">
        <f>第4期!B6</f>
        <v>#DIV/0!</v>
      </c>
      <c r="W23" s="115" t="e">
        <f>第4期!C6</f>
        <v>#DIV/0!</v>
      </c>
      <c r="X23" s="115" t="e">
        <f>第4期!D6</f>
        <v>#DIV/0!</v>
      </c>
      <c r="Y23" s="115" t="e">
        <f>第4期!E6</f>
        <v>#DIV/0!</v>
      </c>
      <c r="Z23" s="102" t="e">
        <f>第4期!F6</f>
        <v>#DIV/0!</v>
      </c>
      <c r="AA23" s="73"/>
      <c r="AB23" s="151" t="s">
        <v>464</v>
      </c>
      <c r="AC23" s="157" t="e">
        <f>AC11/初始化表!$E$17</f>
        <v>#DIV/0!</v>
      </c>
      <c r="AD23" s="157" t="e">
        <f>AD11/初始化表!$E$17</f>
        <v>#DIV/0!</v>
      </c>
      <c r="AE23" s="157" t="e">
        <f>AE11/初始化表!$E$17</f>
        <v>#DIV/0!</v>
      </c>
      <c r="AF23" s="157" t="e">
        <f>AF11/初始化表!$E$17</f>
        <v>#DIV/0!</v>
      </c>
      <c r="AG23" s="74"/>
      <c r="AH23" s="73"/>
      <c r="AI23" s="359"/>
      <c r="AJ23" s="359"/>
      <c r="AK23" s="360"/>
      <c r="AL23" s="403">
        <f>X45</f>
        <v>0</v>
      </c>
      <c r="AM23" s="361"/>
      <c r="AN23" s="362"/>
      <c r="AO23" s="360"/>
      <c r="AP23" s="360"/>
      <c r="AQ23" s="369"/>
      <c r="AR23" s="103"/>
      <c r="AS23" s="103">
        <f t="shared" si="27"/>
        <v>0</v>
      </c>
      <c r="AT23" s="103"/>
      <c r="AU23" s="103"/>
      <c r="AV23" s="103"/>
      <c r="AW23" s="103"/>
      <c r="AZ23" s="193"/>
      <c r="BA23" s="196">
        <f t="shared" si="10"/>
        <v>0</v>
      </c>
      <c r="BB23" s="197">
        <f t="shared" si="11"/>
        <v>0</v>
      </c>
      <c r="BC23" s="197">
        <f t="shared" si="12"/>
        <v>0</v>
      </c>
      <c r="BD23" s="197">
        <f t="shared" si="13"/>
        <v>0</v>
      </c>
      <c r="BE23" s="197">
        <f t="shared" si="14"/>
        <v>0</v>
      </c>
      <c r="BF23" s="197">
        <f t="shared" si="15"/>
        <v>0</v>
      </c>
      <c r="BG23" s="197">
        <f t="shared" si="16"/>
        <v>0</v>
      </c>
      <c r="BH23" s="197">
        <f t="shared" si="17"/>
        <v>0</v>
      </c>
      <c r="BI23" s="197">
        <f t="shared" si="18"/>
        <v>0</v>
      </c>
      <c r="BJ23" s="197">
        <f t="shared" si="19"/>
        <v>0</v>
      </c>
      <c r="BK23" s="197">
        <f t="shared" si="20"/>
        <v>0</v>
      </c>
      <c r="BL23" s="197">
        <f t="shared" si="21"/>
        <v>0</v>
      </c>
      <c r="BM23" s="197">
        <f t="shared" si="22"/>
        <v>0</v>
      </c>
      <c r="BN23" s="197">
        <f t="shared" si="23"/>
        <v>0</v>
      </c>
      <c r="BO23" s="197">
        <f t="shared" si="24"/>
        <v>0</v>
      </c>
      <c r="BP23" s="197">
        <f t="shared" si="25"/>
        <v>0</v>
      </c>
      <c r="BQ23" s="197">
        <f t="shared" si="26"/>
        <v>0</v>
      </c>
      <c r="BR23" s="211"/>
      <c r="BS23" s="195">
        <f t="shared" si="0"/>
        <v>0</v>
      </c>
      <c r="BT23" s="201">
        <f t="shared" si="1"/>
        <v>0</v>
      </c>
      <c r="BU23" s="201">
        <f>第4期!AQ125*0.5</f>
        <v>0</v>
      </c>
      <c r="BV23" s="205" t="e">
        <f>AVERAGE(BT48:CI48)*初始化表!B$31</f>
        <v>#DIV/0!</v>
      </c>
      <c r="BW23" s="205" t="e">
        <f>$BT23*(AL125-BW$25)/BW$26*初始化表!B$30</f>
        <v>#DIV/0!</v>
      </c>
      <c r="BX23" s="205" t="e">
        <f>$BT23*(AM125-BX$25)/BX$26*初始化表!B$33</f>
        <v>#DIV/0!</v>
      </c>
      <c r="BY23" s="205" t="e">
        <f>$BT23*(AN125-BY$25)/BY$26*初始化表!B$32</f>
        <v>#DIV/0!</v>
      </c>
      <c r="BZ23" s="205" t="e">
        <f>$BT23*(AP125-BZ$25)/BZ$26*初始化表!B$34</f>
        <v>#DIV/0!</v>
      </c>
      <c r="CA23" s="205" t="e">
        <f>$BT$5*(AW125-CA$25)/CA$26*初始化表!B$36</f>
        <v>#DIV/0!</v>
      </c>
      <c r="CB23" s="205" t="e">
        <f t="shared" si="4"/>
        <v>#DIV/0!</v>
      </c>
      <c r="CC23" s="201">
        <f t="shared" si="5"/>
        <v>0</v>
      </c>
      <c r="CD23" s="229" t="e">
        <f t="shared" si="6"/>
        <v>#DIV/0!</v>
      </c>
      <c r="CE23" s="229">
        <f t="shared" si="7"/>
        <v>0</v>
      </c>
      <c r="CF23" s="229">
        <f t="shared" si="8"/>
        <v>0</v>
      </c>
      <c r="CG23" s="226"/>
      <c r="CH23" s="226"/>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c r="DP23" s="228"/>
      <c r="DQ23" s="228"/>
    </row>
    <row r="24" s="61" customFormat="1" ht="16" customHeight="1" spans="1:121">
      <c r="A24" s="270"/>
      <c r="B24" s="72">
        <f>Q33</f>
        <v>0</v>
      </c>
      <c r="C24" s="72">
        <f>R35</f>
        <v>0</v>
      </c>
      <c r="D24" s="72">
        <f>O37</f>
        <v>0</v>
      </c>
      <c r="E24" s="72" t="e">
        <f>-C63</f>
        <v>#DIV/0!</v>
      </c>
      <c r="F24" s="77">
        <f>R45</f>
        <v>1</v>
      </c>
      <c r="G24" s="73"/>
      <c r="H24" s="270"/>
      <c r="I24" s="269" t="s">
        <v>103</v>
      </c>
      <c r="J24" s="269" t="s">
        <v>299</v>
      </c>
      <c r="K24" s="269" t="s">
        <v>104</v>
      </c>
      <c r="L24" s="269" t="s">
        <v>300</v>
      </c>
      <c r="M24" s="289"/>
      <c r="N24" s="269" t="s">
        <v>564</v>
      </c>
      <c r="O24" s="269" t="s">
        <v>565</v>
      </c>
      <c r="P24" s="269" t="s">
        <v>566</v>
      </c>
      <c r="Q24" s="269" t="s">
        <v>567</v>
      </c>
      <c r="R24" s="269" t="s">
        <v>568</v>
      </c>
      <c r="S24" s="121"/>
      <c r="T24" s="120"/>
      <c r="U24" s="269" t="s">
        <v>522</v>
      </c>
      <c r="V24" s="115" t="e">
        <f>第4期!B7</f>
        <v>#DIV/0!</v>
      </c>
      <c r="W24" s="115" t="e">
        <f>第4期!C7</f>
        <v>#DIV/0!</v>
      </c>
      <c r="X24" s="115" t="e">
        <f>第4期!D7</f>
        <v>#DIV/0!</v>
      </c>
      <c r="Y24" s="115" t="e">
        <f>第4期!E7</f>
        <v>#DIV/0!</v>
      </c>
      <c r="Z24" s="102" t="e">
        <f>第4期!F7</f>
        <v>#DIV/0!</v>
      </c>
      <c r="AA24" s="73"/>
      <c r="AB24" s="151" t="s">
        <v>465</v>
      </c>
      <c r="AC24" s="157" t="e">
        <f>AC12/初始化表!$F$17</f>
        <v>#DIV/0!</v>
      </c>
      <c r="AD24" s="157" t="e">
        <f>AD12/初始化表!$F$17</f>
        <v>#DIV/0!</v>
      </c>
      <c r="AE24" s="157" t="e">
        <f>AE12/初始化表!$F$17</f>
        <v>#DIV/0!</v>
      </c>
      <c r="AF24" s="157" t="e">
        <f>AF12/初始化表!$F$17</f>
        <v>#DIV/0!</v>
      </c>
      <c r="AG24" s="74"/>
      <c r="AH24" s="73"/>
      <c r="AI24" s="359"/>
      <c r="AJ24" s="359"/>
      <c r="AK24" s="360"/>
      <c r="AL24" s="360">
        <f>Y45</f>
        <v>0</v>
      </c>
      <c r="AM24" s="361"/>
      <c r="AN24" s="362"/>
      <c r="AO24" s="360"/>
      <c r="AP24" s="360"/>
      <c r="AQ24" s="369"/>
      <c r="AR24" s="103">
        <f>SUM(AL21:AL24)</f>
        <v>0</v>
      </c>
      <c r="AS24" s="103">
        <f t="shared" si="27"/>
        <v>0</v>
      </c>
      <c r="AT24" s="103">
        <f>SUMIF(AS21:AS24,"&gt;=0",AS21:AS24)</f>
        <v>0</v>
      </c>
      <c r="AU24" s="103">
        <f>SUM(AO21:AO24)</f>
        <v>0</v>
      </c>
      <c r="AV24" s="103">
        <f>SUM(AP21:AP24)</f>
        <v>0</v>
      </c>
      <c r="AW24" s="103">
        <f>SUM(AQ21:AQ24)</f>
        <v>0</v>
      </c>
      <c r="AZ24" s="193"/>
      <c r="BA24" s="196">
        <f t="shared" si="10"/>
        <v>0</v>
      </c>
      <c r="BB24" s="197">
        <f t="shared" si="11"/>
        <v>0</v>
      </c>
      <c r="BC24" s="197">
        <f t="shared" si="12"/>
        <v>0</v>
      </c>
      <c r="BD24" s="197">
        <f t="shared" si="13"/>
        <v>0</v>
      </c>
      <c r="BE24" s="197">
        <f t="shared" si="14"/>
        <v>0</v>
      </c>
      <c r="BF24" s="197">
        <f t="shared" si="15"/>
        <v>0</v>
      </c>
      <c r="BG24" s="197">
        <f t="shared" si="16"/>
        <v>0</v>
      </c>
      <c r="BH24" s="197">
        <f t="shared" si="17"/>
        <v>0</v>
      </c>
      <c r="BI24" s="197">
        <f t="shared" si="18"/>
        <v>0</v>
      </c>
      <c r="BJ24" s="197">
        <f t="shared" si="19"/>
        <v>0</v>
      </c>
      <c r="BK24" s="197">
        <f t="shared" si="20"/>
        <v>0</v>
      </c>
      <c r="BL24" s="197">
        <f t="shared" si="21"/>
        <v>0</v>
      </c>
      <c r="BM24" s="197">
        <f t="shared" si="22"/>
        <v>0</v>
      </c>
      <c r="BN24" s="197">
        <f t="shared" si="23"/>
        <v>0</v>
      </c>
      <c r="BO24" s="197">
        <f t="shared" si="24"/>
        <v>0</v>
      </c>
      <c r="BP24" s="197">
        <f t="shared" si="25"/>
        <v>0</v>
      </c>
      <c r="BQ24" s="197">
        <f t="shared" si="26"/>
        <v>0</v>
      </c>
      <c r="BR24" s="211"/>
      <c r="BS24" s="195">
        <f t="shared" si="0"/>
        <v>0</v>
      </c>
      <c r="BT24" s="201">
        <f t="shared" si="1"/>
        <v>0</v>
      </c>
      <c r="BU24" s="201">
        <f>第4期!AQ126*0.5</f>
        <v>0</v>
      </c>
      <c r="BV24" s="205" t="e">
        <f>AVERAGE(BT49:CI49)*初始化表!B$31</f>
        <v>#DIV/0!</v>
      </c>
      <c r="BW24" s="205" t="e">
        <f>$BT24*(AL126-BW$25)/BW$26*初始化表!B$30</f>
        <v>#DIV/0!</v>
      </c>
      <c r="BX24" s="205" t="e">
        <f>$BT24*(AM126-BX$25)/BX$26*初始化表!B$33</f>
        <v>#DIV/0!</v>
      </c>
      <c r="BY24" s="205" t="e">
        <f>$BT24*(AN126-BY$25)/BY$26*初始化表!B$32</f>
        <v>#DIV/0!</v>
      </c>
      <c r="BZ24" s="205" t="e">
        <f>$BT24*(AP126-BZ$25)/BZ$26*初始化表!B$34</f>
        <v>#DIV/0!</v>
      </c>
      <c r="CA24" s="205" t="e">
        <f>$BT$5*(AW126-CA$25)/CA$26*初始化表!B$36</f>
        <v>#DIV/0!</v>
      </c>
      <c r="CB24" s="205" t="e">
        <f t="shared" si="4"/>
        <v>#DIV/0!</v>
      </c>
      <c r="CC24" s="201">
        <f t="shared" si="5"/>
        <v>0</v>
      </c>
      <c r="CD24" s="229" t="e">
        <f t="shared" si="6"/>
        <v>#DIV/0!</v>
      </c>
      <c r="CE24" s="229">
        <f t="shared" si="7"/>
        <v>0</v>
      </c>
      <c r="CF24" s="229">
        <f t="shared" si="8"/>
        <v>0</v>
      </c>
      <c r="CG24" s="226"/>
      <c r="CH24" s="226"/>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c r="DP24" s="228"/>
      <c r="DQ24" s="228"/>
    </row>
    <row r="25" s="61" customFormat="1" ht="16" customHeight="1" spans="1:121">
      <c r="A25" s="90"/>
      <c r="B25" s="90"/>
      <c r="C25" s="90"/>
      <c r="D25" s="90"/>
      <c r="E25" s="90"/>
      <c r="F25" s="90"/>
      <c r="G25" s="73"/>
      <c r="H25" s="269" t="s">
        <v>521</v>
      </c>
      <c r="I25" s="280"/>
      <c r="J25" s="97"/>
      <c r="K25" s="97"/>
      <c r="L25" s="97"/>
      <c r="M25" s="98">
        <f>I25+J25+K25+L25</f>
        <v>0</v>
      </c>
      <c r="N25" s="269" t="s">
        <v>276</v>
      </c>
      <c r="O25" s="83" t="e">
        <f>INT(SUMPRODUCT(V42:Y42,B6:E6)*O6/1000+0.5)*1000</f>
        <v>#DIV/0!</v>
      </c>
      <c r="P25" s="83" t="e">
        <f>INT(SUMPRODUCT(V43:Y43,B7:E7)*P6/1000+0.5)*1000</f>
        <v>#DIV/0!</v>
      </c>
      <c r="Q25" s="83" t="e">
        <f>INT(SUMPRODUCT(V44:Y44,B8:E8)*Q6/1000+0.5)*1000</f>
        <v>#DIV/0!</v>
      </c>
      <c r="R25" s="83" t="e">
        <f>INT(SUMPRODUCT(V45:Y45,B9:E9)*R6/1000+0.5)*1000</f>
        <v>#DIV/0!</v>
      </c>
      <c r="S25" s="131"/>
      <c r="T25" s="120"/>
      <c r="U25" s="269" t="s">
        <v>523</v>
      </c>
      <c r="V25" s="115" t="e">
        <f>第4期!B8</f>
        <v>#DIV/0!</v>
      </c>
      <c r="W25" s="115" t="e">
        <f>第4期!C8</f>
        <v>#DIV/0!</v>
      </c>
      <c r="X25" s="115" t="e">
        <f>第4期!D8</f>
        <v>#DIV/0!</v>
      </c>
      <c r="Y25" s="115" t="e">
        <f>第4期!E8</f>
        <v>#DIV/0!</v>
      </c>
      <c r="Z25" s="102" t="e">
        <f>第4期!F8</f>
        <v>#DIV/0!</v>
      </c>
      <c r="AA25" s="73"/>
      <c r="AB25" s="151" t="s">
        <v>466</v>
      </c>
      <c r="AC25" s="157" t="e">
        <f>AC13/初始化表!$G$17</f>
        <v>#DIV/0!</v>
      </c>
      <c r="AD25" s="157" t="e">
        <f>AD13/初始化表!$G$17</f>
        <v>#DIV/0!</v>
      </c>
      <c r="AE25" s="157" t="e">
        <f>AE13/初始化表!$G$17</f>
        <v>#DIV/0!</v>
      </c>
      <c r="AF25" s="157" t="e">
        <f>AF13/初始化表!$G$17</f>
        <v>#DIV/0!</v>
      </c>
      <c r="AG25" s="74"/>
      <c r="AH25" s="73"/>
      <c r="AI25" s="363"/>
      <c r="AJ25" s="363"/>
      <c r="AK25" s="363"/>
      <c r="AL25" s="363"/>
      <c r="AM25" s="363"/>
      <c r="AN25" s="363"/>
      <c r="AO25" s="370"/>
      <c r="AP25" s="370"/>
      <c r="AQ25" s="371"/>
      <c r="AR25" s="103"/>
      <c r="AS25" s="103"/>
      <c r="AT25" s="103"/>
      <c r="AU25" s="189">
        <f>(AU12*初始化表!E17+AU16*初始化表!F17+AU20*初始化表!G17+AU24*初始化表!H17)/1300</f>
        <v>0</v>
      </c>
      <c r="AV25" s="189">
        <f>(AV12*初始化表!E17+AV16*初始化表!F17+AV20*初始化表!G17+AV24*初始化表!H17)/1300</f>
        <v>0</v>
      </c>
      <c r="AW25" s="189">
        <f>(AW12*初始化表!E17+AW16*初始化表!F17+AW20*初始化表!G17+AW24*初始化表!H17)/1300</f>
        <v>0</v>
      </c>
      <c r="AZ25" s="193"/>
      <c r="BA25" s="196">
        <f t="shared" si="10"/>
        <v>0</v>
      </c>
      <c r="BB25" s="197">
        <f t="shared" si="11"/>
        <v>0</v>
      </c>
      <c r="BC25" s="197">
        <f t="shared" si="12"/>
        <v>0</v>
      </c>
      <c r="BD25" s="197">
        <f t="shared" si="13"/>
        <v>0</v>
      </c>
      <c r="BE25" s="197">
        <f t="shared" si="14"/>
        <v>0</v>
      </c>
      <c r="BF25" s="197">
        <f t="shared" si="15"/>
        <v>0</v>
      </c>
      <c r="BG25" s="197">
        <f t="shared" si="16"/>
        <v>0</v>
      </c>
      <c r="BH25" s="197">
        <f t="shared" si="17"/>
        <v>0</v>
      </c>
      <c r="BI25" s="197">
        <f t="shared" si="18"/>
        <v>0</v>
      </c>
      <c r="BJ25" s="197">
        <f t="shared" si="19"/>
        <v>0</v>
      </c>
      <c r="BK25" s="197">
        <f t="shared" si="20"/>
        <v>0</v>
      </c>
      <c r="BL25" s="197">
        <f t="shared" si="21"/>
        <v>0</v>
      </c>
      <c r="BM25" s="197">
        <f t="shared" si="22"/>
        <v>0</v>
      </c>
      <c r="BN25" s="197">
        <f t="shared" si="23"/>
        <v>0</v>
      </c>
      <c r="BO25" s="197">
        <f t="shared" si="24"/>
        <v>0</v>
      </c>
      <c r="BP25" s="197">
        <f t="shared" si="25"/>
        <v>0</v>
      </c>
      <c r="BQ25" s="197">
        <f t="shared" si="26"/>
        <v>0</v>
      </c>
      <c r="BR25" s="211"/>
      <c r="BS25" s="194" t="s">
        <v>569</v>
      </c>
      <c r="BT25" s="208"/>
      <c r="BU25" s="208"/>
      <c r="BV25" s="208"/>
      <c r="BW25" s="201" t="e">
        <f>SUM(AL107:AL126)/初始化表!$B5</f>
        <v>#DIV/0!</v>
      </c>
      <c r="BX25" s="201" t="e">
        <f>SUM(AM107:AM126)/初始化表!$B5</f>
        <v>#DIV/0!</v>
      </c>
      <c r="BY25" s="201" t="e">
        <f>SUM(AN107:AN126)/初始化表!$B5</f>
        <v>#DIV/0!</v>
      </c>
      <c r="BZ25" s="201" t="e">
        <f>SUM(AP107:AP126)/初始化表!$B5</f>
        <v>#DIV/0!</v>
      </c>
      <c r="CA25" s="201" t="e">
        <f>SUM(AW107:AW126)/初始化表!$B5</f>
        <v>#DIV/0!</v>
      </c>
      <c r="CB25" s="208"/>
      <c r="CC25" s="208"/>
      <c r="CD25" s="208"/>
      <c r="CE25" s="208"/>
      <c r="CF25" s="208"/>
      <c r="CG25" s="203"/>
      <c r="CH25" s="203"/>
      <c r="CI25" s="203"/>
      <c r="CJ25" s="226"/>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row>
    <row r="26" s="61" customFormat="1" ht="16" customHeight="1" spans="1:121">
      <c r="A26" s="269" t="s">
        <v>422</v>
      </c>
      <c r="B26" s="270"/>
      <c r="C26" s="270"/>
      <c r="D26" s="270"/>
      <c r="E26" s="270"/>
      <c r="F26" s="270"/>
      <c r="G26" s="73"/>
      <c r="H26" s="269" t="s">
        <v>522</v>
      </c>
      <c r="I26" s="280"/>
      <c r="J26" s="97"/>
      <c r="K26" s="97"/>
      <c r="L26" s="97"/>
      <c r="M26" s="98">
        <f t="shared" ref="M26:M28" si="42">I26+J26+K26+L26</f>
        <v>0</v>
      </c>
      <c r="N26" s="269" t="s">
        <v>280</v>
      </c>
      <c r="O26" s="83" t="e">
        <f>INT(SUMPRODUCT(V42:V45,B6:B9)*O8/1000+0.5)*1000</f>
        <v>#DIV/0!</v>
      </c>
      <c r="P26" s="83" t="e">
        <f>INT(SUMPRODUCT(W42:W45,C6:C9)*P8/1000+0.5)*1000</f>
        <v>#DIV/0!</v>
      </c>
      <c r="Q26" s="83" t="e">
        <f>INT(SUMPRODUCT(X42:X45,D6:D9)*Q8/1000+0.5)*1000</f>
        <v>#DIV/0!</v>
      </c>
      <c r="R26" s="83" t="e">
        <f>INT(SUMPRODUCT(Y42:Y45,E6:E9)*R8/1000+0.5)*1000</f>
        <v>#DIV/0!</v>
      </c>
      <c r="S26" s="131"/>
      <c r="T26" s="120"/>
      <c r="U26" s="269" t="s">
        <v>524</v>
      </c>
      <c r="V26" s="115" t="e">
        <f>第4期!B9</f>
        <v>#DIV/0!</v>
      </c>
      <c r="W26" s="115" t="e">
        <f>第4期!C9</f>
        <v>#DIV/0!</v>
      </c>
      <c r="X26" s="115" t="e">
        <f>第4期!D9</f>
        <v>#DIV/0!</v>
      </c>
      <c r="Y26" s="115" t="e">
        <f>第4期!E9</f>
        <v>#DIV/0!</v>
      </c>
      <c r="Z26" s="102" t="e">
        <f>第4期!F9</f>
        <v>#DIV/0!</v>
      </c>
      <c r="AA26" s="73"/>
      <c r="AB26" s="151" t="s">
        <v>468</v>
      </c>
      <c r="AC26" s="157" t="e">
        <f>AC14/初始化表!$H$17</f>
        <v>#DIV/0!</v>
      </c>
      <c r="AD26" s="157" t="e">
        <f>AD14/初始化表!$H$17</f>
        <v>#DIV/0!</v>
      </c>
      <c r="AE26" s="157" t="e">
        <f>AE14/初始化表!$H$17</f>
        <v>#DIV/0!</v>
      </c>
      <c r="AF26" s="157" t="e">
        <f>AF14/初始化表!$H$17</f>
        <v>#DIV/0!</v>
      </c>
      <c r="AG26" s="74"/>
      <c r="AH26" s="73"/>
      <c r="AI26" s="359"/>
      <c r="AJ26" s="360">
        <f>I56</f>
        <v>0</v>
      </c>
      <c r="AK26" s="364"/>
      <c r="AL26" s="364"/>
      <c r="AM26" s="360"/>
      <c r="AN26" s="365">
        <f>O43</f>
        <v>0.95</v>
      </c>
      <c r="AO26" s="370"/>
      <c r="AP26" s="370"/>
      <c r="AQ26" s="371"/>
      <c r="AR26" s="103"/>
      <c r="AS26" s="190" t="s">
        <v>449</v>
      </c>
      <c r="AT26" s="189">
        <f>(SUM(AL9:AL12)*初始化表!E17+SUM(AL13:AL16)*初始化表!F17+SUM(AL17:AL20)*初始化表!G17+SUM(AL21:AL24)*初始化表!H17)/1300</f>
        <v>0</v>
      </c>
      <c r="AU26" s="103"/>
      <c r="AV26" s="103"/>
      <c r="AW26" s="103"/>
      <c r="AZ26" s="193"/>
      <c r="BA26" s="196">
        <f t="shared" si="10"/>
        <v>0</v>
      </c>
      <c r="BB26" s="197">
        <f t="shared" si="11"/>
        <v>0</v>
      </c>
      <c r="BC26" s="197">
        <f t="shared" si="12"/>
        <v>0</v>
      </c>
      <c r="BD26" s="197">
        <f t="shared" si="13"/>
        <v>0</v>
      </c>
      <c r="BE26" s="197">
        <f t="shared" si="14"/>
        <v>0</v>
      </c>
      <c r="BF26" s="197">
        <f t="shared" si="15"/>
        <v>0</v>
      </c>
      <c r="BG26" s="197">
        <f t="shared" si="16"/>
        <v>0</v>
      </c>
      <c r="BH26" s="197">
        <f t="shared" si="17"/>
        <v>0</v>
      </c>
      <c r="BI26" s="197">
        <f t="shared" si="18"/>
        <v>0</v>
      </c>
      <c r="BJ26" s="197">
        <f t="shared" si="19"/>
        <v>0</v>
      </c>
      <c r="BK26" s="197">
        <f t="shared" si="20"/>
        <v>0</v>
      </c>
      <c r="BL26" s="197">
        <f t="shared" si="21"/>
        <v>0</v>
      </c>
      <c r="BM26" s="197">
        <f t="shared" si="22"/>
        <v>0</v>
      </c>
      <c r="BN26" s="197">
        <f t="shared" si="23"/>
        <v>0</v>
      </c>
      <c r="BO26" s="197">
        <f t="shared" si="24"/>
        <v>0</v>
      </c>
      <c r="BP26" s="197">
        <f t="shared" si="25"/>
        <v>0</v>
      </c>
      <c r="BQ26" s="197">
        <f t="shared" si="26"/>
        <v>0</v>
      </c>
      <c r="BR26" s="211"/>
      <c r="BS26" s="194" t="s">
        <v>570</v>
      </c>
      <c r="BT26" s="208"/>
      <c r="BU26" s="208"/>
      <c r="BV26" s="208"/>
      <c r="BW26" s="323" t="e">
        <f>STDEV.P(AL107:AL126)</f>
        <v>#DIV/0!</v>
      </c>
      <c r="BX26" s="323" t="e">
        <f>STDEV.P(AM107:AM126)</f>
        <v>#DIV/0!</v>
      </c>
      <c r="BY26" s="323" t="e">
        <f>STDEV.P(AN107:AN126)</f>
        <v>#DIV/0!</v>
      </c>
      <c r="BZ26" s="323" t="e">
        <f>STDEV.P(AP107:AP126)</f>
        <v>#DIV/0!</v>
      </c>
      <c r="CA26" s="324" t="e">
        <f>STDEV.P(AW107:AW126)</f>
        <v>#DIV/0!</v>
      </c>
      <c r="CB26" s="208"/>
      <c r="CC26" s="208"/>
      <c r="CD26" s="208"/>
      <c r="CE26" s="208"/>
      <c r="CF26" s="208"/>
      <c r="CG26" s="203"/>
      <c r="CH26" s="203"/>
      <c r="CI26" s="203"/>
      <c r="CJ26" s="226"/>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row>
    <row r="27" s="61" customFormat="1" ht="16" customHeight="1" spans="1:121">
      <c r="A27" s="269" t="s">
        <v>571</v>
      </c>
      <c r="B27" s="270"/>
      <c r="C27" s="269" t="s">
        <v>572</v>
      </c>
      <c r="D27" s="269" t="s">
        <v>573</v>
      </c>
      <c r="E27" s="269" t="s">
        <v>574</v>
      </c>
      <c r="F27" s="269" t="s">
        <v>575</v>
      </c>
      <c r="G27" s="73"/>
      <c r="H27" s="269" t="s">
        <v>523</v>
      </c>
      <c r="I27" s="97"/>
      <c r="J27" s="97"/>
      <c r="K27" s="280"/>
      <c r="L27" s="280"/>
      <c r="M27" s="98">
        <f t="shared" si="42"/>
        <v>0</v>
      </c>
      <c r="N27" s="269" t="s">
        <v>576</v>
      </c>
      <c r="O27" s="269" t="s">
        <v>565</v>
      </c>
      <c r="P27" s="269" t="s">
        <v>566</v>
      </c>
      <c r="Q27" s="269" t="s">
        <v>567</v>
      </c>
      <c r="R27" s="269" t="s">
        <v>568</v>
      </c>
      <c r="S27" s="121"/>
      <c r="T27" s="120"/>
      <c r="U27" s="269" t="s">
        <v>280</v>
      </c>
      <c r="V27" s="102" t="e">
        <f>第4期!B10</f>
        <v>#DIV/0!</v>
      </c>
      <c r="W27" s="102" t="e">
        <f>第4期!C10</f>
        <v>#DIV/0!</v>
      </c>
      <c r="X27" s="102" t="e">
        <f>第4期!D10</f>
        <v>#DIV/0!</v>
      </c>
      <c r="Y27" s="102" t="e">
        <f>第4期!E10</f>
        <v>#DIV/0!</v>
      </c>
      <c r="Z27" s="115"/>
      <c r="AA27" s="73"/>
      <c r="AB27" s="155"/>
      <c r="AC27" s="155"/>
      <c r="AD27" s="155"/>
      <c r="AE27" s="155"/>
      <c r="AF27" s="155"/>
      <c r="AG27" s="155"/>
      <c r="AH27" s="73"/>
      <c r="AI27" s="359"/>
      <c r="AJ27" s="360">
        <f>J56</f>
        <v>0</v>
      </c>
      <c r="AK27" s="364"/>
      <c r="AL27" s="364"/>
      <c r="AM27" s="360"/>
      <c r="AN27" s="365">
        <f>P43</f>
        <v>0.95</v>
      </c>
      <c r="AO27" s="370"/>
      <c r="AP27" s="370"/>
      <c r="AQ27" s="371"/>
      <c r="AR27" s="103"/>
      <c r="AS27" s="190" t="s">
        <v>453</v>
      </c>
      <c r="AT27" s="189">
        <f>(AR12*初始化表!E17+AR16*初始化表!F17+AR20*初始化表!G17+AR24*初始化表!H17)/1300</f>
        <v>0</v>
      </c>
      <c r="AU27" s="103"/>
      <c r="AV27" s="103"/>
      <c r="AW27" s="103"/>
      <c r="AZ27" s="193"/>
      <c r="BA27" s="194" t="s">
        <v>577</v>
      </c>
      <c r="BB27" s="198">
        <f>INT(SUMPRODUCT(AJ37:AJ56,AJ61:AJ80))</f>
        <v>0</v>
      </c>
      <c r="BC27" s="198">
        <f t="shared" ref="BC27:BQ27" si="43">INT(SUMPRODUCT(AK37:AK56,AK61:AK80))</f>
        <v>0</v>
      </c>
      <c r="BD27" s="198">
        <f t="shared" si="43"/>
        <v>0</v>
      </c>
      <c r="BE27" s="198">
        <f t="shared" si="43"/>
        <v>0</v>
      </c>
      <c r="BF27" s="198">
        <f t="shared" si="43"/>
        <v>0</v>
      </c>
      <c r="BG27" s="198">
        <f t="shared" si="43"/>
        <v>0</v>
      </c>
      <c r="BH27" s="198">
        <f t="shared" si="43"/>
        <v>0</v>
      </c>
      <c r="BI27" s="198">
        <f t="shared" si="43"/>
        <v>0</v>
      </c>
      <c r="BJ27" s="198">
        <f t="shared" si="43"/>
        <v>0</v>
      </c>
      <c r="BK27" s="198">
        <f t="shared" si="43"/>
        <v>0</v>
      </c>
      <c r="BL27" s="198">
        <f t="shared" si="43"/>
        <v>0</v>
      </c>
      <c r="BM27" s="198">
        <f t="shared" si="43"/>
        <v>0</v>
      </c>
      <c r="BN27" s="198">
        <f t="shared" si="43"/>
        <v>0</v>
      </c>
      <c r="BO27" s="198">
        <f t="shared" si="43"/>
        <v>0</v>
      </c>
      <c r="BP27" s="198">
        <f t="shared" si="43"/>
        <v>0</v>
      </c>
      <c r="BQ27" s="198">
        <f t="shared" si="43"/>
        <v>0</v>
      </c>
      <c r="BR27" s="211"/>
      <c r="BS27" s="322" t="s">
        <v>578</v>
      </c>
      <c r="BT27" s="322"/>
      <c r="BU27" s="322"/>
      <c r="BV27" s="322"/>
      <c r="BW27" s="407" t="e">
        <f>100000/BW26*初始化表!B30</f>
        <v>#DIV/0!</v>
      </c>
      <c r="BX27" s="407" t="e">
        <f>100000/BX26*初始化表!B33</f>
        <v>#DIV/0!</v>
      </c>
      <c r="BY27" s="407" t="e">
        <f>100000/BY26*初始化表!B32</f>
        <v>#DIV/0!</v>
      </c>
      <c r="BZ27" s="407" t="e">
        <f>100000/BZ26*初始化表!B34</f>
        <v>#DIV/0!</v>
      </c>
      <c r="CA27" s="211"/>
      <c r="CB27" s="211"/>
      <c r="CC27" s="211"/>
      <c r="CD27" s="211"/>
      <c r="CE27" s="211"/>
      <c r="CF27" s="211"/>
      <c r="CG27" s="211"/>
      <c r="CH27" s="211"/>
      <c r="CI27" s="211"/>
      <c r="CJ27" s="226"/>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row>
    <row r="28" s="61" customFormat="1" ht="16" customHeight="1" spans="1:121">
      <c r="A28" s="269" t="s">
        <v>361</v>
      </c>
      <c r="B28" s="270"/>
      <c r="C28" s="79" t="e">
        <f>第4期!F64</f>
        <v>#DIV/0!</v>
      </c>
      <c r="D28" s="79"/>
      <c r="E28" s="79"/>
      <c r="F28" s="79"/>
      <c r="G28" s="73"/>
      <c r="H28" s="269" t="s">
        <v>524</v>
      </c>
      <c r="I28" s="97"/>
      <c r="J28" s="97"/>
      <c r="K28" s="280"/>
      <c r="L28" s="280"/>
      <c r="M28" s="98">
        <f t="shared" si="42"/>
        <v>0</v>
      </c>
      <c r="N28" s="269" t="s">
        <v>276</v>
      </c>
      <c r="O28" s="93" t="e">
        <f>O25</f>
        <v>#DIV/0!</v>
      </c>
      <c r="P28" s="93" t="e">
        <f t="shared" ref="P28:R28" si="44">P25</f>
        <v>#DIV/0!</v>
      </c>
      <c r="Q28" s="93" t="e">
        <f t="shared" si="44"/>
        <v>#DIV/0!</v>
      </c>
      <c r="R28" s="93" t="e">
        <f t="shared" si="44"/>
        <v>#DIV/0!</v>
      </c>
      <c r="S28" s="131"/>
      <c r="T28" s="120"/>
      <c r="U28" s="123"/>
      <c r="V28" s="74"/>
      <c r="W28" s="74"/>
      <c r="X28" s="74"/>
      <c r="Y28" s="74"/>
      <c r="Z28" s="74"/>
      <c r="AA28" s="73"/>
      <c r="AB28" s="154" t="s">
        <v>579</v>
      </c>
      <c r="AC28" s="154" t="s">
        <v>513</v>
      </c>
      <c r="AD28" s="154" t="s">
        <v>514</v>
      </c>
      <c r="AE28" s="154" t="s">
        <v>515</v>
      </c>
      <c r="AF28" s="154" t="s">
        <v>516</v>
      </c>
      <c r="AG28" s="74"/>
      <c r="AH28" s="73"/>
      <c r="AI28" s="359"/>
      <c r="AJ28" s="360">
        <f>K56</f>
        <v>0</v>
      </c>
      <c r="AK28" s="364"/>
      <c r="AL28" s="364"/>
      <c r="AM28" s="360"/>
      <c r="AN28" s="365">
        <f>Q43</f>
        <v>0.95</v>
      </c>
      <c r="AO28" s="370"/>
      <c r="AP28" s="370"/>
      <c r="AQ28" s="371"/>
      <c r="AR28" s="103"/>
      <c r="AS28" s="190" t="s">
        <v>454</v>
      </c>
      <c r="AT28" s="189">
        <f>(AT12*初始化表!E17+AT16*初始化表!F17+AT20*初始化表!G17+AT24*初始化表!H17)/1300</f>
        <v>0</v>
      </c>
      <c r="AU28" s="103"/>
      <c r="AV28" s="190" t="s">
        <v>580</v>
      </c>
      <c r="AW28" s="189">
        <f>(SUM(I25:L25)*初始化表!E17+SUM(I26:L26)*初始化表!F17+SUM(I27:L27)*初始化表!G17+SUM(I28:L28)*初始化表!H17)/1300</f>
        <v>0</v>
      </c>
      <c r="AZ28" s="193"/>
      <c r="BA28" s="194" t="s">
        <v>581</v>
      </c>
      <c r="BB28" s="199">
        <f>IF(ISERROR(AL9/AN9),0,AL9/AN9)</f>
        <v>0</v>
      </c>
      <c r="BC28" s="199">
        <f>IF(ISERROR($AL$10/$AN$10),0,$AL$10/$AN$10)</f>
        <v>0</v>
      </c>
      <c r="BD28" s="199">
        <f>IF(ISERROR($AL$11/$AN$11),0,$AL$11/$AN$11)</f>
        <v>0</v>
      </c>
      <c r="BE28" s="199">
        <f>IF(ISERROR($AL$12/$AN$12),0,$AL$12/$AN$12)</f>
        <v>0</v>
      </c>
      <c r="BF28" s="199">
        <f>IF(ISERROR($AL$13/$AN$13),0,$AL$13/$AN$13)</f>
        <v>0</v>
      </c>
      <c r="BG28" s="199">
        <f>IF(ISERROR($AL$14/$AN$14),0,$AL$14/$AN$14)</f>
        <v>0</v>
      </c>
      <c r="BH28" s="199">
        <f>IF(ISERROR($AL$15/$AN$15),0,$AL$15/$AN$15)</f>
        <v>0</v>
      </c>
      <c r="BI28" s="199">
        <f>IF(ISERROR($AL$16/$AN$16),0,$AL$16/$AN$16)</f>
        <v>0</v>
      </c>
      <c r="BJ28" s="199">
        <f>IF(ISERROR($AL$17/$AN$17),0,$AL$17/$AN$17)</f>
        <v>0</v>
      </c>
      <c r="BK28" s="199">
        <f>IF(ISERROR($AL$18/$AN$18),0,$AL$18/$AN$18)</f>
        <v>0</v>
      </c>
      <c r="BL28" s="199">
        <f>IF(ISERROR($AL$19/$AN$19),0,$AL$19/$AN$19)</f>
        <v>0</v>
      </c>
      <c r="BM28" s="199">
        <f>IF(ISERROR($AL$20/$AN$20),0,$AL$20/$AN$20)</f>
        <v>0</v>
      </c>
      <c r="BN28" s="199">
        <f>IF(ISERROR($AL$21/$AN$21),0,$AL$21/$AN$21)</f>
        <v>0</v>
      </c>
      <c r="BO28" s="199">
        <f>IF(ISERROR($AL$22/$AN$22),0,$AL$22/$AN$22)</f>
        <v>0</v>
      </c>
      <c r="BP28" s="199">
        <f>IF(ISERROR($AL$23/$AN$23),0,$AL$23/$AN$23)</f>
        <v>0</v>
      </c>
      <c r="BQ28" s="199">
        <f>IF(ISERROR($AL$24/$AN$24),0,$AL$24/$AN$24)</f>
        <v>0</v>
      </c>
      <c r="BR28" s="211"/>
      <c r="BS28" s="194" t="s">
        <v>37</v>
      </c>
      <c r="BT28" s="194" t="s">
        <v>521</v>
      </c>
      <c r="BU28" s="195"/>
      <c r="BV28" s="195"/>
      <c r="BW28" s="195"/>
      <c r="BX28" s="194" t="s">
        <v>522</v>
      </c>
      <c r="BY28" s="195"/>
      <c r="BZ28" s="195"/>
      <c r="CA28" s="195"/>
      <c r="CB28" s="194" t="s">
        <v>523</v>
      </c>
      <c r="CC28" s="195"/>
      <c r="CD28" s="195"/>
      <c r="CE28" s="195"/>
      <c r="CF28" s="194" t="s">
        <v>524</v>
      </c>
      <c r="CG28" s="195"/>
      <c r="CH28" s="195"/>
      <c r="CI28" s="195"/>
      <c r="CJ28" s="226"/>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row>
    <row r="29" s="61" customFormat="1" ht="16" customHeight="1" spans="1:121">
      <c r="A29" s="269" t="s">
        <v>309</v>
      </c>
      <c r="B29" s="270"/>
      <c r="C29" s="77">
        <f>B24</f>
        <v>0</v>
      </c>
      <c r="D29" s="79"/>
      <c r="E29" s="79"/>
      <c r="F29" s="79" t="e">
        <f>C28+C29</f>
        <v>#DIV/0!</v>
      </c>
      <c r="G29" s="73"/>
      <c r="H29" s="354" t="s">
        <v>582</v>
      </c>
      <c r="I29" s="81">
        <f>(H17-C22+初始化表!H4*B22)-((B17+D17)*初始化表!E18+(B18+D18)*初始化表!F18+(B19+D19)*初始化表!G18+(B20+D20)*初始化表!H18)/520</f>
        <v>0</v>
      </c>
      <c r="J29" s="354" t="s">
        <v>583</v>
      </c>
      <c r="K29" s="99">
        <f>H43-(SUM(B17:E17)*初始化表!E19+SUM(B18:E18)*初始化表!F19+SUM(B19:E19)*初始化表!G19+SUM(B20:E20)*初始化表!H19)</f>
        <v>0</v>
      </c>
      <c r="L29" s="99"/>
      <c r="M29" s="85"/>
      <c r="N29" s="269" t="s">
        <v>280</v>
      </c>
      <c r="O29" s="93" t="e">
        <f>O26</f>
        <v>#DIV/0!</v>
      </c>
      <c r="P29" s="93" t="e">
        <f t="shared" ref="P29:R29" si="45">P26</f>
        <v>#DIV/0!</v>
      </c>
      <c r="Q29" s="93" t="e">
        <f t="shared" si="45"/>
        <v>#DIV/0!</v>
      </c>
      <c r="R29" s="93" t="e">
        <f t="shared" si="45"/>
        <v>#DIV/0!</v>
      </c>
      <c r="S29" s="131"/>
      <c r="T29" s="120"/>
      <c r="U29" s="269" t="s">
        <v>584</v>
      </c>
      <c r="V29" s="269" t="s">
        <v>513</v>
      </c>
      <c r="W29" s="269" t="s">
        <v>514</v>
      </c>
      <c r="X29" s="269" t="s">
        <v>515</v>
      </c>
      <c r="Y29" s="269" t="s">
        <v>516</v>
      </c>
      <c r="Z29" s="74"/>
      <c r="AA29" s="73"/>
      <c r="AB29" s="154" t="s">
        <v>198</v>
      </c>
      <c r="AC29" s="156" t="e">
        <f t="shared" ref="AC29:AF32" si="46">AC11/AD5</f>
        <v>#DIV/0!</v>
      </c>
      <c r="AD29" s="156" t="e">
        <f t="shared" si="46"/>
        <v>#DIV/0!</v>
      </c>
      <c r="AE29" s="156" t="e">
        <f t="shared" si="46"/>
        <v>#DIV/0!</v>
      </c>
      <c r="AF29" s="156" t="e">
        <f t="shared" si="46"/>
        <v>#DIV/0!</v>
      </c>
      <c r="AG29" s="74"/>
      <c r="AH29" s="73"/>
      <c r="AI29" s="359"/>
      <c r="AJ29" s="366">
        <f>L56</f>
        <v>0</v>
      </c>
      <c r="AK29" s="364"/>
      <c r="AL29" s="364"/>
      <c r="AM29" s="360"/>
      <c r="AN29" s="365">
        <f>R43</f>
        <v>0.95</v>
      </c>
      <c r="AO29" s="370"/>
      <c r="AP29" s="370"/>
      <c r="AQ29" s="371"/>
      <c r="AR29" s="103"/>
      <c r="AS29" s="190" t="s">
        <v>455</v>
      </c>
      <c r="AT29" s="189">
        <f>(SUM(AK9:AK12)*初始化表!E17+SUM(AK13:AK16)*初始化表!F17+SUM(AK17:AK20)*初始化表!G17+SUM(AK21:AK24)*初始化表!H17)/1300</f>
        <v>0</v>
      </c>
      <c r="AU29" s="103"/>
      <c r="AV29" s="190"/>
      <c r="AW29" s="189"/>
      <c r="AZ29" s="193"/>
      <c r="BA29" s="200" t="s">
        <v>585</v>
      </c>
      <c r="BB29" s="201" t="e">
        <f>B6</f>
        <v>#DIV/0!</v>
      </c>
      <c r="BC29" s="201" t="e">
        <f>C6</f>
        <v>#DIV/0!</v>
      </c>
      <c r="BD29" s="201" t="e">
        <f>D6</f>
        <v>#DIV/0!</v>
      </c>
      <c r="BE29" s="201" t="e">
        <f>E6</f>
        <v>#DIV/0!</v>
      </c>
      <c r="BF29" s="201" t="e">
        <f>B7</f>
        <v>#DIV/0!</v>
      </c>
      <c r="BG29" s="201" t="e">
        <f>C7</f>
        <v>#DIV/0!</v>
      </c>
      <c r="BH29" s="201" t="e">
        <f>D7</f>
        <v>#DIV/0!</v>
      </c>
      <c r="BI29" s="201" t="e">
        <f>E7</f>
        <v>#DIV/0!</v>
      </c>
      <c r="BJ29" s="201" t="e">
        <f>B8</f>
        <v>#DIV/0!</v>
      </c>
      <c r="BK29" s="201" t="e">
        <f>C8</f>
        <v>#DIV/0!</v>
      </c>
      <c r="BL29" s="201" t="e">
        <f>D8</f>
        <v>#DIV/0!</v>
      </c>
      <c r="BM29" s="201" t="e">
        <f>E8</f>
        <v>#DIV/0!</v>
      </c>
      <c r="BN29" s="201" t="e">
        <f>B9</f>
        <v>#DIV/0!</v>
      </c>
      <c r="BO29" s="201" t="e">
        <f>C9</f>
        <v>#DIV/0!</v>
      </c>
      <c r="BP29" s="201" t="e">
        <f>D9</f>
        <v>#DIV/0!</v>
      </c>
      <c r="BQ29" s="201" t="e">
        <f>E9</f>
        <v>#DIV/0!</v>
      </c>
      <c r="BR29" s="211"/>
      <c r="BS29" s="195"/>
      <c r="BT29" s="194" t="s">
        <v>513</v>
      </c>
      <c r="BU29" s="194" t="s">
        <v>514</v>
      </c>
      <c r="BV29" s="194" t="s">
        <v>515</v>
      </c>
      <c r="BW29" s="194" t="s">
        <v>516</v>
      </c>
      <c r="BX29" s="194" t="s">
        <v>513</v>
      </c>
      <c r="BY29" s="194" t="s">
        <v>514</v>
      </c>
      <c r="BZ29" s="194" t="s">
        <v>515</v>
      </c>
      <c r="CA29" s="194" t="s">
        <v>516</v>
      </c>
      <c r="CB29" s="194" t="s">
        <v>513</v>
      </c>
      <c r="CC29" s="194" t="s">
        <v>514</v>
      </c>
      <c r="CD29" s="194" t="s">
        <v>515</v>
      </c>
      <c r="CE29" s="194" t="s">
        <v>516</v>
      </c>
      <c r="CF29" s="194" t="s">
        <v>513</v>
      </c>
      <c r="CG29" s="194" t="s">
        <v>514</v>
      </c>
      <c r="CH29" s="194" t="s">
        <v>515</v>
      </c>
      <c r="CI29" s="194" t="s">
        <v>516</v>
      </c>
      <c r="CJ29" s="226"/>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row>
    <row r="30" s="61" customFormat="1" ht="16" customHeight="1" spans="1:121">
      <c r="A30" s="269" t="s">
        <v>362</v>
      </c>
      <c r="B30" s="270"/>
      <c r="C30" s="77">
        <f>C24</f>
        <v>0</v>
      </c>
      <c r="D30" s="79"/>
      <c r="E30" s="79"/>
      <c r="F30" s="79" t="e">
        <f t="shared" ref="F30:F38" si="47">F29+C30</f>
        <v>#DIV/0!</v>
      </c>
      <c r="G30" s="73"/>
      <c r="H30" s="354" t="s">
        <v>586</v>
      </c>
      <c r="I30" s="354" t="s">
        <v>587</v>
      </c>
      <c r="J30" s="354" t="s">
        <v>588</v>
      </c>
      <c r="K30" s="354" t="s">
        <v>589</v>
      </c>
      <c r="L30" s="354" t="s">
        <v>590</v>
      </c>
      <c r="M30" s="85"/>
      <c r="N30" s="74"/>
      <c r="O30" s="74"/>
      <c r="P30" s="74"/>
      <c r="Q30" s="74"/>
      <c r="R30" s="74"/>
      <c r="S30" s="74"/>
      <c r="T30" s="120"/>
      <c r="U30" s="269" t="s">
        <v>521</v>
      </c>
      <c r="V30" s="115">
        <f>第4期!BB27</f>
        <v>0</v>
      </c>
      <c r="W30" s="115">
        <f>第4期!BC27</f>
        <v>0</v>
      </c>
      <c r="X30" s="115">
        <f>第4期!BD27</f>
        <v>0</v>
      </c>
      <c r="Y30" s="115">
        <f>第4期!BE27</f>
        <v>0</v>
      </c>
      <c r="Z30" s="74"/>
      <c r="AA30" s="73"/>
      <c r="AB30" s="154" t="s">
        <v>202</v>
      </c>
      <c r="AC30" s="156" t="e">
        <f t="shared" si="46"/>
        <v>#DIV/0!</v>
      </c>
      <c r="AD30" s="156" t="e">
        <f t="shared" si="46"/>
        <v>#DIV/0!</v>
      </c>
      <c r="AE30" s="156" t="e">
        <f t="shared" si="46"/>
        <v>#DIV/0!</v>
      </c>
      <c r="AF30" s="156" t="e">
        <f t="shared" si="46"/>
        <v>#DIV/0!</v>
      </c>
      <c r="AG30" s="74"/>
      <c r="AH30" s="73"/>
      <c r="AR30" s="103"/>
      <c r="AS30" s="190" t="s">
        <v>456</v>
      </c>
      <c r="AT30" s="189">
        <f>(AJ26*初始化表!E17+AJ27*初始化表!F17+AJ28*初始化表!G17+AJ29*初始化表!H17)/1300</f>
        <v>0</v>
      </c>
      <c r="AU30" s="103"/>
      <c r="AV30" s="103"/>
      <c r="AW30" s="103"/>
      <c r="AZ30" s="193"/>
      <c r="BA30" s="194" t="s">
        <v>37</v>
      </c>
      <c r="BB30" s="194" t="s">
        <v>591</v>
      </c>
      <c r="BC30" s="194" t="s">
        <v>592</v>
      </c>
      <c r="BD30" s="194" t="s">
        <v>593</v>
      </c>
      <c r="BE30" s="194" t="s">
        <v>594</v>
      </c>
      <c r="BF30" s="194" t="s">
        <v>595</v>
      </c>
      <c r="BG30" s="194" t="s">
        <v>596</v>
      </c>
      <c r="BH30" s="194" t="s">
        <v>597</v>
      </c>
      <c r="BI30" s="372" t="s">
        <v>598</v>
      </c>
      <c r="BJ30" s="194" t="s">
        <v>599</v>
      </c>
      <c r="BK30" s="194" t="s">
        <v>600</v>
      </c>
      <c r="BL30" s="203"/>
      <c r="BM30" s="194" t="s">
        <v>601</v>
      </c>
      <c r="BN30" s="194"/>
      <c r="BO30" s="194"/>
      <c r="BP30" s="194"/>
      <c r="BQ30" s="194"/>
      <c r="BR30" s="211"/>
      <c r="BS30" s="196">
        <f t="shared" ref="BS30:BS49" si="48">BS5</f>
        <v>0</v>
      </c>
      <c r="BT30" s="213" t="e">
        <f t="shared" ref="BT30:BT49" si="49">$BT5*(AJ61-BT$50)/BT$51</f>
        <v>#DIV/0!</v>
      </c>
      <c r="BU30" s="213" t="e">
        <f t="shared" ref="BU30:BU49" si="50">$BT5*(AK61-BU$50)/BU$51</f>
        <v>#DIV/0!</v>
      </c>
      <c r="BV30" s="213" t="e">
        <f t="shared" ref="BV30:BV49" si="51">$BT5*(AL61-BV$50)/BV$51</f>
        <v>#DIV/0!</v>
      </c>
      <c r="BW30" s="213" t="e">
        <f t="shared" ref="BW30:BW49" si="52">$BT5*(AM61-BW$50)/BW$51</f>
        <v>#DIV/0!</v>
      </c>
      <c r="BX30" s="213" t="e">
        <f t="shared" ref="BX30:BX49" si="53">$BT5*(AN61-BX$50)/BX$51</f>
        <v>#DIV/0!</v>
      </c>
      <c r="BY30" s="213" t="e">
        <f t="shared" ref="BY30:BY49" si="54">$BT5*(AO61-BY$50)/BY$51</f>
        <v>#DIV/0!</v>
      </c>
      <c r="BZ30" s="213" t="e">
        <f t="shared" ref="BZ30:BZ49" si="55">$BT5*(AP61-BZ$50)/BZ$51</f>
        <v>#DIV/0!</v>
      </c>
      <c r="CA30" s="213" t="e">
        <f t="shared" ref="CA30:CA49" si="56">$BT5*(AQ61-CA$50)/CA$51</f>
        <v>#DIV/0!</v>
      </c>
      <c r="CB30" s="213" t="e">
        <f t="shared" ref="CB30:CB49" si="57">$BT5*(AR61-CB$50)/CB$51</f>
        <v>#DIV/0!</v>
      </c>
      <c r="CC30" s="213" t="e">
        <f t="shared" ref="CC30:CC49" si="58">$BT5*(AS61-CC$50)/CC$51</f>
        <v>#DIV/0!</v>
      </c>
      <c r="CD30" s="213" t="e">
        <f t="shared" ref="CD30:CD49" si="59">$BT5*(AT61-CD$50)/CD$51</f>
        <v>#DIV/0!</v>
      </c>
      <c r="CE30" s="213" t="e">
        <f t="shared" ref="CE30:CE49" si="60">$BT5*(AU61-CE$50)/CE$51</f>
        <v>#DIV/0!</v>
      </c>
      <c r="CF30" s="213" t="e">
        <f t="shared" ref="CF30:CF49" si="61">$BT5*(AV61-CF$50)/CF$51</f>
        <v>#DIV/0!</v>
      </c>
      <c r="CG30" s="213" t="e">
        <f t="shared" ref="CG30:CG49" si="62">$BT5*(AW61-CG$50)/CG$51</f>
        <v>#DIV/0!</v>
      </c>
      <c r="CH30" s="213" t="e">
        <f t="shared" ref="CH30:CH49" si="63">$BT5*(AX61-CH$50)/CH$51</f>
        <v>#DIV/0!</v>
      </c>
      <c r="CI30" s="213" t="e">
        <f t="shared" ref="CI30:CI49" si="64">$BT5*(AY61-CI$50)/CI$51</f>
        <v>#DIV/0!</v>
      </c>
      <c r="CJ30" s="226"/>
      <c r="CK30" s="228"/>
      <c r="CL30" s="228"/>
      <c r="CM30" s="228"/>
      <c r="CN30" s="228"/>
      <c r="CO30" s="228"/>
      <c r="CP30" s="228"/>
      <c r="CQ30" s="228"/>
      <c r="CR30" s="228"/>
      <c r="CS30" s="228"/>
      <c r="CT30" s="228"/>
      <c r="CU30" s="228"/>
      <c r="CV30" s="228"/>
      <c r="CW30" s="228"/>
      <c r="CX30" s="228"/>
      <c r="CY30" s="228"/>
      <c r="CZ30" s="228"/>
      <c r="DA30" s="228"/>
      <c r="DB30" s="228"/>
      <c r="DC30" s="228"/>
      <c r="DD30" s="228"/>
      <c r="DE30" s="228"/>
      <c r="DF30" s="228"/>
      <c r="DG30" s="228"/>
      <c r="DH30" s="228"/>
      <c r="DI30" s="228"/>
      <c r="DJ30" s="228"/>
      <c r="DK30" s="228"/>
      <c r="DL30" s="228"/>
      <c r="DM30" s="228"/>
      <c r="DN30" s="228"/>
      <c r="DO30" s="228"/>
      <c r="DP30" s="228"/>
      <c r="DQ30" s="228"/>
    </row>
    <row r="31" s="61" customFormat="1" ht="16" customHeight="1" spans="1:121">
      <c r="A31" s="269" t="s">
        <v>363</v>
      </c>
      <c r="B31" s="270"/>
      <c r="C31" s="77">
        <f>-N35*5%</f>
        <v>0</v>
      </c>
      <c r="D31" s="79"/>
      <c r="E31" s="79"/>
      <c r="F31" s="79" t="e">
        <f t="shared" si="47"/>
        <v>#DIV/0!</v>
      </c>
      <c r="G31" s="73"/>
      <c r="H31" s="81" t="e">
        <f>N49-(B17*初始化表!E17+B18*初始化表!F17+B19*初始化表!G17+B20*初始化表!H17)/520</f>
        <v>#DIV/0!</v>
      </c>
      <c r="I31" s="81" t="e">
        <f>N49-(D17*初始化表!E17+D18*初始化表!F17+D19*初始化表!G17+D20*初始化表!H17)/520-(C17*初始化表!E17+C18*初始化表!F17+C19*初始化表!G17+C20*初始化表!H17)/260</f>
        <v>#DIV/0!</v>
      </c>
      <c r="J31" s="81" t="e">
        <f>N49-(E17*初始化表!E17+E18*初始化表!F17+E19*初始化表!G17+E20*初始化表!H17)/260</f>
        <v>#DIV/0!</v>
      </c>
      <c r="K31" s="81">
        <f>((D17-2*E17)*初始化表!E18+(D18-2*E18)*初始化表!F18+(D19-2*E19)*初始化表!G18+(D20-2*E20)*初始化表!H18)/520</f>
        <v>0</v>
      </c>
      <c r="L31" s="81">
        <f>((B17-2*C17)*初始化表!E18+(B18-2*C18)*初始化表!F18+(B19-2*C19)*初始化表!G18+(B20-2*C20)*初始化表!H18)/520</f>
        <v>0</v>
      </c>
      <c r="M31" s="85"/>
      <c r="N31" s="269" t="s">
        <v>602</v>
      </c>
      <c r="O31" s="270"/>
      <c r="P31" s="270"/>
      <c r="Q31" s="270"/>
      <c r="R31" s="270"/>
      <c r="S31" s="74"/>
      <c r="T31" s="120"/>
      <c r="U31" s="269" t="s">
        <v>522</v>
      </c>
      <c r="V31" s="115">
        <f>第4期!BF27</f>
        <v>0</v>
      </c>
      <c r="W31" s="115">
        <f>第4期!BG27</f>
        <v>0</v>
      </c>
      <c r="X31" s="115">
        <f>第4期!BH27</f>
        <v>0</v>
      </c>
      <c r="Y31" s="115">
        <f>第4期!BI27</f>
        <v>0</v>
      </c>
      <c r="Z31" s="74"/>
      <c r="AA31" s="73"/>
      <c r="AB31" s="154" t="s">
        <v>206</v>
      </c>
      <c r="AC31" s="156" t="e">
        <f t="shared" si="46"/>
        <v>#DIV/0!</v>
      </c>
      <c r="AD31" s="156" t="e">
        <f t="shared" si="46"/>
        <v>#DIV/0!</v>
      </c>
      <c r="AE31" s="156" t="e">
        <f t="shared" si="46"/>
        <v>#DIV/0!</v>
      </c>
      <c r="AF31" s="156" t="e">
        <f t="shared" si="46"/>
        <v>#DIV/0!</v>
      </c>
      <c r="AG31" s="74"/>
      <c r="AH31" s="73"/>
      <c r="AI31" s="68" t="s">
        <v>603</v>
      </c>
      <c r="AJ31" s="69"/>
      <c r="AK31" s="69"/>
      <c r="AL31" s="69"/>
      <c r="AM31" s="69"/>
      <c r="AN31" s="69"/>
      <c r="AO31" s="69"/>
      <c r="AP31" s="69"/>
      <c r="AQ31" s="69"/>
      <c r="AR31" s="69"/>
      <c r="AS31" s="69"/>
      <c r="AT31" s="69"/>
      <c r="AU31" s="69"/>
      <c r="AV31" s="69"/>
      <c r="AW31" s="69"/>
      <c r="AX31" s="69"/>
      <c r="AY31" s="69"/>
      <c r="AZ31" s="193"/>
      <c r="BA31" s="196">
        <f t="shared" ref="BA31:BA50" si="65">BA7</f>
        <v>0</v>
      </c>
      <c r="BB31" s="201">
        <f t="shared" ref="BB31:BB50" si="66">SUM(BB7:BE7)</f>
        <v>0</v>
      </c>
      <c r="BC31" s="201">
        <f t="shared" ref="BC31:BC50" si="67">SUM(BF7:BI7)</f>
        <v>0</v>
      </c>
      <c r="BD31" s="201">
        <f t="shared" ref="BD31:BD50" si="68">SUM(BJ7:BM7)</f>
        <v>0</v>
      </c>
      <c r="BE31" s="201">
        <f t="shared" ref="BE31:BE50" si="69">SUM(BN7:BQ7)</f>
        <v>0</v>
      </c>
      <c r="BF31" s="202">
        <f>(BB31*初始化表!E$17+BC31*初始化表!F$17+BD31*初始化表!G$17+BE31*初始化表!H$17)/1300</f>
        <v>0</v>
      </c>
      <c r="BG31" s="207">
        <f t="shared" ref="BG31:BG50" si="70">IF(BF31=0,0,AL107/BF31)</f>
        <v>0</v>
      </c>
      <c r="BH31" s="207">
        <f t="shared" ref="BH31:BH50" si="71">IF(BF31=0,0,AJ107/BF31)</f>
        <v>0</v>
      </c>
      <c r="BI31" s="321">
        <f>$BI$51+MAX(0,第4期!BI31)-BF31</f>
        <v>0</v>
      </c>
      <c r="BJ31" s="201" t="str">
        <f t="shared" ref="BJ31:BJ50" si="72">IF(BA31=0,"",RANK(BG31,$BG$31:$BG$50))</f>
        <v/>
      </c>
      <c r="BK31" s="201" t="str">
        <f t="shared" ref="BK31:BK50" si="73">IF(BA31=0,"",RANK(BH31,$BH$31:$BH$50))</f>
        <v/>
      </c>
      <c r="BL31" s="203"/>
      <c r="BM31" s="195"/>
      <c r="BN31" s="194" t="s">
        <v>513</v>
      </c>
      <c r="BO31" s="194" t="s">
        <v>514</v>
      </c>
      <c r="BP31" s="194" t="s">
        <v>515</v>
      </c>
      <c r="BQ31" s="194" t="s">
        <v>516</v>
      </c>
      <c r="BR31" s="211"/>
      <c r="BS31" s="196">
        <f t="shared" si="48"/>
        <v>0</v>
      </c>
      <c r="BT31" s="213" t="e">
        <f t="shared" si="49"/>
        <v>#DIV/0!</v>
      </c>
      <c r="BU31" s="213" t="e">
        <f t="shared" si="50"/>
        <v>#DIV/0!</v>
      </c>
      <c r="BV31" s="213" t="e">
        <f t="shared" si="51"/>
        <v>#DIV/0!</v>
      </c>
      <c r="BW31" s="213" t="e">
        <f t="shared" si="52"/>
        <v>#DIV/0!</v>
      </c>
      <c r="BX31" s="213" t="e">
        <f t="shared" si="53"/>
        <v>#DIV/0!</v>
      </c>
      <c r="BY31" s="213" t="e">
        <f t="shared" si="54"/>
        <v>#DIV/0!</v>
      </c>
      <c r="BZ31" s="213" t="e">
        <f t="shared" si="55"/>
        <v>#DIV/0!</v>
      </c>
      <c r="CA31" s="213" t="e">
        <f t="shared" si="56"/>
        <v>#DIV/0!</v>
      </c>
      <c r="CB31" s="213" t="e">
        <f t="shared" si="57"/>
        <v>#DIV/0!</v>
      </c>
      <c r="CC31" s="213" t="e">
        <f t="shared" si="58"/>
        <v>#DIV/0!</v>
      </c>
      <c r="CD31" s="213" t="e">
        <f t="shared" si="59"/>
        <v>#DIV/0!</v>
      </c>
      <c r="CE31" s="213" t="e">
        <f t="shared" si="60"/>
        <v>#DIV/0!</v>
      </c>
      <c r="CF31" s="213" t="e">
        <f t="shared" si="61"/>
        <v>#DIV/0!</v>
      </c>
      <c r="CG31" s="213" t="e">
        <f t="shared" si="62"/>
        <v>#DIV/0!</v>
      </c>
      <c r="CH31" s="213" t="e">
        <f t="shared" si="63"/>
        <v>#DIV/0!</v>
      </c>
      <c r="CI31" s="213" t="e">
        <f t="shared" si="64"/>
        <v>#DIV/0!</v>
      </c>
      <c r="CJ31" s="226"/>
      <c r="CK31" s="228"/>
      <c r="CL31" s="228"/>
      <c r="CM31" s="228"/>
      <c r="CN31" s="228"/>
      <c r="CO31" s="228"/>
      <c r="CP31" s="228"/>
      <c r="CQ31" s="228"/>
      <c r="CR31" s="228"/>
      <c r="CS31" s="228"/>
      <c r="CT31" s="228"/>
      <c r="CU31" s="228"/>
      <c r="CV31" s="228"/>
      <c r="CW31" s="228"/>
      <c r="CX31" s="228"/>
      <c r="CY31" s="228"/>
      <c r="CZ31" s="228"/>
      <c r="DA31" s="228"/>
      <c r="DB31" s="228"/>
      <c r="DC31" s="228"/>
      <c r="DD31" s="228"/>
      <c r="DE31" s="228"/>
      <c r="DF31" s="228"/>
      <c r="DG31" s="228"/>
      <c r="DH31" s="228"/>
      <c r="DI31" s="228"/>
      <c r="DJ31" s="228"/>
      <c r="DK31" s="228"/>
      <c r="DL31" s="228"/>
      <c r="DM31" s="228"/>
      <c r="DN31" s="228"/>
      <c r="DO31" s="228"/>
      <c r="DP31" s="228"/>
      <c r="DQ31" s="228"/>
    </row>
    <row r="32" s="61" customFormat="1" ht="16" customHeight="1" spans="1:121">
      <c r="A32" s="269" t="s">
        <v>364</v>
      </c>
      <c r="B32" s="270"/>
      <c r="C32" s="77">
        <f>-O35*初始化表!B24/4</f>
        <v>0</v>
      </c>
      <c r="D32" s="79"/>
      <c r="E32" s="79">
        <f>-C32</f>
        <v>0</v>
      </c>
      <c r="F32" s="79" t="e">
        <f t="shared" si="47"/>
        <v>#DIV/0!</v>
      </c>
      <c r="G32" s="73"/>
      <c r="H32" s="354" t="s">
        <v>604</v>
      </c>
      <c r="I32" s="354" t="s">
        <v>605</v>
      </c>
      <c r="J32" s="354" t="s">
        <v>606</v>
      </c>
      <c r="K32" s="354" t="s">
        <v>607</v>
      </c>
      <c r="L32" s="101"/>
      <c r="M32" s="85"/>
      <c r="N32" s="269" t="s">
        <v>608</v>
      </c>
      <c r="O32" s="269" t="s">
        <v>609</v>
      </c>
      <c r="P32" s="269" t="s">
        <v>610</v>
      </c>
      <c r="Q32" s="269" t="s">
        <v>611</v>
      </c>
      <c r="R32" s="269" t="s">
        <v>612</v>
      </c>
      <c r="S32" s="121"/>
      <c r="T32" s="120"/>
      <c r="U32" s="269" t="s">
        <v>523</v>
      </c>
      <c r="V32" s="115">
        <f>第4期!BJ27</f>
        <v>0</v>
      </c>
      <c r="W32" s="115">
        <f>第4期!BK27</f>
        <v>0</v>
      </c>
      <c r="X32" s="115">
        <f>第4期!BL27</f>
        <v>0</v>
      </c>
      <c r="Y32" s="115">
        <f>第4期!BM27</f>
        <v>0</v>
      </c>
      <c r="Z32" s="74"/>
      <c r="AA32" s="73"/>
      <c r="AB32" s="154" t="s">
        <v>208</v>
      </c>
      <c r="AC32" s="156" t="e">
        <f t="shared" si="46"/>
        <v>#DIV/0!</v>
      </c>
      <c r="AD32" s="156" t="e">
        <f t="shared" si="46"/>
        <v>#DIV/0!</v>
      </c>
      <c r="AE32" s="156" t="e">
        <f t="shared" si="46"/>
        <v>#DIV/0!</v>
      </c>
      <c r="AF32" s="156" t="e">
        <f t="shared" si="46"/>
        <v>#DIV/0!</v>
      </c>
      <c r="AG32" s="74"/>
      <c r="AH32" s="73"/>
      <c r="AI32" s="69"/>
      <c r="AJ32" s="69"/>
      <c r="AK32" s="69"/>
      <c r="AL32" s="69"/>
      <c r="AM32" s="69"/>
      <c r="AN32" s="69"/>
      <c r="AO32" s="69"/>
      <c r="AP32" s="69"/>
      <c r="AQ32" s="69"/>
      <c r="AR32" s="69"/>
      <c r="AS32" s="69"/>
      <c r="AT32" s="69"/>
      <c r="AU32" s="69"/>
      <c r="AV32" s="69"/>
      <c r="AW32" s="69"/>
      <c r="AX32" s="69"/>
      <c r="AY32" s="69"/>
      <c r="AZ32" s="193"/>
      <c r="BA32" s="196">
        <f t="shared" si="65"/>
        <v>0</v>
      </c>
      <c r="BB32" s="201">
        <f t="shared" si="66"/>
        <v>0</v>
      </c>
      <c r="BC32" s="201">
        <f t="shared" si="67"/>
        <v>0</v>
      </c>
      <c r="BD32" s="201">
        <f t="shared" si="68"/>
        <v>0</v>
      </c>
      <c r="BE32" s="201">
        <f t="shared" si="69"/>
        <v>0</v>
      </c>
      <c r="BF32" s="202">
        <f>(BB32*初始化表!E$17+BC32*初始化表!F$17+BD32*初始化表!G$17+BE32*初始化表!H$17)/1300</f>
        <v>0</v>
      </c>
      <c r="BG32" s="207">
        <f t="shared" si="70"/>
        <v>0</v>
      </c>
      <c r="BH32" s="207">
        <f t="shared" si="71"/>
        <v>0</v>
      </c>
      <c r="BI32" s="321">
        <f>$BI$51+MAX(0,第4期!BI32)-BF32</f>
        <v>0</v>
      </c>
      <c r="BJ32" s="201" t="str">
        <f t="shared" si="72"/>
        <v/>
      </c>
      <c r="BK32" s="201" t="str">
        <f t="shared" si="73"/>
        <v/>
      </c>
      <c r="BL32" s="203"/>
      <c r="BM32" s="194" t="s">
        <v>521</v>
      </c>
      <c r="BN32" s="201">
        <f>COUNTIF(BB7:BB26,"&gt;0")</f>
        <v>0</v>
      </c>
      <c r="BO32" s="201">
        <f>COUNTIF(BC7:BC26,"&gt;0")</f>
        <v>0</v>
      </c>
      <c r="BP32" s="201">
        <f>COUNTIF(BD7:BD26,"&gt;0")</f>
        <v>0</v>
      </c>
      <c r="BQ32" s="201">
        <f>COUNTIF(BE7:BE26,"&gt;0")</f>
        <v>0</v>
      </c>
      <c r="BR32" s="211"/>
      <c r="BS32" s="196">
        <f t="shared" si="48"/>
        <v>0</v>
      </c>
      <c r="BT32" s="213" t="e">
        <f t="shared" si="49"/>
        <v>#DIV/0!</v>
      </c>
      <c r="BU32" s="213" t="e">
        <f t="shared" si="50"/>
        <v>#DIV/0!</v>
      </c>
      <c r="BV32" s="213" t="e">
        <f t="shared" si="51"/>
        <v>#DIV/0!</v>
      </c>
      <c r="BW32" s="213" t="e">
        <f t="shared" si="52"/>
        <v>#DIV/0!</v>
      </c>
      <c r="BX32" s="213" t="e">
        <f t="shared" si="53"/>
        <v>#DIV/0!</v>
      </c>
      <c r="BY32" s="213" t="e">
        <f t="shared" si="54"/>
        <v>#DIV/0!</v>
      </c>
      <c r="BZ32" s="213" t="e">
        <f t="shared" si="55"/>
        <v>#DIV/0!</v>
      </c>
      <c r="CA32" s="213" t="e">
        <f t="shared" si="56"/>
        <v>#DIV/0!</v>
      </c>
      <c r="CB32" s="213" t="e">
        <f t="shared" si="57"/>
        <v>#DIV/0!</v>
      </c>
      <c r="CC32" s="213" t="e">
        <f t="shared" si="58"/>
        <v>#DIV/0!</v>
      </c>
      <c r="CD32" s="213" t="e">
        <f t="shared" si="59"/>
        <v>#DIV/0!</v>
      </c>
      <c r="CE32" s="213" t="e">
        <f t="shared" si="60"/>
        <v>#DIV/0!</v>
      </c>
      <c r="CF32" s="213" t="e">
        <f t="shared" si="61"/>
        <v>#DIV/0!</v>
      </c>
      <c r="CG32" s="213" t="e">
        <f t="shared" si="62"/>
        <v>#DIV/0!</v>
      </c>
      <c r="CH32" s="213" t="e">
        <f t="shared" si="63"/>
        <v>#DIV/0!</v>
      </c>
      <c r="CI32" s="213" t="e">
        <f t="shared" si="64"/>
        <v>#DIV/0!</v>
      </c>
      <c r="CJ32" s="226"/>
      <c r="CK32" s="228"/>
      <c r="CL32" s="228"/>
      <c r="CM32" s="228"/>
      <c r="CN32" s="228"/>
      <c r="CO32" s="228"/>
      <c r="CP32" s="228"/>
      <c r="CQ32" s="228"/>
      <c r="CR32" s="228"/>
      <c r="CS32" s="228"/>
      <c r="CT32" s="228"/>
      <c r="CU32" s="228"/>
      <c r="CV32" s="228"/>
      <c r="CW32" s="228"/>
      <c r="CX32" s="228"/>
      <c r="CY32" s="228"/>
      <c r="CZ32" s="228"/>
      <c r="DA32" s="228"/>
      <c r="DB32" s="228"/>
      <c r="DC32" s="228"/>
      <c r="DD32" s="228"/>
      <c r="DE32" s="228"/>
      <c r="DF32" s="228"/>
      <c r="DG32" s="228"/>
      <c r="DH32" s="228"/>
      <c r="DI32" s="228"/>
      <c r="DJ32" s="228"/>
      <c r="DK32" s="228"/>
      <c r="DL32" s="228"/>
      <c r="DM32" s="228"/>
      <c r="DN32" s="228"/>
      <c r="DO32" s="228"/>
      <c r="DP32" s="228"/>
      <c r="DQ32" s="228"/>
    </row>
    <row r="33" s="61" customFormat="1" ht="16" customHeight="1" spans="1:121">
      <c r="A33" s="269" t="s">
        <v>365</v>
      </c>
      <c r="B33" s="270"/>
      <c r="C33" s="77">
        <f>-B22*初始化表!B13</f>
        <v>0</v>
      </c>
      <c r="D33" s="79"/>
      <c r="E33" s="79">
        <f>E32-C33</f>
        <v>0</v>
      </c>
      <c r="F33" s="79" t="e">
        <f t="shared" si="47"/>
        <v>#DIV/0!</v>
      </c>
      <c r="G33" s="73"/>
      <c r="H33" s="391" t="e">
        <f>520*H31</f>
        <v>#DIV/0!</v>
      </c>
      <c r="I33" s="391" t="e">
        <f>520*I31</f>
        <v>#DIV/0!</v>
      </c>
      <c r="J33" s="391" t="e">
        <f>260*J31</f>
        <v>#DIV/0!</v>
      </c>
      <c r="K33" s="391">
        <f>I29*520</f>
        <v>0</v>
      </c>
      <c r="L33" s="91"/>
      <c r="M33" s="85"/>
      <c r="N33" s="83" t="e">
        <f>INT(IF(C28&lt;初始化表!B21,MIN((初始化表!B21-C28),P33),0)+1)</f>
        <v>#DIV/0!</v>
      </c>
      <c r="O33" s="83" t="e">
        <f>MAX(N33,IF(F48&lt;0,INT(-F48+1),0))</f>
        <v>#DIV/0!</v>
      </c>
      <c r="P33" s="102">
        <f>第4期!P33-第4期!B24</f>
        <v>0</v>
      </c>
      <c r="Q33" s="107"/>
      <c r="R33" s="83" t="e">
        <f>第4期!C37</f>
        <v>#DIV/0!</v>
      </c>
      <c r="S33" s="132"/>
      <c r="T33" s="120"/>
      <c r="U33" s="269" t="s">
        <v>524</v>
      </c>
      <c r="V33" s="115">
        <f>第4期!BN27</f>
        <v>0</v>
      </c>
      <c r="W33" s="115">
        <f>第4期!BO27</f>
        <v>0</v>
      </c>
      <c r="X33" s="115">
        <f>第4期!BP27</f>
        <v>0</v>
      </c>
      <c r="Y33" s="115">
        <f>第4期!BQ27</f>
        <v>0</v>
      </c>
      <c r="Z33" s="74"/>
      <c r="AA33" s="73"/>
      <c r="AB33" s="155"/>
      <c r="AC33" s="155"/>
      <c r="AD33" s="155"/>
      <c r="AE33" s="155"/>
      <c r="AF33" s="155"/>
      <c r="AG33" s="155"/>
      <c r="AH33" s="73"/>
      <c r="AZ33" s="193"/>
      <c r="BA33" s="196">
        <f t="shared" si="65"/>
        <v>0</v>
      </c>
      <c r="BB33" s="201">
        <f t="shared" si="66"/>
        <v>0</v>
      </c>
      <c r="BC33" s="201">
        <f t="shared" si="67"/>
        <v>0</v>
      </c>
      <c r="BD33" s="201">
        <f t="shared" si="68"/>
        <v>0</v>
      </c>
      <c r="BE33" s="201">
        <f t="shared" si="69"/>
        <v>0</v>
      </c>
      <c r="BF33" s="202">
        <f>(BB33*初始化表!E$17+BC33*初始化表!F$17+BD33*初始化表!G$17+BE33*初始化表!H$17)/1300</f>
        <v>0</v>
      </c>
      <c r="BG33" s="207">
        <f t="shared" si="70"/>
        <v>0</v>
      </c>
      <c r="BH33" s="207">
        <f t="shared" si="71"/>
        <v>0</v>
      </c>
      <c r="BI33" s="321">
        <f>$BI$51+MAX(0,第4期!BI33)-BF33</f>
        <v>0</v>
      </c>
      <c r="BJ33" s="201" t="str">
        <f t="shared" si="72"/>
        <v/>
      </c>
      <c r="BK33" s="201" t="str">
        <f t="shared" si="73"/>
        <v/>
      </c>
      <c r="BL33" s="203"/>
      <c r="BM33" s="194" t="s">
        <v>522</v>
      </c>
      <c r="BN33" s="201">
        <f>COUNTIF(BF7:BF26,"&gt;0")</f>
        <v>0</v>
      </c>
      <c r="BO33" s="201">
        <f>COUNTIF(BG7:BG26,"&gt;0")</f>
        <v>0</v>
      </c>
      <c r="BP33" s="201">
        <f>COUNTIF(BH7:BH26,"&gt;0")</f>
        <v>0</v>
      </c>
      <c r="BQ33" s="201">
        <f>COUNTIF(BI7:BI26,"&gt;0")</f>
        <v>0</v>
      </c>
      <c r="BR33" s="211"/>
      <c r="BS33" s="196">
        <f t="shared" si="48"/>
        <v>0</v>
      </c>
      <c r="BT33" s="213" t="e">
        <f t="shared" si="49"/>
        <v>#DIV/0!</v>
      </c>
      <c r="BU33" s="213" t="e">
        <f t="shared" si="50"/>
        <v>#DIV/0!</v>
      </c>
      <c r="BV33" s="213" t="e">
        <f t="shared" si="51"/>
        <v>#DIV/0!</v>
      </c>
      <c r="BW33" s="213" t="e">
        <f t="shared" si="52"/>
        <v>#DIV/0!</v>
      </c>
      <c r="BX33" s="213" t="e">
        <f t="shared" si="53"/>
        <v>#DIV/0!</v>
      </c>
      <c r="BY33" s="213" t="e">
        <f t="shared" si="54"/>
        <v>#DIV/0!</v>
      </c>
      <c r="BZ33" s="213" t="e">
        <f t="shared" si="55"/>
        <v>#DIV/0!</v>
      </c>
      <c r="CA33" s="213" t="e">
        <f t="shared" si="56"/>
        <v>#DIV/0!</v>
      </c>
      <c r="CB33" s="213" t="e">
        <f t="shared" si="57"/>
        <v>#DIV/0!</v>
      </c>
      <c r="CC33" s="213" t="e">
        <f t="shared" si="58"/>
        <v>#DIV/0!</v>
      </c>
      <c r="CD33" s="213" t="e">
        <f t="shared" si="59"/>
        <v>#DIV/0!</v>
      </c>
      <c r="CE33" s="213" t="e">
        <f t="shared" si="60"/>
        <v>#DIV/0!</v>
      </c>
      <c r="CF33" s="213" t="e">
        <f t="shared" si="61"/>
        <v>#DIV/0!</v>
      </c>
      <c r="CG33" s="213" t="e">
        <f t="shared" si="62"/>
        <v>#DIV/0!</v>
      </c>
      <c r="CH33" s="213" t="e">
        <f t="shared" si="63"/>
        <v>#DIV/0!</v>
      </c>
      <c r="CI33" s="213" t="e">
        <f t="shared" si="64"/>
        <v>#DIV/0!</v>
      </c>
      <c r="CJ33" s="226"/>
      <c r="CK33" s="228"/>
      <c r="CL33" s="228"/>
      <c r="CM33" s="228"/>
      <c r="CN33" s="228"/>
      <c r="CO33" s="228"/>
      <c r="CP33" s="228"/>
      <c r="CQ33" s="228"/>
      <c r="CR33" s="228"/>
      <c r="CS33" s="228"/>
      <c r="CT33" s="228"/>
      <c r="CU33" s="228"/>
      <c r="CV33" s="228"/>
      <c r="CW33" s="228"/>
      <c r="CX33" s="228"/>
      <c r="CY33" s="228"/>
      <c r="CZ33" s="228"/>
      <c r="DA33" s="228"/>
      <c r="DB33" s="228"/>
      <c r="DC33" s="228"/>
      <c r="DD33" s="228"/>
      <c r="DE33" s="228"/>
      <c r="DF33" s="228"/>
      <c r="DG33" s="228"/>
      <c r="DH33" s="228"/>
      <c r="DI33" s="228"/>
      <c r="DJ33" s="228"/>
      <c r="DK33" s="228"/>
      <c r="DL33" s="228"/>
      <c r="DM33" s="228"/>
      <c r="DN33" s="228"/>
      <c r="DO33" s="228"/>
      <c r="DP33" s="228"/>
      <c r="DQ33" s="228"/>
    </row>
    <row r="34" s="61" customFormat="1" ht="16" customHeight="1" spans="1:121">
      <c r="A34" s="269" t="s">
        <v>366</v>
      </c>
      <c r="B34" s="270"/>
      <c r="C34" s="77">
        <f>-C22*初始化表!B14</f>
        <v>0</v>
      </c>
      <c r="D34" s="79"/>
      <c r="E34" s="79">
        <f>E33-C34</f>
        <v>0</v>
      </c>
      <c r="F34" s="79" t="e">
        <f t="shared" si="47"/>
        <v>#DIV/0!</v>
      </c>
      <c r="G34" s="73"/>
      <c r="H34" s="354" t="s">
        <v>244</v>
      </c>
      <c r="I34" s="103">
        <f>-C43</f>
        <v>0</v>
      </c>
      <c r="J34" s="270" t="s">
        <v>613</v>
      </c>
      <c r="K34" s="357" t="s">
        <v>614</v>
      </c>
      <c r="L34" s="357"/>
      <c r="M34" s="85"/>
      <c r="N34" s="269" t="s">
        <v>615</v>
      </c>
      <c r="O34" s="269" t="s">
        <v>616</v>
      </c>
      <c r="P34" s="269" t="s">
        <v>617</v>
      </c>
      <c r="Q34" s="269" t="s">
        <v>618</v>
      </c>
      <c r="R34" s="269" t="s">
        <v>619</v>
      </c>
      <c r="S34" s="121"/>
      <c r="T34" s="120"/>
      <c r="U34" s="396"/>
      <c r="V34" s="90"/>
      <c r="W34" s="90"/>
      <c r="X34" s="90"/>
      <c r="Y34" s="90"/>
      <c r="Z34" s="74"/>
      <c r="AA34" s="73"/>
      <c r="AB34" s="154" t="s">
        <v>500</v>
      </c>
      <c r="AC34" s="154" t="s">
        <v>499</v>
      </c>
      <c r="AD34" s="154" t="s">
        <v>38</v>
      </c>
      <c r="AE34" s="154" t="s">
        <v>39</v>
      </c>
      <c r="AF34" s="154" t="s">
        <v>40</v>
      </c>
      <c r="AG34" s="154" t="s">
        <v>41</v>
      </c>
      <c r="AH34" s="73"/>
      <c r="AI34" s="68" t="s">
        <v>480</v>
      </c>
      <c r="AJ34" s="69"/>
      <c r="AK34" s="69"/>
      <c r="AL34" s="69"/>
      <c r="AM34" s="69"/>
      <c r="AN34" s="69"/>
      <c r="AO34" s="69"/>
      <c r="AP34" s="69"/>
      <c r="AQ34" s="69"/>
      <c r="AR34" s="69"/>
      <c r="AS34" s="69"/>
      <c r="AT34" s="69"/>
      <c r="AU34" s="69"/>
      <c r="AV34" s="69"/>
      <c r="AW34" s="69"/>
      <c r="AX34" s="69"/>
      <c r="AY34" s="69"/>
      <c r="AZ34" s="193"/>
      <c r="BA34" s="196">
        <f t="shared" si="65"/>
        <v>0</v>
      </c>
      <c r="BB34" s="201">
        <f t="shared" si="66"/>
        <v>0</v>
      </c>
      <c r="BC34" s="201">
        <f t="shared" si="67"/>
        <v>0</v>
      </c>
      <c r="BD34" s="201">
        <f t="shared" si="68"/>
        <v>0</v>
      </c>
      <c r="BE34" s="201">
        <f t="shared" si="69"/>
        <v>0</v>
      </c>
      <c r="BF34" s="202">
        <f>(BB34*初始化表!E$17+BC34*初始化表!F$17+BD34*初始化表!G$17+BE34*初始化表!H$17)/1300</f>
        <v>0</v>
      </c>
      <c r="BG34" s="207">
        <f t="shared" si="70"/>
        <v>0</v>
      </c>
      <c r="BH34" s="207">
        <f t="shared" si="71"/>
        <v>0</v>
      </c>
      <c r="BI34" s="321">
        <f>$BI$51+MAX(0,第4期!BI34)-BF34</f>
        <v>0</v>
      </c>
      <c r="BJ34" s="201" t="str">
        <f t="shared" si="72"/>
        <v/>
      </c>
      <c r="BK34" s="201" t="str">
        <f t="shared" si="73"/>
        <v/>
      </c>
      <c r="BL34" s="203"/>
      <c r="BM34" s="194" t="s">
        <v>523</v>
      </c>
      <c r="BN34" s="201">
        <f>COUNTIF(BJ7:BJ26,"&gt;0")</f>
        <v>0</v>
      </c>
      <c r="BO34" s="201">
        <f>COUNTIF(BK7:BK26,"&gt;0")</f>
        <v>0</v>
      </c>
      <c r="BP34" s="201">
        <f>COUNTIF(BL7:BL26,"&gt;0")</f>
        <v>0</v>
      </c>
      <c r="BQ34" s="201">
        <f>COUNTIF(BM7:BM26,"&gt;0")</f>
        <v>0</v>
      </c>
      <c r="BR34" s="211"/>
      <c r="BS34" s="196">
        <f t="shared" si="48"/>
        <v>0</v>
      </c>
      <c r="BT34" s="213" t="e">
        <f t="shared" si="49"/>
        <v>#DIV/0!</v>
      </c>
      <c r="BU34" s="213" t="e">
        <f t="shared" si="50"/>
        <v>#DIV/0!</v>
      </c>
      <c r="BV34" s="213" t="e">
        <f t="shared" si="51"/>
        <v>#DIV/0!</v>
      </c>
      <c r="BW34" s="213" t="e">
        <f t="shared" si="52"/>
        <v>#DIV/0!</v>
      </c>
      <c r="BX34" s="213" t="e">
        <f t="shared" si="53"/>
        <v>#DIV/0!</v>
      </c>
      <c r="BY34" s="213" t="e">
        <f t="shared" si="54"/>
        <v>#DIV/0!</v>
      </c>
      <c r="BZ34" s="213" t="e">
        <f t="shared" si="55"/>
        <v>#DIV/0!</v>
      </c>
      <c r="CA34" s="213" t="e">
        <f t="shared" si="56"/>
        <v>#DIV/0!</v>
      </c>
      <c r="CB34" s="213" t="e">
        <f t="shared" si="57"/>
        <v>#DIV/0!</v>
      </c>
      <c r="CC34" s="213" t="e">
        <f t="shared" si="58"/>
        <v>#DIV/0!</v>
      </c>
      <c r="CD34" s="213" t="e">
        <f t="shared" si="59"/>
        <v>#DIV/0!</v>
      </c>
      <c r="CE34" s="213" t="e">
        <f t="shared" si="60"/>
        <v>#DIV/0!</v>
      </c>
      <c r="CF34" s="213" t="e">
        <f t="shared" si="61"/>
        <v>#DIV/0!</v>
      </c>
      <c r="CG34" s="213" t="e">
        <f t="shared" si="62"/>
        <v>#DIV/0!</v>
      </c>
      <c r="CH34" s="213" t="e">
        <f t="shared" si="63"/>
        <v>#DIV/0!</v>
      </c>
      <c r="CI34" s="213" t="e">
        <f t="shared" si="64"/>
        <v>#DIV/0!</v>
      </c>
      <c r="CJ34" s="226"/>
      <c r="CK34" s="228"/>
      <c r="CL34" s="228"/>
      <c r="CM34" s="228"/>
      <c r="CN34" s="228"/>
      <c r="CO34" s="228"/>
      <c r="CP34" s="228"/>
      <c r="CQ34" s="228"/>
      <c r="CR34" s="228"/>
      <c r="CS34" s="228"/>
      <c r="CT34" s="228"/>
      <c r="CU34" s="228"/>
      <c r="CV34" s="228"/>
      <c r="CW34" s="228"/>
      <c r="CX34" s="228"/>
      <c r="CY34" s="228"/>
      <c r="CZ34" s="228"/>
      <c r="DA34" s="228"/>
      <c r="DB34" s="228"/>
      <c r="DC34" s="228"/>
      <c r="DD34" s="228"/>
      <c r="DE34" s="228"/>
      <c r="DF34" s="228"/>
      <c r="DG34" s="228"/>
      <c r="DH34" s="228"/>
      <c r="DI34" s="228"/>
      <c r="DJ34" s="228"/>
      <c r="DK34" s="228"/>
      <c r="DL34" s="228"/>
      <c r="DM34" s="228"/>
      <c r="DN34" s="228"/>
      <c r="DO34" s="228"/>
      <c r="DP34" s="228"/>
      <c r="DQ34" s="228"/>
    </row>
    <row r="35" s="61" customFormat="1" ht="16" customHeight="1" spans="1:121">
      <c r="A35" s="269" t="s">
        <v>367</v>
      </c>
      <c r="B35" s="270"/>
      <c r="C35" s="77">
        <f>-(H17-C22+B22*初始化表!H4)*初始化表!B15*520*F24</f>
        <v>0</v>
      </c>
      <c r="D35" s="79"/>
      <c r="E35" s="79">
        <f>E34-C35</f>
        <v>0</v>
      </c>
      <c r="F35" s="79" t="e">
        <f t="shared" si="47"/>
        <v>#DIV/0!</v>
      </c>
      <c r="G35" s="73"/>
      <c r="H35" s="354" t="s">
        <v>223</v>
      </c>
      <c r="I35" s="103">
        <f>-C33</f>
        <v>0</v>
      </c>
      <c r="J35" s="77" t="e">
        <f>INT(($N$49*1300-SUMPRODUCT($L$177:$L$180,$H$177:$H$180))/H177)</f>
        <v>#DIV/0!</v>
      </c>
      <c r="K35" s="269" t="s">
        <v>198</v>
      </c>
      <c r="L35" s="90"/>
      <c r="M35" s="85"/>
      <c r="N35" s="102">
        <f>第4期!C24+第4期!N35</f>
        <v>0</v>
      </c>
      <c r="O35" s="102">
        <f>第4期!O35+第4期!C31+第4期!C30</f>
        <v>0</v>
      </c>
      <c r="P35" s="83" t="e">
        <f>INT(Q35)</f>
        <v>#DIV/0!</v>
      </c>
      <c r="Q35" s="133" t="e">
        <f>0.5*第4期!B80-O35</f>
        <v>#DIV/0!</v>
      </c>
      <c r="R35" s="107"/>
      <c r="S35" s="131"/>
      <c r="T35" s="120"/>
      <c r="U35" s="68" t="s">
        <v>620</v>
      </c>
      <c r="V35" s="68" t="s">
        <v>459</v>
      </c>
      <c r="W35" s="68" t="s">
        <v>460</v>
      </c>
      <c r="X35" s="68" t="s">
        <v>461</v>
      </c>
      <c r="Y35" s="68" t="s">
        <v>462</v>
      </c>
      <c r="Z35" s="74"/>
      <c r="AA35" s="73"/>
      <c r="AB35" s="154" t="s">
        <v>198</v>
      </c>
      <c r="AC35" s="152" t="e">
        <f>初始化表!$E$22-AC5</f>
        <v>#DIV/0!</v>
      </c>
      <c r="AD35" s="152" t="e">
        <f>初始化表!$E$22-AD5</f>
        <v>#DIV/0!</v>
      </c>
      <c r="AE35" s="152" t="e">
        <f>初始化表!$E$22-AE5</f>
        <v>#DIV/0!</v>
      </c>
      <c r="AF35" s="152" t="e">
        <f>初始化表!$E$22-AF5</f>
        <v>#DIV/0!</v>
      </c>
      <c r="AG35" s="152" t="e">
        <f>初始化表!$E$22-AG5</f>
        <v>#DIV/0!</v>
      </c>
      <c r="AH35" s="73"/>
      <c r="AI35" s="68" t="s">
        <v>37</v>
      </c>
      <c r="AJ35" s="68" t="s">
        <v>35</v>
      </c>
      <c r="AK35" s="69"/>
      <c r="AL35" s="69"/>
      <c r="AM35" s="69"/>
      <c r="AN35" s="68" t="s">
        <v>465</v>
      </c>
      <c r="AO35" s="69"/>
      <c r="AP35" s="69"/>
      <c r="AQ35" s="69"/>
      <c r="AR35" s="68" t="s">
        <v>466</v>
      </c>
      <c r="AS35" s="69"/>
      <c r="AT35" s="69"/>
      <c r="AU35" s="69"/>
      <c r="AV35" s="68" t="s">
        <v>468</v>
      </c>
      <c r="AW35" s="69"/>
      <c r="AX35" s="69"/>
      <c r="AY35" s="69"/>
      <c r="AZ35" s="193"/>
      <c r="BA35" s="196">
        <f t="shared" si="65"/>
        <v>0</v>
      </c>
      <c r="BB35" s="201">
        <f t="shared" si="66"/>
        <v>0</v>
      </c>
      <c r="BC35" s="201">
        <f t="shared" si="67"/>
        <v>0</v>
      </c>
      <c r="BD35" s="201">
        <f t="shared" si="68"/>
        <v>0</v>
      </c>
      <c r="BE35" s="201">
        <f t="shared" si="69"/>
        <v>0</v>
      </c>
      <c r="BF35" s="202">
        <f>(BB35*初始化表!E$17+BC35*初始化表!F$17+BD35*初始化表!G$17+BE35*初始化表!H$17)/1300</f>
        <v>0</v>
      </c>
      <c r="BG35" s="207">
        <f t="shared" si="70"/>
        <v>0</v>
      </c>
      <c r="BH35" s="207">
        <f t="shared" si="71"/>
        <v>0</v>
      </c>
      <c r="BI35" s="321">
        <f>$BI$51+MAX(0,第4期!BI35)-BF35</f>
        <v>0</v>
      </c>
      <c r="BJ35" s="201" t="str">
        <f t="shared" si="72"/>
        <v/>
      </c>
      <c r="BK35" s="201" t="str">
        <f t="shared" si="73"/>
        <v/>
      </c>
      <c r="BL35" s="203"/>
      <c r="BM35" s="194" t="s">
        <v>524</v>
      </c>
      <c r="BN35" s="201">
        <f>COUNTIF(BN7:BN26,"&gt;0")</f>
        <v>0</v>
      </c>
      <c r="BO35" s="201">
        <f>COUNTIF(BO7:BO26,"&gt;0")</f>
        <v>0</v>
      </c>
      <c r="BP35" s="201">
        <f>COUNTIF(BP7:BP26,"&gt;0")</f>
        <v>0</v>
      </c>
      <c r="BQ35" s="201">
        <f>COUNTIF(BQ7:BQ26,"&gt;0")</f>
        <v>0</v>
      </c>
      <c r="BR35" s="211"/>
      <c r="BS35" s="196">
        <f t="shared" si="48"/>
        <v>0</v>
      </c>
      <c r="BT35" s="213" t="e">
        <f t="shared" si="49"/>
        <v>#DIV/0!</v>
      </c>
      <c r="BU35" s="213" t="e">
        <f t="shared" si="50"/>
        <v>#DIV/0!</v>
      </c>
      <c r="BV35" s="213" t="e">
        <f t="shared" si="51"/>
        <v>#DIV/0!</v>
      </c>
      <c r="BW35" s="213" t="e">
        <f t="shared" si="52"/>
        <v>#DIV/0!</v>
      </c>
      <c r="BX35" s="213" t="e">
        <f t="shared" si="53"/>
        <v>#DIV/0!</v>
      </c>
      <c r="BY35" s="213" t="e">
        <f t="shared" si="54"/>
        <v>#DIV/0!</v>
      </c>
      <c r="BZ35" s="213" t="e">
        <f t="shared" si="55"/>
        <v>#DIV/0!</v>
      </c>
      <c r="CA35" s="213" t="e">
        <f t="shared" si="56"/>
        <v>#DIV/0!</v>
      </c>
      <c r="CB35" s="213" t="e">
        <f t="shared" si="57"/>
        <v>#DIV/0!</v>
      </c>
      <c r="CC35" s="213" t="e">
        <f t="shared" si="58"/>
        <v>#DIV/0!</v>
      </c>
      <c r="CD35" s="213" t="e">
        <f t="shared" si="59"/>
        <v>#DIV/0!</v>
      </c>
      <c r="CE35" s="213" t="e">
        <f t="shared" si="60"/>
        <v>#DIV/0!</v>
      </c>
      <c r="CF35" s="213" t="e">
        <f t="shared" si="61"/>
        <v>#DIV/0!</v>
      </c>
      <c r="CG35" s="213" t="e">
        <f t="shared" si="62"/>
        <v>#DIV/0!</v>
      </c>
      <c r="CH35" s="213" t="e">
        <f t="shared" si="63"/>
        <v>#DIV/0!</v>
      </c>
      <c r="CI35" s="213" t="e">
        <f t="shared" si="64"/>
        <v>#DIV/0!</v>
      </c>
      <c r="CJ35" s="226"/>
      <c r="CK35" s="228"/>
      <c r="CL35" s="228"/>
      <c r="CM35" s="228"/>
      <c r="CN35" s="228"/>
      <c r="CO35" s="228"/>
      <c r="CP35" s="228"/>
      <c r="CQ35" s="228"/>
      <c r="CR35" s="228"/>
      <c r="CS35" s="228"/>
      <c r="CT35" s="228"/>
      <c r="CU35" s="228"/>
      <c r="CV35" s="228"/>
      <c r="CW35" s="228"/>
      <c r="CX35" s="228"/>
      <c r="CY35" s="228"/>
      <c r="CZ35" s="228"/>
      <c r="DA35" s="228"/>
      <c r="DB35" s="228"/>
      <c r="DC35" s="228"/>
      <c r="DD35" s="228"/>
      <c r="DE35" s="228"/>
      <c r="DF35" s="228"/>
      <c r="DG35" s="228"/>
      <c r="DH35" s="228"/>
      <c r="DI35" s="228"/>
      <c r="DJ35" s="228"/>
      <c r="DK35" s="228"/>
      <c r="DL35" s="228"/>
      <c r="DM35" s="228"/>
      <c r="DN35" s="228"/>
      <c r="DO35" s="228"/>
      <c r="DP35" s="228"/>
      <c r="DQ35" s="228"/>
    </row>
    <row r="36" s="61" customFormat="1" ht="16" customHeight="1" spans="1:121">
      <c r="A36" s="269" t="s">
        <v>368</v>
      </c>
      <c r="B36" s="270"/>
      <c r="C36" s="77" t="e">
        <f>-N49*初始化表!B12</f>
        <v>#DIV/0!</v>
      </c>
      <c r="D36" s="79"/>
      <c r="E36" s="79" t="e">
        <f>E35-C36</f>
        <v>#DIV/0!</v>
      </c>
      <c r="F36" s="79" t="e">
        <f t="shared" si="47"/>
        <v>#DIV/0!</v>
      </c>
      <c r="G36" s="73"/>
      <c r="H36" s="354" t="s">
        <v>621</v>
      </c>
      <c r="I36" s="103">
        <f>-C34</f>
        <v>0</v>
      </c>
      <c r="J36" s="77" t="e">
        <f>INT(($N$49*1300-SUMPRODUCT($L$177:$L$180,$H$177:$H$180))/H178)</f>
        <v>#DIV/0!</v>
      </c>
      <c r="K36" s="269" t="s">
        <v>202</v>
      </c>
      <c r="L36" s="90"/>
      <c r="M36" s="85"/>
      <c r="N36" s="269" t="s">
        <v>622</v>
      </c>
      <c r="O36" s="269" t="s">
        <v>623</v>
      </c>
      <c r="P36" s="269" t="s">
        <v>624</v>
      </c>
      <c r="Q36" s="269" t="s">
        <v>625</v>
      </c>
      <c r="R36" s="269" t="s">
        <v>626</v>
      </c>
      <c r="S36" s="269" t="s">
        <v>739</v>
      </c>
      <c r="T36" s="289" t="s">
        <v>740</v>
      </c>
      <c r="U36" s="68" t="s">
        <v>464</v>
      </c>
      <c r="V36" s="115" t="e">
        <f>第4期!BN42</f>
        <v>#DIV/0!</v>
      </c>
      <c r="W36" s="115" t="e">
        <f>第4期!BO42</f>
        <v>#DIV/0!</v>
      </c>
      <c r="X36" s="115" t="e">
        <f>第4期!BP42</f>
        <v>#DIV/0!</v>
      </c>
      <c r="Y36" s="115" t="e">
        <f>第4期!BQ42</f>
        <v>#DIV/0!</v>
      </c>
      <c r="Z36" s="74"/>
      <c r="AA36" s="73"/>
      <c r="AB36" s="154" t="s">
        <v>202</v>
      </c>
      <c r="AC36" s="152" t="e">
        <f>初始化表!$F$22-AC6</f>
        <v>#DIV/0!</v>
      </c>
      <c r="AD36" s="152" t="e">
        <f>初始化表!$F$22-AD6</f>
        <v>#DIV/0!</v>
      </c>
      <c r="AE36" s="152" t="e">
        <f>初始化表!$F$22-AE6</f>
        <v>#DIV/0!</v>
      </c>
      <c r="AF36" s="152" t="e">
        <f>初始化表!$F$22-AF6</f>
        <v>#DIV/0!</v>
      </c>
      <c r="AG36" s="152" t="e">
        <f>初始化表!$F$22-AG6</f>
        <v>#DIV/0!</v>
      </c>
      <c r="AH36" s="73"/>
      <c r="AI36" s="69"/>
      <c r="AJ36" s="68" t="s">
        <v>320</v>
      </c>
      <c r="AK36" s="68" t="s">
        <v>321</v>
      </c>
      <c r="AL36" s="68" t="s">
        <v>322</v>
      </c>
      <c r="AM36" s="68" t="s">
        <v>319</v>
      </c>
      <c r="AN36" s="68" t="s">
        <v>320</v>
      </c>
      <c r="AO36" s="68" t="s">
        <v>321</v>
      </c>
      <c r="AP36" s="68" t="s">
        <v>322</v>
      </c>
      <c r="AQ36" s="68" t="s">
        <v>319</v>
      </c>
      <c r="AR36" s="68" t="s">
        <v>320</v>
      </c>
      <c r="AS36" s="68" t="s">
        <v>321</v>
      </c>
      <c r="AT36" s="68" t="s">
        <v>322</v>
      </c>
      <c r="AU36" s="68" t="s">
        <v>319</v>
      </c>
      <c r="AV36" s="68" t="s">
        <v>320</v>
      </c>
      <c r="AW36" s="68" t="s">
        <v>321</v>
      </c>
      <c r="AX36" s="68" t="s">
        <v>322</v>
      </c>
      <c r="AY36" s="68" t="s">
        <v>41</v>
      </c>
      <c r="AZ36" s="193"/>
      <c r="BA36" s="196">
        <f t="shared" si="65"/>
        <v>0</v>
      </c>
      <c r="BB36" s="201">
        <f t="shared" si="66"/>
        <v>0</v>
      </c>
      <c r="BC36" s="201">
        <f t="shared" si="67"/>
        <v>0</v>
      </c>
      <c r="BD36" s="201">
        <f t="shared" si="68"/>
        <v>0</v>
      </c>
      <c r="BE36" s="201">
        <f t="shared" si="69"/>
        <v>0</v>
      </c>
      <c r="BF36" s="202">
        <f>(BB36*初始化表!E$17+BC36*初始化表!F$17+BD36*初始化表!G$17+BE36*初始化表!H$17)/1300</f>
        <v>0</v>
      </c>
      <c r="BG36" s="207">
        <f t="shared" si="70"/>
        <v>0</v>
      </c>
      <c r="BH36" s="207">
        <f t="shared" si="71"/>
        <v>0</v>
      </c>
      <c r="BI36" s="321">
        <f>$BI$51+MAX(0,第4期!BI36)-BF36</f>
        <v>0</v>
      </c>
      <c r="BJ36" s="201" t="str">
        <f t="shared" si="72"/>
        <v/>
      </c>
      <c r="BK36" s="201" t="str">
        <f t="shared" si="73"/>
        <v/>
      </c>
      <c r="BL36" s="203"/>
      <c r="BM36" s="195"/>
      <c r="BN36" s="194" t="s">
        <v>513</v>
      </c>
      <c r="BO36" s="194" t="s">
        <v>514</v>
      </c>
      <c r="BP36" s="194" t="s">
        <v>515</v>
      </c>
      <c r="BQ36" s="194" t="s">
        <v>516</v>
      </c>
      <c r="BR36" s="211"/>
      <c r="BS36" s="196">
        <f t="shared" si="48"/>
        <v>0</v>
      </c>
      <c r="BT36" s="213" t="e">
        <f t="shared" si="49"/>
        <v>#DIV/0!</v>
      </c>
      <c r="BU36" s="213" t="e">
        <f t="shared" si="50"/>
        <v>#DIV/0!</v>
      </c>
      <c r="BV36" s="213" t="e">
        <f t="shared" si="51"/>
        <v>#DIV/0!</v>
      </c>
      <c r="BW36" s="213" t="e">
        <f t="shared" si="52"/>
        <v>#DIV/0!</v>
      </c>
      <c r="BX36" s="213" t="e">
        <f t="shared" si="53"/>
        <v>#DIV/0!</v>
      </c>
      <c r="BY36" s="213" t="e">
        <f t="shared" si="54"/>
        <v>#DIV/0!</v>
      </c>
      <c r="BZ36" s="213" t="e">
        <f t="shared" si="55"/>
        <v>#DIV/0!</v>
      </c>
      <c r="CA36" s="213" t="e">
        <f t="shared" si="56"/>
        <v>#DIV/0!</v>
      </c>
      <c r="CB36" s="213" t="e">
        <f t="shared" si="57"/>
        <v>#DIV/0!</v>
      </c>
      <c r="CC36" s="213" t="e">
        <f t="shared" si="58"/>
        <v>#DIV/0!</v>
      </c>
      <c r="CD36" s="213" t="e">
        <f t="shared" si="59"/>
        <v>#DIV/0!</v>
      </c>
      <c r="CE36" s="213" t="e">
        <f t="shared" si="60"/>
        <v>#DIV/0!</v>
      </c>
      <c r="CF36" s="213" t="e">
        <f t="shared" si="61"/>
        <v>#DIV/0!</v>
      </c>
      <c r="CG36" s="213" t="e">
        <f t="shared" si="62"/>
        <v>#DIV/0!</v>
      </c>
      <c r="CH36" s="213" t="e">
        <f t="shared" si="63"/>
        <v>#DIV/0!</v>
      </c>
      <c r="CI36" s="213" t="e">
        <f t="shared" si="64"/>
        <v>#DIV/0!</v>
      </c>
      <c r="CJ36" s="226"/>
      <c r="CK36" s="228"/>
      <c r="CL36" s="228"/>
      <c r="CM36" s="228"/>
      <c r="CN36" s="228"/>
      <c r="CO36" s="228"/>
      <c r="CP36" s="228"/>
      <c r="CQ36" s="228"/>
      <c r="CR36" s="228"/>
      <c r="CS36" s="228"/>
      <c r="CT36" s="228"/>
      <c r="CU36" s="228"/>
      <c r="CV36" s="228"/>
      <c r="CW36" s="228"/>
      <c r="CX36" s="228"/>
      <c r="CY36" s="228"/>
      <c r="CZ36" s="228"/>
      <c r="DA36" s="228"/>
      <c r="DB36" s="228"/>
      <c r="DC36" s="228"/>
      <c r="DD36" s="228"/>
      <c r="DE36" s="228"/>
      <c r="DF36" s="228"/>
      <c r="DG36" s="228"/>
      <c r="DH36" s="228"/>
      <c r="DI36" s="228"/>
      <c r="DJ36" s="228"/>
      <c r="DK36" s="228"/>
      <c r="DL36" s="228"/>
      <c r="DM36" s="228"/>
      <c r="DN36" s="228"/>
      <c r="DO36" s="228"/>
      <c r="DP36" s="228"/>
      <c r="DQ36" s="228"/>
    </row>
    <row r="37" s="61" customFormat="1" ht="16" customHeight="1" spans="1:121">
      <c r="A37" s="269" t="s">
        <v>369</v>
      </c>
      <c r="B37" s="270"/>
      <c r="C37" s="77" t="e">
        <f>IF(F36&lt;0,INT(1-F36),0)</f>
        <v>#DIV/0!</v>
      </c>
      <c r="D37" s="79"/>
      <c r="E37" s="79"/>
      <c r="F37" s="79" t="e">
        <f t="shared" si="47"/>
        <v>#DIV/0!</v>
      </c>
      <c r="G37" s="73"/>
      <c r="H37" s="354" t="s">
        <v>225</v>
      </c>
      <c r="I37" s="103">
        <f>-C35</f>
        <v>0</v>
      </c>
      <c r="J37" s="77" t="e">
        <f>INT(($N$49*1300-SUMPRODUCT($L$177:$L$180,$H$177:$H$180))/H179)</f>
        <v>#DIV/0!</v>
      </c>
      <c r="K37" s="269" t="s">
        <v>206</v>
      </c>
      <c r="L37" s="90"/>
      <c r="M37" s="85"/>
      <c r="N37" s="102">
        <f>第4期!D24</f>
        <v>0</v>
      </c>
      <c r="O37" s="107">
        <v>0</v>
      </c>
      <c r="P37" s="102" t="e">
        <f>MAX(0,INT(MIN(D56-E60+C61,F62-初始化表!B21)))</f>
        <v>#DIV/0!</v>
      </c>
      <c r="Q37" s="102" t="e">
        <f>MAX(0,INT(MIN(F62-MAX(E60,C28),F62+第6期!Q35+第6期!P33-F30+F48,P37)))</f>
        <v>#DIV/0!</v>
      </c>
      <c r="R37" s="107"/>
      <c r="S37" s="135" t="str">
        <f>IF(第4期!BA7=0,"未定",IF(第4期!BY27*(1-初始化表!B34*1.2)-(1-初始化表!B36)*第4期!BZ27&gt;0,"分红","不分红"))</f>
        <v>未定</v>
      </c>
      <c r="T37" s="397" t="str">
        <f>IF(第4期!BA7=0,"未定",ABS(第4期!BY27-第4期!BZ27))</f>
        <v>未定</v>
      </c>
      <c r="U37" s="68" t="s">
        <v>465</v>
      </c>
      <c r="V37" s="115" t="e">
        <f>第4期!BN43</f>
        <v>#DIV/0!</v>
      </c>
      <c r="W37" s="115" t="e">
        <f>第4期!BO43</f>
        <v>#DIV/0!</v>
      </c>
      <c r="X37" s="115" t="e">
        <f>第4期!BP43</f>
        <v>#DIV/0!</v>
      </c>
      <c r="Y37" s="115" t="e">
        <f>第4期!BQ43</f>
        <v>#DIV/0!</v>
      </c>
      <c r="Z37" s="74"/>
      <c r="AA37" s="73"/>
      <c r="AB37" s="154" t="s">
        <v>206</v>
      </c>
      <c r="AC37" s="152" t="e">
        <f>初始化表!$G$22-AC7</f>
        <v>#DIV/0!</v>
      </c>
      <c r="AD37" s="152" t="e">
        <f>初始化表!$G$22-AD7</f>
        <v>#DIV/0!</v>
      </c>
      <c r="AE37" s="152" t="e">
        <f>初始化表!$G$22-AE7</f>
        <v>#DIV/0!</v>
      </c>
      <c r="AF37" s="152" t="e">
        <f>初始化表!$G$22-AF7</f>
        <v>#DIV/0!</v>
      </c>
      <c r="AG37" s="152" t="e">
        <f>初始化表!$G$22-AG7</f>
        <v>#DIV/0!</v>
      </c>
      <c r="AH37" s="73"/>
      <c r="AI37" s="367"/>
      <c r="AJ37" s="368"/>
      <c r="AK37" s="368"/>
      <c r="AL37" s="368"/>
      <c r="AM37" s="368"/>
      <c r="AN37" s="368"/>
      <c r="AO37" s="368"/>
      <c r="AP37" s="368"/>
      <c r="AQ37" s="368"/>
      <c r="AR37" s="368"/>
      <c r="AS37" s="368"/>
      <c r="AT37" s="368"/>
      <c r="AU37" s="368"/>
      <c r="AV37" s="368"/>
      <c r="AW37" s="368"/>
      <c r="AX37" s="368"/>
      <c r="AY37" s="368"/>
      <c r="AZ37" s="193"/>
      <c r="BA37" s="196">
        <f t="shared" si="65"/>
        <v>0</v>
      </c>
      <c r="BB37" s="201">
        <f t="shared" si="66"/>
        <v>0</v>
      </c>
      <c r="BC37" s="201">
        <f t="shared" si="67"/>
        <v>0</v>
      </c>
      <c r="BD37" s="201">
        <f t="shared" si="68"/>
        <v>0</v>
      </c>
      <c r="BE37" s="201">
        <f t="shared" si="69"/>
        <v>0</v>
      </c>
      <c r="BF37" s="202">
        <f>(BB37*初始化表!E$17+BC37*初始化表!F$17+BD37*初始化表!G$17+BE37*初始化表!H$17)/1300</f>
        <v>0</v>
      </c>
      <c r="BG37" s="207">
        <f t="shared" si="70"/>
        <v>0</v>
      </c>
      <c r="BH37" s="207">
        <f t="shared" si="71"/>
        <v>0</v>
      </c>
      <c r="BI37" s="321">
        <f>$BI$51+MAX(0,第4期!BI37)-BF37</f>
        <v>0</v>
      </c>
      <c r="BJ37" s="201" t="str">
        <f t="shared" si="72"/>
        <v/>
      </c>
      <c r="BK37" s="201" t="str">
        <f t="shared" si="73"/>
        <v/>
      </c>
      <c r="BL37" s="203"/>
      <c r="BM37" s="194" t="s">
        <v>521</v>
      </c>
      <c r="BN37" s="201">
        <f>BB28</f>
        <v>0</v>
      </c>
      <c r="BO37" s="201">
        <f>BC28</f>
        <v>0</v>
      </c>
      <c r="BP37" s="201">
        <f>BD28</f>
        <v>0</v>
      </c>
      <c r="BQ37" s="201">
        <f>BE28</f>
        <v>0</v>
      </c>
      <c r="BR37" s="211"/>
      <c r="BS37" s="196">
        <f t="shared" si="48"/>
        <v>0</v>
      </c>
      <c r="BT37" s="213" t="e">
        <f t="shared" si="49"/>
        <v>#DIV/0!</v>
      </c>
      <c r="BU37" s="213" t="e">
        <f t="shared" si="50"/>
        <v>#DIV/0!</v>
      </c>
      <c r="BV37" s="213" t="e">
        <f t="shared" si="51"/>
        <v>#DIV/0!</v>
      </c>
      <c r="BW37" s="213" t="e">
        <f t="shared" si="52"/>
        <v>#DIV/0!</v>
      </c>
      <c r="BX37" s="213" t="e">
        <f t="shared" si="53"/>
        <v>#DIV/0!</v>
      </c>
      <c r="BY37" s="213" t="e">
        <f t="shared" si="54"/>
        <v>#DIV/0!</v>
      </c>
      <c r="BZ37" s="213" t="e">
        <f t="shared" si="55"/>
        <v>#DIV/0!</v>
      </c>
      <c r="CA37" s="213" t="e">
        <f t="shared" si="56"/>
        <v>#DIV/0!</v>
      </c>
      <c r="CB37" s="213" t="e">
        <f t="shared" si="57"/>
        <v>#DIV/0!</v>
      </c>
      <c r="CC37" s="213" t="e">
        <f t="shared" si="58"/>
        <v>#DIV/0!</v>
      </c>
      <c r="CD37" s="213" t="e">
        <f t="shared" si="59"/>
        <v>#DIV/0!</v>
      </c>
      <c r="CE37" s="213" t="e">
        <f t="shared" si="60"/>
        <v>#DIV/0!</v>
      </c>
      <c r="CF37" s="213" t="e">
        <f t="shared" si="61"/>
        <v>#DIV/0!</v>
      </c>
      <c r="CG37" s="213" t="e">
        <f t="shared" si="62"/>
        <v>#DIV/0!</v>
      </c>
      <c r="CH37" s="213" t="e">
        <f t="shared" si="63"/>
        <v>#DIV/0!</v>
      </c>
      <c r="CI37" s="213" t="e">
        <f t="shared" si="64"/>
        <v>#DIV/0!</v>
      </c>
      <c r="CJ37" s="226"/>
      <c r="CK37" s="228"/>
      <c r="CL37" s="228"/>
      <c r="CM37" s="228"/>
      <c r="CN37" s="228"/>
      <c r="CO37" s="228"/>
      <c r="CP37" s="228"/>
      <c r="CQ37" s="228"/>
      <c r="CR37" s="228"/>
      <c r="CS37" s="228"/>
      <c r="CT37" s="228"/>
      <c r="CU37" s="228"/>
      <c r="CV37" s="228"/>
      <c r="CW37" s="228"/>
      <c r="CX37" s="228"/>
      <c r="CY37" s="228"/>
      <c r="CZ37" s="228"/>
      <c r="DA37" s="228"/>
      <c r="DB37" s="228"/>
      <c r="DC37" s="228"/>
      <c r="DD37" s="228"/>
      <c r="DE37" s="228"/>
      <c r="DF37" s="228"/>
      <c r="DG37" s="228"/>
      <c r="DH37" s="228"/>
      <c r="DI37" s="228"/>
      <c r="DJ37" s="228"/>
      <c r="DK37" s="228"/>
      <c r="DL37" s="228"/>
      <c r="DM37" s="228"/>
      <c r="DN37" s="228"/>
      <c r="DO37" s="228"/>
      <c r="DP37" s="228"/>
      <c r="DQ37" s="228"/>
    </row>
    <row r="38" s="61" customFormat="1" ht="16" customHeight="1" spans="1:121">
      <c r="A38" s="269" t="s">
        <v>370</v>
      </c>
      <c r="B38" s="270"/>
      <c r="C38" s="77">
        <f>-SUM(F17:F20)</f>
        <v>0</v>
      </c>
      <c r="D38" s="79"/>
      <c r="E38" s="79"/>
      <c r="F38" s="79" t="e">
        <f t="shared" si="47"/>
        <v>#DIV/0!</v>
      </c>
      <c r="G38" s="73"/>
      <c r="H38" s="354" t="s">
        <v>627</v>
      </c>
      <c r="I38" s="103">
        <f>-C44</f>
        <v>0</v>
      </c>
      <c r="J38" s="77" t="e">
        <f>INT(($N$49*1300-SUMPRODUCT($L$177:$L$180,$H$177:$H$180))/H180)</f>
        <v>#DIV/0!</v>
      </c>
      <c r="K38" s="269" t="s">
        <v>208</v>
      </c>
      <c r="L38" s="90"/>
      <c r="M38" s="85"/>
      <c r="N38" s="108" t="s">
        <v>628</v>
      </c>
      <c r="O38" s="108"/>
      <c r="P38" s="393" t="e">
        <f>F48</f>
        <v>#DIV/0!</v>
      </c>
      <c r="Q38" s="269" t="s">
        <v>629</v>
      </c>
      <c r="R38" s="292" t="e">
        <f>F64-MAX(E60,第4期!F64)</f>
        <v>#DIV/0!</v>
      </c>
      <c r="S38" s="137"/>
      <c r="T38" s="120"/>
      <c r="U38" s="68" t="s">
        <v>466</v>
      </c>
      <c r="V38" s="115" t="e">
        <f>第4期!BN44</f>
        <v>#DIV/0!</v>
      </c>
      <c r="W38" s="115" t="e">
        <f>第4期!BO44</f>
        <v>#DIV/0!</v>
      </c>
      <c r="X38" s="115" t="e">
        <f>第4期!BP44</f>
        <v>#DIV/0!</v>
      </c>
      <c r="Y38" s="115" t="e">
        <f>第4期!BQ44</f>
        <v>#DIV/0!</v>
      </c>
      <c r="Z38" s="74"/>
      <c r="AA38" s="73"/>
      <c r="AB38" s="154" t="s">
        <v>208</v>
      </c>
      <c r="AC38" s="152" t="e">
        <f>初始化表!$H$22-AC8</f>
        <v>#DIV/0!</v>
      </c>
      <c r="AD38" s="152" t="e">
        <f>初始化表!$H$22-AD8</f>
        <v>#DIV/0!</v>
      </c>
      <c r="AE38" s="152" t="e">
        <f>初始化表!$H$22-AE8</f>
        <v>#DIV/0!</v>
      </c>
      <c r="AF38" s="152" t="e">
        <f>初始化表!$H$22-AF8</f>
        <v>#DIV/0!</v>
      </c>
      <c r="AG38" s="152" t="e">
        <f>初始化表!$H$22-AG8</f>
        <v>#DIV/0!</v>
      </c>
      <c r="AH38" s="73"/>
      <c r="AI38" s="367"/>
      <c r="AJ38" s="368"/>
      <c r="AK38" s="368"/>
      <c r="AL38" s="368"/>
      <c r="AM38" s="368"/>
      <c r="AN38" s="368"/>
      <c r="AO38" s="368"/>
      <c r="AP38" s="368"/>
      <c r="AQ38" s="368"/>
      <c r="AR38" s="368"/>
      <c r="AS38" s="368"/>
      <c r="AT38" s="368"/>
      <c r="AU38" s="368"/>
      <c r="AV38" s="368"/>
      <c r="AW38" s="368"/>
      <c r="AX38" s="368"/>
      <c r="AY38" s="368"/>
      <c r="AZ38" s="193"/>
      <c r="BA38" s="196">
        <f t="shared" si="65"/>
        <v>0</v>
      </c>
      <c r="BB38" s="201">
        <f t="shared" si="66"/>
        <v>0</v>
      </c>
      <c r="BC38" s="201">
        <f t="shared" si="67"/>
        <v>0</v>
      </c>
      <c r="BD38" s="201">
        <f t="shared" si="68"/>
        <v>0</v>
      </c>
      <c r="BE38" s="201">
        <f t="shared" si="69"/>
        <v>0</v>
      </c>
      <c r="BF38" s="202">
        <f>(BB38*初始化表!E$17+BC38*初始化表!F$17+BD38*初始化表!G$17+BE38*初始化表!H$17)/1300</f>
        <v>0</v>
      </c>
      <c r="BG38" s="207">
        <f t="shared" si="70"/>
        <v>0</v>
      </c>
      <c r="BH38" s="207">
        <f t="shared" si="71"/>
        <v>0</v>
      </c>
      <c r="BI38" s="321">
        <f>$BI$51+MAX(0,第4期!BI38)-BF38</f>
        <v>0</v>
      </c>
      <c r="BJ38" s="201" t="str">
        <f t="shared" si="72"/>
        <v/>
      </c>
      <c r="BK38" s="201" t="str">
        <f t="shared" si="73"/>
        <v/>
      </c>
      <c r="BL38" s="203"/>
      <c r="BM38" s="194" t="s">
        <v>522</v>
      </c>
      <c r="BN38" s="201">
        <f>BF28</f>
        <v>0</v>
      </c>
      <c r="BO38" s="201">
        <f>BG28</f>
        <v>0</v>
      </c>
      <c r="BP38" s="201">
        <f>BH28</f>
        <v>0</v>
      </c>
      <c r="BQ38" s="201">
        <f>BI28</f>
        <v>0</v>
      </c>
      <c r="BR38" s="211"/>
      <c r="BS38" s="196">
        <f t="shared" si="48"/>
        <v>0</v>
      </c>
      <c r="BT38" s="213" t="e">
        <f t="shared" si="49"/>
        <v>#DIV/0!</v>
      </c>
      <c r="BU38" s="213" t="e">
        <f t="shared" si="50"/>
        <v>#DIV/0!</v>
      </c>
      <c r="BV38" s="213" t="e">
        <f t="shared" si="51"/>
        <v>#DIV/0!</v>
      </c>
      <c r="BW38" s="213" t="e">
        <f t="shared" si="52"/>
        <v>#DIV/0!</v>
      </c>
      <c r="BX38" s="213" t="e">
        <f t="shared" si="53"/>
        <v>#DIV/0!</v>
      </c>
      <c r="BY38" s="213" t="e">
        <f t="shared" si="54"/>
        <v>#DIV/0!</v>
      </c>
      <c r="BZ38" s="213" t="e">
        <f t="shared" si="55"/>
        <v>#DIV/0!</v>
      </c>
      <c r="CA38" s="213" t="e">
        <f t="shared" si="56"/>
        <v>#DIV/0!</v>
      </c>
      <c r="CB38" s="213" t="e">
        <f t="shared" si="57"/>
        <v>#DIV/0!</v>
      </c>
      <c r="CC38" s="213" t="e">
        <f t="shared" si="58"/>
        <v>#DIV/0!</v>
      </c>
      <c r="CD38" s="213" t="e">
        <f t="shared" si="59"/>
        <v>#DIV/0!</v>
      </c>
      <c r="CE38" s="213" t="e">
        <f t="shared" si="60"/>
        <v>#DIV/0!</v>
      </c>
      <c r="CF38" s="213" t="e">
        <f t="shared" si="61"/>
        <v>#DIV/0!</v>
      </c>
      <c r="CG38" s="213" t="e">
        <f t="shared" si="62"/>
        <v>#DIV/0!</v>
      </c>
      <c r="CH38" s="213" t="e">
        <f t="shared" si="63"/>
        <v>#DIV/0!</v>
      </c>
      <c r="CI38" s="213" t="e">
        <f t="shared" si="64"/>
        <v>#DIV/0!</v>
      </c>
      <c r="CJ38" s="226"/>
      <c r="CK38" s="228"/>
      <c r="CL38" s="228"/>
      <c r="CM38" s="228"/>
      <c r="CN38" s="228"/>
      <c r="CO38" s="228"/>
      <c r="CP38" s="228"/>
      <c r="CQ38" s="228"/>
      <c r="CR38" s="228"/>
      <c r="CS38" s="228"/>
      <c r="CT38" s="228"/>
      <c r="CU38" s="228"/>
      <c r="CV38" s="228"/>
      <c r="CW38" s="228"/>
      <c r="CX38" s="228"/>
      <c r="CY38" s="228"/>
      <c r="CZ38" s="228"/>
      <c r="DA38" s="228"/>
      <c r="DB38" s="228"/>
      <c r="DC38" s="228"/>
      <c r="DD38" s="228"/>
      <c r="DE38" s="228"/>
      <c r="DF38" s="228"/>
      <c r="DG38" s="228"/>
      <c r="DH38" s="228"/>
      <c r="DI38" s="228"/>
      <c r="DJ38" s="228"/>
      <c r="DK38" s="228"/>
      <c r="DL38" s="228"/>
      <c r="DM38" s="228"/>
      <c r="DN38" s="228"/>
      <c r="DO38" s="228"/>
      <c r="DP38" s="228"/>
      <c r="DQ38" s="228"/>
    </row>
    <row r="39" s="61" customFormat="1" ht="16" customHeight="1" spans="1:121">
      <c r="A39" s="269" t="s">
        <v>371</v>
      </c>
      <c r="B39" s="270"/>
      <c r="C39" s="77">
        <f>(C38+第4期!C38)/2</f>
        <v>0</v>
      </c>
      <c r="D39" s="79"/>
      <c r="E39" s="79" t="e">
        <f>E36-C39</f>
        <v>#DIV/0!</v>
      </c>
      <c r="F39" s="79"/>
      <c r="G39" s="73"/>
      <c r="H39" s="354" t="s">
        <v>241</v>
      </c>
      <c r="I39" s="248">
        <f>SUM(I34:I38)</f>
        <v>0</v>
      </c>
      <c r="J39" s="110"/>
      <c r="K39" s="110"/>
      <c r="L39" s="110"/>
      <c r="M39" s="85"/>
      <c r="N39" s="269" t="s">
        <v>631</v>
      </c>
      <c r="O39" s="270"/>
      <c r="P39" s="270"/>
      <c r="Q39" s="270"/>
      <c r="R39" s="270"/>
      <c r="S39" s="74"/>
      <c r="T39" s="120"/>
      <c r="U39" s="68" t="s">
        <v>468</v>
      </c>
      <c r="V39" s="115" t="e">
        <f>第4期!BN45</f>
        <v>#DIV/0!</v>
      </c>
      <c r="W39" s="115" t="e">
        <f>第4期!BO45</f>
        <v>#DIV/0!</v>
      </c>
      <c r="X39" s="115" t="e">
        <f>第4期!BP45</f>
        <v>#DIV/0!</v>
      </c>
      <c r="Y39" s="115" t="e">
        <f>第4期!BQ45</f>
        <v>#DIV/0!</v>
      </c>
      <c r="Z39" s="74"/>
      <c r="AA39" s="73"/>
      <c r="AB39" s="74"/>
      <c r="AC39" s="74"/>
      <c r="AD39" s="74"/>
      <c r="AE39" s="74"/>
      <c r="AF39" s="74"/>
      <c r="AG39" s="74"/>
      <c r="AH39" s="73"/>
      <c r="AI39" s="367"/>
      <c r="AJ39" s="368"/>
      <c r="AK39" s="368"/>
      <c r="AL39" s="368"/>
      <c r="AM39" s="368"/>
      <c r="AN39" s="368"/>
      <c r="AO39" s="368"/>
      <c r="AP39" s="368"/>
      <c r="AQ39" s="368"/>
      <c r="AR39" s="368"/>
      <c r="AS39" s="368"/>
      <c r="AT39" s="368"/>
      <c r="AU39" s="368"/>
      <c r="AV39" s="368"/>
      <c r="AW39" s="368"/>
      <c r="AX39" s="368"/>
      <c r="AY39" s="368"/>
      <c r="AZ39" s="193"/>
      <c r="BA39" s="196">
        <f t="shared" si="65"/>
        <v>0</v>
      </c>
      <c r="BB39" s="201">
        <f t="shared" si="66"/>
        <v>0</v>
      </c>
      <c r="BC39" s="201">
        <f t="shared" si="67"/>
        <v>0</v>
      </c>
      <c r="BD39" s="201">
        <f t="shared" si="68"/>
        <v>0</v>
      </c>
      <c r="BE39" s="201">
        <f t="shared" si="69"/>
        <v>0</v>
      </c>
      <c r="BF39" s="202">
        <f>(BB39*初始化表!E$17+BC39*初始化表!F$17+BD39*初始化表!G$17+BE39*初始化表!H$17)/1300</f>
        <v>0</v>
      </c>
      <c r="BG39" s="207">
        <f t="shared" si="70"/>
        <v>0</v>
      </c>
      <c r="BH39" s="207">
        <f t="shared" si="71"/>
        <v>0</v>
      </c>
      <c r="BI39" s="321">
        <f>$BI$51+MAX(0,第4期!BI39)-BF39</f>
        <v>0</v>
      </c>
      <c r="BJ39" s="201" t="str">
        <f t="shared" si="72"/>
        <v/>
      </c>
      <c r="BK39" s="201" t="str">
        <f t="shared" si="73"/>
        <v/>
      </c>
      <c r="BL39" s="203"/>
      <c r="BM39" s="194" t="s">
        <v>523</v>
      </c>
      <c r="BN39" s="201">
        <f>BJ28</f>
        <v>0</v>
      </c>
      <c r="BO39" s="201">
        <f>BK28</f>
        <v>0</v>
      </c>
      <c r="BP39" s="201">
        <f>BL28</f>
        <v>0</v>
      </c>
      <c r="BQ39" s="201">
        <f>BM28</f>
        <v>0</v>
      </c>
      <c r="BR39" s="211"/>
      <c r="BS39" s="196">
        <f t="shared" si="48"/>
        <v>0</v>
      </c>
      <c r="BT39" s="213" t="e">
        <f t="shared" si="49"/>
        <v>#DIV/0!</v>
      </c>
      <c r="BU39" s="213" t="e">
        <f t="shared" si="50"/>
        <v>#DIV/0!</v>
      </c>
      <c r="BV39" s="213" t="e">
        <f t="shared" si="51"/>
        <v>#DIV/0!</v>
      </c>
      <c r="BW39" s="213" t="e">
        <f t="shared" si="52"/>
        <v>#DIV/0!</v>
      </c>
      <c r="BX39" s="213" t="e">
        <f t="shared" si="53"/>
        <v>#DIV/0!</v>
      </c>
      <c r="BY39" s="213" t="e">
        <f t="shared" si="54"/>
        <v>#DIV/0!</v>
      </c>
      <c r="BZ39" s="213" t="e">
        <f t="shared" si="55"/>
        <v>#DIV/0!</v>
      </c>
      <c r="CA39" s="213" t="e">
        <f t="shared" si="56"/>
        <v>#DIV/0!</v>
      </c>
      <c r="CB39" s="213" t="e">
        <f t="shared" si="57"/>
        <v>#DIV/0!</v>
      </c>
      <c r="CC39" s="213" t="e">
        <f t="shared" si="58"/>
        <v>#DIV/0!</v>
      </c>
      <c r="CD39" s="213" t="e">
        <f t="shared" si="59"/>
        <v>#DIV/0!</v>
      </c>
      <c r="CE39" s="213" t="e">
        <f t="shared" si="60"/>
        <v>#DIV/0!</v>
      </c>
      <c r="CF39" s="213" t="e">
        <f t="shared" si="61"/>
        <v>#DIV/0!</v>
      </c>
      <c r="CG39" s="213" t="e">
        <f t="shared" si="62"/>
        <v>#DIV/0!</v>
      </c>
      <c r="CH39" s="213" t="e">
        <f t="shared" si="63"/>
        <v>#DIV/0!</v>
      </c>
      <c r="CI39" s="213" t="e">
        <f t="shared" si="64"/>
        <v>#DIV/0!</v>
      </c>
      <c r="CJ39" s="226"/>
      <c r="CK39" s="228"/>
      <c r="CL39" s="228"/>
      <c r="CM39" s="228"/>
      <c r="CN39" s="228"/>
      <c r="CO39" s="228"/>
      <c r="CP39" s="228"/>
      <c r="CQ39" s="228"/>
      <c r="CR39" s="228"/>
      <c r="CS39" s="228"/>
      <c r="CT39" s="228"/>
      <c r="CU39" s="228"/>
      <c r="CV39" s="228"/>
      <c r="CW39" s="228"/>
      <c r="CX39" s="228"/>
      <c r="CY39" s="228"/>
      <c r="CZ39" s="228"/>
      <c r="DA39" s="228"/>
      <c r="DB39" s="228"/>
      <c r="DC39" s="228"/>
      <c r="DD39" s="228"/>
      <c r="DE39" s="228"/>
      <c r="DF39" s="228"/>
      <c r="DG39" s="228"/>
      <c r="DH39" s="228"/>
      <c r="DI39" s="228"/>
      <c r="DJ39" s="228"/>
      <c r="DK39" s="228"/>
      <c r="DL39" s="228"/>
      <c r="DM39" s="228"/>
      <c r="DN39" s="228"/>
      <c r="DO39" s="228"/>
      <c r="DP39" s="228"/>
      <c r="DQ39" s="228"/>
    </row>
    <row r="40" s="61" customFormat="1" ht="16" customHeight="1" spans="1:121">
      <c r="A40" s="269" t="s">
        <v>372</v>
      </c>
      <c r="B40" s="270"/>
      <c r="C40" s="77">
        <f>-E22</f>
        <v>0</v>
      </c>
      <c r="D40" s="79"/>
      <c r="E40" s="79"/>
      <c r="F40" s="79" t="e">
        <f>F38+C40</f>
        <v>#DIV/0!</v>
      </c>
      <c r="G40" s="73"/>
      <c r="H40" s="74"/>
      <c r="I40" s="74"/>
      <c r="J40" s="74"/>
      <c r="K40" s="74"/>
      <c r="L40" s="74"/>
      <c r="M40" s="85"/>
      <c r="N40" s="269" t="s">
        <v>632</v>
      </c>
      <c r="O40" s="269" t="s">
        <v>521</v>
      </c>
      <c r="P40" s="269" t="s">
        <v>522</v>
      </c>
      <c r="Q40" s="269" t="s">
        <v>523</v>
      </c>
      <c r="R40" s="269" t="s">
        <v>524</v>
      </c>
      <c r="S40" s="121"/>
      <c r="T40" s="120"/>
      <c r="U40" s="123"/>
      <c r="V40" s="74"/>
      <c r="W40" s="74"/>
      <c r="X40" s="74"/>
      <c r="Y40" s="74"/>
      <c r="Z40" s="74"/>
      <c r="AA40" s="73"/>
      <c r="AB40" s="400" t="s">
        <v>633</v>
      </c>
      <c r="AC40" s="401"/>
      <c r="AD40" s="161" t="e">
        <f>F77/AD41</f>
        <v>#DIV/0!</v>
      </c>
      <c r="AE40" s="161"/>
      <c r="AF40" s="74"/>
      <c r="AG40" s="74"/>
      <c r="AH40" s="73"/>
      <c r="AI40" s="367"/>
      <c r="AJ40" s="368"/>
      <c r="AK40" s="368"/>
      <c r="AL40" s="368"/>
      <c r="AM40" s="368"/>
      <c r="AN40" s="368"/>
      <c r="AO40" s="368"/>
      <c r="AP40" s="368"/>
      <c r="AQ40" s="368"/>
      <c r="AR40" s="368"/>
      <c r="AS40" s="368"/>
      <c r="AT40" s="368"/>
      <c r="AU40" s="368"/>
      <c r="AV40" s="368"/>
      <c r="AW40" s="368"/>
      <c r="AX40" s="368"/>
      <c r="AY40" s="368"/>
      <c r="AZ40" s="193"/>
      <c r="BA40" s="196">
        <f t="shared" si="65"/>
        <v>0</v>
      </c>
      <c r="BB40" s="201">
        <f t="shared" si="66"/>
        <v>0</v>
      </c>
      <c r="BC40" s="201">
        <f t="shared" si="67"/>
        <v>0</v>
      </c>
      <c r="BD40" s="201">
        <f t="shared" si="68"/>
        <v>0</v>
      </c>
      <c r="BE40" s="201">
        <f t="shared" si="69"/>
        <v>0</v>
      </c>
      <c r="BF40" s="202">
        <f>(BB40*初始化表!E$17+BC40*初始化表!F$17+BD40*初始化表!G$17+BE40*初始化表!H$17)/1300</f>
        <v>0</v>
      </c>
      <c r="BG40" s="207">
        <f t="shared" si="70"/>
        <v>0</v>
      </c>
      <c r="BH40" s="207">
        <f t="shared" si="71"/>
        <v>0</v>
      </c>
      <c r="BI40" s="321">
        <f>$BI$51+MAX(0,第4期!BI40)-BF40</f>
        <v>0</v>
      </c>
      <c r="BJ40" s="201" t="str">
        <f t="shared" si="72"/>
        <v/>
      </c>
      <c r="BK40" s="201" t="str">
        <f t="shared" si="73"/>
        <v/>
      </c>
      <c r="BL40" s="203"/>
      <c r="BM40" s="194" t="s">
        <v>524</v>
      </c>
      <c r="BN40" s="201">
        <f>BN28</f>
        <v>0</v>
      </c>
      <c r="BO40" s="201">
        <f>BO28</f>
        <v>0</v>
      </c>
      <c r="BP40" s="201">
        <f>BP28</f>
        <v>0</v>
      </c>
      <c r="BQ40" s="201">
        <f>BQ28</f>
        <v>0</v>
      </c>
      <c r="BR40" s="211"/>
      <c r="BS40" s="196">
        <f t="shared" si="48"/>
        <v>0</v>
      </c>
      <c r="BT40" s="213" t="e">
        <f t="shared" si="49"/>
        <v>#DIV/0!</v>
      </c>
      <c r="BU40" s="213" t="e">
        <f t="shared" si="50"/>
        <v>#DIV/0!</v>
      </c>
      <c r="BV40" s="213" t="e">
        <f t="shared" si="51"/>
        <v>#DIV/0!</v>
      </c>
      <c r="BW40" s="213" t="e">
        <f t="shared" si="52"/>
        <v>#DIV/0!</v>
      </c>
      <c r="BX40" s="213" t="e">
        <f t="shared" si="53"/>
        <v>#DIV/0!</v>
      </c>
      <c r="BY40" s="213" t="e">
        <f t="shared" si="54"/>
        <v>#DIV/0!</v>
      </c>
      <c r="BZ40" s="213" t="e">
        <f t="shared" si="55"/>
        <v>#DIV/0!</v>
      </c>
      <c r="CA40" s="213" t="e">
        <f t="shared" si="56"/>
        <v>#DIV/0!</v>
      </c>
      <c r="CB40" s="213" t="e">
        <f t="shared" si="57"/>
        <v>#DIV/0!</v>
      </c>
      <c r="CC40" s="213" t="e">
        <f t="shared" si="58"/>
        <v>#DIV/0!</v>
      </c>
      <c r="CD40" s="213" t="e">
        <f t="shared" si="59"/>
        <v>#DIV/0!</v>
      </c>
      <c r="CE40" s="213" t="e">
        <f t="shared" si="60"/>
        <v>#DIV/0!</v>
      </c>
      <c r="CF40" s="213" t="e">
        <f t="shared" si="61"/>
        <v>#DIV/0!</v>
      </c>
      <c r="CG40" s="213" t="e">
        <f t="shared" si="62"/>
        <v>#DIV/0!</v>
      </c>
      <c r="CH40" s="213" t="e">
        <f t="shared" si="63"/>
        <v>#DIV/0!</v>
      </c>
      <c r="CI40" s="213" t="e">
        <f t="shared" si="64"/>
        <v>#DIV/0!</v>
      </c>
      <c r="CJ40" s="226"/>
      <c r="CK40" s="228"/>
      <c r="CL40" s="228"/>
      <c r="CM40" s="228"/>
      <c r="CN40" s="228"/>
      <c r="CO40" s="228"/>
      <c r="CP40" s="228"/>
      <c r="CQ40" s="228"/>
      <c r="CR40" s="228"/>
      <c r="CS40" s="228"/>
      <c r="CT40" s="228"/>
      <c r="CU40" s="228"/>
      <c r="CV40" s="228"/>
      <c r="CW40" s="228"/>
      <c r="CX40" s="228"/>
      <c r="CY40" s="228"/>
      <c r="CZ40" s="228"/>
      <c r="DA40" s="228"/>
      <c r="DB40" s="228"/>
      <c r="DC40" s="228"/>
      <c r="DD40" s="228"/>
      <c r="DE40" s="228"/>
      <c r="DF40" s="228"/>
      <c r="DG40" s="228"/>
      <c r="DH40" s="228"/>
      <c r="DI40" s="228"/>
      <c r="DJ40" s="228"/>
      <c r="DK40" s="228"/>
      <c r="DL40" s="228"/>
      <c r="DM40" s="228"/>
      <c r="DN40" s="228"/>
      <c r="DO40" s="228"/>
      <c r="DP40" s="228"/>
      <c r="DQ40" s="228"/>
    </row>
    <row r="41" s="61" customFormat="1" ht="16" customHeight="1" spans="1:121">
      <c r="A41" s="269" t="s">
        <v>373</v>
      </c>
      <c r="B41" s="270"/>
      <c r="C41" s="77">
        <f>IF(E22&gt;=初始化表!K30,E22*(1-初始化表!L30),IF(E22&gt;=初始化表!K31,E22*(1-初始化表!L31),IF(E22&gt;=初始化表!K32,E22*(1-初始化表!L32),0)))</f>
        <v>0</v>
      </c>
      <c r="D41" s="79">
        <f>C41</f>
        <v>0</v>
      </c>
      <c r="E41" s="79"/>
      <c r="F41" s="79" t="e">
        <f>F40+C41</f>
        <v>#DIV/0!</v>
      </c>
      <c r="G41" s="73"/>
      <c r="H41" s="269" t="s">
        <v>634</v>
      </c>
      <c r="I41" s="270"/>
      <c r="J41" s="270"/>
      <c r="K41" s="270"/>
      <c r="L41" s="270"/>
      <c r="M41" s="85"/>
      <c r="N41" s="269" t="s">
        <v>635</v>
      </c>
      <c r="O41" s="111">
        <f>第4期!AN26</f>
        <v>0.95</v>
      </c>
      <c r="P41" s="111">
        <f>第4期!AN27</f>
        <v>0.95</v>
      </c>
      <c r="Q41" s="111">
        <f>第4期!AN28</f>
        <v>0.95</v>
      </c>
      <c r="R41" s="111">
        <f>第4期!AN29</f>
        <v>0.95</v>
      </c>
      <c r="S41" s="138"/>
      <c r="T41" s="120"/>
      <c r="U41" s="269" t="s">
        <v>636</v>
      </c>
      <c r="V41" s="269" t="s">
        <v>513</v>
      </c>
      <c r="W41" s="269" t="s">
        <v>514</v>
      </c>
      <c r="X41" s="269" t="s">
        <v>515</v>
      </c>
      <c r="Y41" s="269" t="s">
        <v>516</v>
      </c>
      <c r="Z41" s="269" t="s">
        <v>563</v>
      </c>
      <c r="AA41" s="73"/>
      <c r="AB41" s="400" t="s">
        <v>637</v>
      </c>
      <c r="AC41" s="401"/>
      <c r="AD41" s="162">
        <f>((SUM(V42:Y42,V11:Y11))*初始化表!E17+(SUM(V43:Y43,V12:Y12))*初始化表!F17+(SUM(V44:Y44,V13:Y13))*初始化表!G17+(SUM(V45:Y45,V14:Y14))*初始化表!H17)/1300</f>
        <v>0</v>
      </c>
      <c r="AE41" s="162"/>
      <c r="AF41" s="74"/>
      <c r="AG41" s="74"/>
      <c r="AH41" s="73"/>
      <c r="AI41" s="367"/>
      <c r="AJ41" s="368"/>
      <c r="AK41" s="368"/>
      <c r="AL41" s="368"/>
      <c r="AM41" s="368"/>
      <c r="AN41" s="368"/>
      <c r="AO41" s="368"/>
      <c r="AP41" s="368"/>
      <c r="AQ41" s="368"/>
      <c r="AR41" s="368"/>
      <c r="AS41" s="368"/>
      <c r="AT41" s="368"/>
      <c r="AU41" s="368"/>
      <c r="AV41" s="368"/>
      <c r="AW41" s="368"/>
      <c r="AX41" s="368"/>
      <c r="AY41" s="368"/>
      <c r="AZ41" s="193"/>
      <c r="BA41" s="196">
        <f t="shared" si="65"/>
        <v>0</v>
      </c>
      <c r="BB41" s="201">
        <f t="shared" si="66"/>
        <v>0</v>
      </c>
      <c r="BC41" s="201">
        <f t="shared" si="67"/>
        <v>0</v>
      </c>
      <c r="BD41" s="201">
        <f t="shared" si="68"/>
        <v>0</v>
      </c>
      <c r="BE41" s="201">
        <f t="shared" si="69"/>
        <v>0</v>
      </c>
      <c r="BF41" s="202">
        <f>(BB41*初始化表!E$17+BC41*初始化表!F$17+BD41*初始化表!G$17+BE41*初始化表!H$17)/1300</f>
        <v>0</v>
      </c>
      <c r="BG41" s="207">
        <f t="shared" si="70"/>
        <v>0</v>
      </c>
      <c r="BH41" s="207">
        <f t="shared" si="71"/>
        <v>0</v>
      </c>
      <c r="BI41" s="321">
        <f>$BI$51+MAX(0,第4期!BI41)-BF41</f>
        <v>0</v>
      </c>
      <c r="BJ41" s="201" t="str">
        <f t="shared" si="72"/>
        <v/>
      </c>
      <c r="BK41" s="201" t="str">
        <f t="shared" si="73"/>
        <v/>
      </c>
      <c r="BL41" s="203"/>
      <c r="BM41" s="217" t="s">
        <v>756</v>
      </c>
      <c r="BN41" s="194" t="s">
        <v>513</v>
      </c>
      <c r="BO41" s="194" t="s">
        <v>514</v>
      </c>
      <c r="BP41" s="194" t="s">
        <v>515</v>
      </c>
      <c r="BQ41" s="194" t="s">
        <v>516</v>
      </c>
      <c r="BR41" s="211"/>
      <c r="BS41" s="196">
        <f t="shared" si="48"/>
        <v>0</v>
      </c>
      <c r="BT41" s="213" t="e">
        <f t="shared" si="49"/>
        <v>#DIV/0!</v>
      </c>
      <c r="BU41" s="213" t="e">
        <f t="shared" si="50"/>
        <v>#DIV/0!</v>
      </c>
      <c r="BV41" s="213" t="e">
        <f t="shared" si="51"/>
        <v>#DIV/0!</v>
      </c>
      <c r="BW41" s="213" t="e">
        <f t="shared" si="52"/>
        <v>#DIV/0!</v>
      </c>
      <c r="BX41" s="213" t="e">
        <f t="shared" si="53"/>
        <v>#DIV/0!</v>
      </c>
      <c r="BY41" s="213" t="e">
        <f t="shared" si="54"/>
        <v>#DIV/0!</v>
      </c>
      <c r="BZ41" s="213" t="e">
        <f t="shared" si="55"/>
        <v>#DIV/0!</v>
      </c>
      <c r="CA41" s="213" t="e">
        <f t="shared" si="56"/>
        <v>#DIV/0!</v>
      </c>
      <c r="CB41" s="213" t="e">
        <f t="shared" si="57"/>
        <v>#DIV/0!</v>
      </c>
      <c r="CC41" s="213" t="e">
        <f t="shared" si="58"/>
        <v>#DIV/0!</v>
      </c>
      <c r="CD41" s="213" t="e">
        <f t="shared" si="59"/>
        <v>#DIV/0!</v>
      </c>
      <c r="CE41" s="213" t="e">
        <f t="shared" si="60"/>
        <v>#DIV/0!</v>
      </c>
      <c r="CF41" s="213" t="e">
        <f t="shared" si="61"/>
        <v>#DIV/0!</v>
      </c>
      <c r="CG41" s="213" t="e">
        <f t="shared" si="62"/>
        <v>#DIV/0!</v>
      </c>
      <c r="CH41" s="213" t="e">
        <f t="shared" si="63"/>
        <v>#DIV/0!</v>
      </c>
      <c r="CI41" s="213" t="e">
        <f t="shared" si="64"/>
        <v>#DIV/0!</v>
      </c>
      <c r="CJ41" s="226"/>
      <c r="CK41" s="228"/>
      <c r="CL41" s="228"/>
      <c r="CM41" s="228"/>
      <c r="CN41" s="228"/>
      <c r="CO41" s="228"/>
      <c r="CP41" s="228"/>
      <c r="CQ41" s="228"/>
      <c r="CR41" s="228"/>
      <c r="CS41" s="228"/>
      <c r="CT41" s="228"/>
      <c r="CU41" s="228"/>
      <c r="CV41" s="228"/>
      <c r="CW41" s="228"/>
      <c r="CX41" s="228"/>
      <c r="CY41" s="228"/>
      <c r="CZ41" s="228"/>
      <c r="DA41" s="228"/>
      <c r="DB41" s="228"/>
      <c r="DC41" s="228"/>
      <c r="DD41" s="228"/>
      <c r="DE41" s="228"/>
      <c r="DF41" s="228"/>
      <c r="DG41" s="228"/>
      <c r="DH41" s="228"/>
      <c r="DI41" s="228"/>
      <c r="DJ41" s="228"/>
      <c r="DK41" s="228"/>
      <c r="DL41" s="228"/>
      <c r="DM41" s="228"/>
      <c r="DN41" s="228"/>
      <c r="DO41" s="228"/>
      <c r="DP41" s="228"/>
      <c r="DQ41" s="228"/>
    </row>
    <row r="42" s="61" customFormat="1" ht="16" customHeight="1" spans="1:121">
      <c r="A42" s="269" t="s">
        <v>374</v>
      </c>
      <c r="B42" s="270"/>
      <c r="C42" s="77">
        <f>IF(E22&gt;0,-初始化表!B9-初始化表!B10*E22,0)</f>
        <v>0</v>
      </c>
      <c r="D42" s="79"/>
      <c r="E42" s="79" t="e">
        <f>E39-C42</f>
        <v>#DIV/0!</v>
      </c>
      <c r="F42" s="79" t="e">
        <f>F41+C42</f>
        <v>#DIV/0!</v>
      </c>
      <c r="G42" s="73"/>
      <c r="H42" s="269" t="s">
        <v>639</v>
      </c>
      <c r="I42" s="269" t="s">
        <v>640</v>
      </c>
      <c r="J42" s="269" t="s">
        <v>641</v>
      </c>
      <c r="K42" s="269" t="s">
        <v>642</v>
      </c>
      <c r="L42" s="269" t="s">
        <v>643</v>
      </c>
      <c r="M42" s="85"/>
      <c r="N42" s="269" t="s">
        <v>644</v>
      </c>
      <c r="O42" s="112" t="e">
        <f>1-0.5/MAX(B12:E12)</f>
        <v>#DIV/0!</v>
      </c>
      <c r="P42" s="112" t="e">
        <f>1-0.5/MAX(B13:E13)</f>
        <v>#DIV/0!</v>
      </c>
      <c r="Q42" s="112" t="e">
        <f>1-0.5/MAX(B14:E14)</f>
        <v>#DIV/0!</v>
      </c>
      <c r="R42" s="112" t="e">
        <f>1-0.5/MAX(B15:E15)</f>
        <v>#DIV/0!</v>
      </c>
      <c r="S42" s="139"/>
      <c r="T42" s="120"/>
      <c r="U42" s="269" t="s">
        <v>521</v>
      </c>
      <c r="V42" s="77">
        <f t="shared" ref="V42:Y45" si="74">MAX(B12+V5-V11-V84,0)</f>
        <v>0</v>
      </c>
      <c r="W42" s="77">
        <f t="shared" si="74"/>
        <v>0</v>
      </c>
      <c r="X42" s="77">
        <f t="shared" si="74"/>
        <v>0</v>
      </c>
      <c r="Y42" s="77">
        <f t="shared" si="74"/>
        <v>0</v>
      </c>
      <c r="Z42" s="402">
        <f>SUM(V42:Y42)</f>
        <v>0</v>
      </c>
      <c r="AA42" s="73"/>
      <c r="AB42" s="269" t="s">
        <v>645</v>
      </c>
      <c r="AC42" s="270"/>
      <c r="AD42" s="71" t="e">
        <f>C49/AD41</f>
        <v>#DIV/0!</v>
      </c>
      <c r="AE42" s="71"/>
      <c r="AF42" s="74"/>
      <c r="AG42" s="74"/>
      <c r="AH42" s="73"/>
      <c r="AI42" s="367"/>
      <c r="AJ42" s="368"/>
      <c r="AK42" s="368"/>
      <c r="AL42" s="368"/>
      <c r="AM42" s="368"/>
      <c r="AN42" s="368"/>
      <c r="AO42" s="368"/>
      <c r="AP42" s="368"/>
      <c r="AQ42" s="368"/>
      <c r="AR42" s="368"/>
      <c r="AS42" s="368"/>
      <c r="AT42" s="368"/>
      <c r="AU42" s="368"/>
      <c r="AV42" s="368"/>
      <c r="AW42" s="368"/>
      <c r="AX42" s="368"/>
      <c r="AY42" s="368"/>
      <c r="AZ42" s="193"/>
      <c r="BA42" s="196">
        <f t="shared" si="65"/>
        <v>0</v>
      </c>
      <c r="BB42" s="201">
        <f t="shared" si="66"/>
        <v>0</v>
      </c>
      <c r="BC42" s="201">
        <f t="shared" si="67"/>
        <v>0</v>
      </c>
      <c r="BD42" s="201">
        <f t="shared" si="68"/>
        <v>0</v>
      </c>
      <c r="BE42" s="201">
        <f t="shared" si="69"/>
        <v>0</v>
      </c>
      <c r="BF42" s="202">
        <f>(BB42*初始化表!E$17+BC42*初始化表!F$17+BD42*初始化表!G$17+BE42*初始化表!H$17)/1300</f>
        <v>0</v>
      </c>
      <c r="BG42" s="207">
        <f t="shared" si="70"/>
        <v>0</v>
      </c>
      <c r="BH42" s="207">
        <f t="shared" si="71"/>
        <v>0</v>
      </c>
      <c r="BI42" s="321">
        <f>$BI$51+MAX(0,第4期!BI42)-BF42</f>
        <v>0</v>
      </c>
      <c r="BJ42" s="201" t="str">
        <f t="shared" si="72"/>
        <v/>
      </c>
      <c r="BK42" s="201" t="str">
        <f t="shared" si="73"/>
        <v/>
      </c>
      <c r="BL42" s="203"/>
      <c r="BM42" s="194" t="s">
        <v>521</v>
      </c>
      <c r="BN42" s="201" t="e">
        <f t="shared" ref="BN42:BQ45" si="75">INT(1/BN32*BN37)</f>
        <v>#DIV/0!</v>
      </c>
      <c r="BO42" s="201" t="e">
        <f t="shared" si="75"/>
        <v>#DIV/0!</v>
      </c>
      <c r="BP42" s="201" t="e">
        <f t="shared" si="75"/>
        <v>#DIV/0!</v>
      </c>
      <c r="BQ42" s="201" t="e">
        <f t="shared" si="75"/>
        <v>#DIV/0!</v>
      </c>
      <c r="BR42" s="211"/>
      <c r="BS42" s="196">
        <f t="shared" si="48"/>
        <v>0</v>
      </c>
      <c r="BT42" s="213" t="e">
        <f t="shared" si="49"/>
        <v>#DIV/0!</v>
      </c>
      <c r="BU42" s="213" t="e">
        <f t="shared" si="50"/>
        <v>#DIV/0!</v>
      </c>
      <c r="BV42" s="213" t="e">
        <f t="shared" si="51"/>
        <v>#DIV/0!</v>
      </c>
      <c r="BW42" s="213" t="e">
        <f t="shared" si="52"/>
        <v>#DIV/0!</v>
      </c>
      <c r="BX42" s="213" t="e">
        <f t="shared" si="53"/>
        <v>#DIV/0!</v>
      </c>
      <c r="BY42" s="213" t="e">
        <f t="shared" si="54"/>
        <v>#DIV/0!</v>
      </c>
      <c r="BZ42" s="213" t="e">
        <f t="shared" si="55"/>
        <v>#DIV/0!</v>
      </c>
      <c r="CA42" s="213" t="e">
        <f t="shared" si="56"/>
        <v>#DIV/0!</v>
      </c>
      <c r="CB42" s="213" t="e">
        <f t="shared" si="57"/>
        <v>#DIV/0!</v>
      </c>
      <c r="CC42" s="213" t="e">
        <f t="shared" si="58"/>
        <v>#DIV/0!</v>
      </c>
      <c r="CD42" s="213" t="e">
        <f t="shared" si="59"/>
        <v>#DIV/0!</v>
      </c>
      <c r="CE42" s="213" t="e">
        <f t="shared" si="60"/>
        <v>#DIV/0!</v>
      </c>
      <c r="CF42" s="213" t="e">
        <f t="shared" si="61"/>
        <v>#DIV/0!</v>
      </c>
      <c r="CG42" s="213" t="e">
        <f t="shared" si="62"/>
        <v>#DIV/0!</v>
      </c>
      <c r="CH42" s="213" t="e">
        <f t="shared" si="63"/>
        <v>#DIV/0!</v>
      </c>
      <c r="CI42" s="213" t="e">
        <f t="shared" si="64"/>
        <v>#DIV/0!</v>
      </c>
      <c r="CJ42" s="226"/>
      <c r="CK42" s="228"/>
      <c r="CL42" s="228"/>
      <c r="CM42" s="228"/>
      <c r="CN42" s="228"/>
      <c r="CO42" s="228"/>
      <c r="CP42" s="228"/>
      <c r="CQ42" s="228"/>
      <c r="CR42" s="228"/>
      <c r="CS42" s="228"/>
      <c r="CT42" s="228"/>
      <c r="CU42" s="228"/>
      <c r="CV42" s="228"/>
      <c r="CW42" s="228"/>
      <c r="CX42" s="228"/>
      <c r="CY42" s="228"/>
      <c r="CZ42" s="228"/>
      <c r="DA42" s="228"/>
      <c r="DB42" s="228"/>
      <c r="DC42" s="228"/>
      <c r="DD42" s="228"/>
      <c r="DE42" s="228"/>
      <c r="DF42" s="228"/>
      <c r="DG42" s="228"/>
      <c r="DH42" s="228"/>
      <c r="DI42" s="228"/>
      <c r="DJ42" s="228"/>
      <c r="DK42" s="228"/>
      <c r="DL42" s="228"/>
      <c r="DM42" s="228"/>
      <c r="DN42" s="228"/>
      <c r="DO42" s="228"/>
      <c r="DP42" s="228"/>
      <c r="DQ42" s="228"/>
    </row>
    <row r="43" s="61" customFormat="1" ht="16" customHeight="1" spans="1:121">
      <c r="A43" s="269" t="s">
        <v>244</v>
      </c>
      <c r="B43" s="270"/>
      <c r="C43" s="77">
        <f>-(IF(SUM(B17:C17)=0,0,初始化表!H25)+IF(SUM(B18:C18)=0,0,初始化表!H26)+IF(SUM(B19:C19)=0,0,初始化表!H27)+IF(SUM(B20:C20)=0,0,初始化表!H28)+IF(SUM(D17:E17)=0,0,初始化表!I25)+IF(SUM(D18:E18)=0,0,初始化表!I26)+IF(SUM(D19:E19)=0,0,初始化表!I27)+IF(SUM(D20:E20)=0,0,初始化表!I28))</f>
        <v>0</v>
      </c>
      <c r="D43" s="79"/>
      <c r="E43" s="79" t="e">
        <f t="shared" ref="E43:E48" si="76">E42-C43</f>
        <v>#DIV/0!</v>
      </c>
      <c r="F43" s="79" t="e">
        <f>F42+C43</f>
        <v>#DIV/0!</v>
      </c>
      <c r="G43" s="73"/>
      <c r="H43" s="83">
        <f>第4期!F70</f>
        <v>0</v>
      </c>
      <c r="I43" s="83" t="e">
        <f>ROUNDUP(MAX(-K29/初始化表!B11,0),0)</f>
        <v>#DIV/0!</v>
      </c>
      <c r="J43" s="83" t="e">
        <f>IF(I43&lt;=0,0,IF(I43&lt;初始化表!K32,初始化表!K32,IF(I43&lt;初始化表!K31,初始化表!K31,IF(I43&lt;初始化表!K30,初始化表!K30,I43))))</f>
        <v>#DIV/0!</v>
      </c>
      <c r="K43" s="107"/>
      <c r="L43" s="83">
        <f>E22+H43-(SUM(B17:E17)*初始化表!E19+SUM(B18:E18)*初始化表!F19+SUM(B19:E19)*初始化表!G19+SUM(B20:E20)*初始化表!H19)</f>
        <v>0</v>
      </c>
      <c r="M43" s="85"/>
      <c r="N43" s="269" t="s">
        <v>646</v>
      </c>
      <c r="O43" s="111">
        <f>工资系数初始化!D23</f>
        <v>0.95</v>
      </c>
      <c r="P43" s="111">
        <f>工资系数初始化!E23</f>
        <v>0.95</v>
      </c>
      <c r="Q43" s="111">
        <f>工资系数初始化!F23</f>
        <v>0.95</v>
      </c>
      <c r="R43" s="111">
        <f>工资系数初始化!G23</f>
        <v>0.95</v>
      </c>
      <c r="S43" s="138"/>
      <c r="T43" s="120"/>
      <c r="U43" s="269" t="s">
        <v>522</v>
      </c>
      <c r="V43" s="77">
        <f t="shared" si="74"/>
        <v>0</v>
      </c>
      <c r="W43" s="77">
        <f t="shared" si="74"/>
        <v>0</v>
      </c>
      <c r="X43" s="77">
        <f t="shared" si="74"/>
        <v>0</v>
      </c>
      <c r="Y43" s="77">
        <f t="shared" si="74"/>
        <v>0</v>
      </c>
      <c r="Z43" s="402">
        <f>SUM(V43:Y43)</f>
        <v>0</v>
      </c>
      <c r="AA43" s="73"/>
      <c r="AB43" s="74"/>
      <c r="AC43" s="74"/>
      <c r="AD43" s="74"/>
      <c r="AE43" s="74"/>
      <c r="AF43" s="74"/>
      <c r="AG43" s="74"/>
      <c r="AH43" s="73"/>
      <c r="AI43" s="367"/>
      <c r="AJ43" s="368"/>
      <c r="AK43" s="368"/>
      <c r="AL43" s="368"/>
      <c r="AM43" s="368"/>
      <c r="AN43" s="368"/>
      <c r="AO43" s="368"/>
      <c r="AP43" s="368"/>
      <c r="AQ43" s="368"/>
      <c r="AR43" s="368"/>
      <c r="AS43" s="368"/>
      <c r="AT43" s="368"/>
      <c r="AU43" s="368"/>
      <c r="AV43" s="368"/>
      <c r="AW43" s="368"/>
      <c r="AX43" s="368"/>
      <c r="AY43" s="368"/>
      <c r="AZ43" s="193"/>
      <c r="BA43" s="196">
        <f t="shared" si="65"/>
        <v>0</v>
      </c>
      <c r="BB43" s="201">
        <f t="shared" si="66"/>
        <v>0</v>
      </c>
      <c r="BC43" s="201">
        <f t="shared" si="67"/>
        <v>0</v>
      </c>
      <c r="BD43" s="201">
        <f t="shared" si="68"/>
        <v>0</v>
      </c>
      <c r="BE43" s="201">
        <f t="shared" si="69"/>
        <v>0</v>
      </c>
      <c r="BF43" s="202">
        <f>(BB43*初始化表!E$17+BC43*初始化表!F$17+BD43*初始化表!G$17+BE43*初始化表!H$17)/1300</f>
        <v>0</v>
      </c>
      <c r="BG43" s="207">
        <f t="shared" si="70"/>
        <v>0</v>
      </c>
      <c r="BH43" s="207">
        <f t="shared" si="71"/>
        <v>0</v>
      </c>
      <c r="BI43" s="321">
        <f>$BI$51+MAX(0,第4期!BI43)-BF43</f>
        <v>0</v>
      </c>
      <c r="BJ43" s="201" t="str">
        <f t="shared" si="72"/>
        <v/>
      </c>
      <c r="BK43" s="201" t="str">
        <f t="shared" si="73"/>
        <v/>
      </c>
      <c r="BL43" s="203"/>
      <c r="BM43" s="194" t="s">
        <v>522</v>
      </c>
      <c r="BN43" s="201" t="e">
        <f t="shared" si="75"/>
        <v>#DIV/0!</v>
      </c>
      <c r="BO43" s="201" t="e">
        <f t="shared" si="75"/>
        <v>#DIV/0!</v>
      </c>
      <c r="BP43" s="201" t="e">
        <f t="shared" si="75"/>
        <v>#DIV/0!</v>
      </c>
      <c r="BQ43" s="201" t="e">
        <f t="shared" si="75"/>
        <v>#DIV/0!</v>
      </c>
      <c r="BR43" s="211"/>
      <c r="BS43" s="196">
        <f t="shared" si="48"/>
        <v>0</v>
      </c>
      <c r="BT43" s="213" t="e">
        <f t="shared" si="49"/>
        <v>#DIV/0!</v>
      </c>
      <c r="BU43" s="213" t="e">
        <f t="shared" si="50"/>
        <v>#DIV/0!</v>
      </c>
      <c r="BV43" s="213" t="e">
        <f t="shared" si="51"/>
        <v>#DIV/0!</v>
      </c>
      <c r="BW43" s="213" t="e">
        <f t="shared" si="52"/>
        <v>#DIV/0!</v>
      </c>
      <c r="BX43" s="213" t="e">
        <f t="shared" si="53"/>
        <v>#DIV/0!</v>
      </c>
      <c r="BY43" s="213" t="e">
        <f t="shared" si="54"/>
        <v>#DIV/0!</v>
      </c>
      <c r="BZ43" s="213" t="e">
        <f t="shared" si="55"/>
        <v>#DIV/0!</v>
      </c>
      <c r="CA43" s="213" t="e">
        <f t="shared" si="56"/>
        <v>#DIV/0!</v>
      </c>
      <c r="CB43" s="213" t="e">
        <f t="shared" si="57"/>
        <v>#DIV/0!</v>
      </c>
      <c r="CC43" s="213" t="e">
        <f t="shared" si="58"/>
        <v>#DIV/0!</v>
      </c>
      <c r="CD43" s="213" t="e">
        <f t="shared" si="59"/>
        <v>#DIV/0!</v>
      </c>
      <c r="CE43" s="213" t="e">
        <f t="shared" si="60"/>
        <v>#DIV/0!</v>
      </c>
      <c r="CF43" s="213" t="e">
        <f t="shared" si="61"/>
        <v>#DIV/0!</v>
      </c>
      <c r="CG43" s="213" t="e">
        <f t="shared" si="62"/>
        <v>#DIV/0!</v>
      </c>
      <c r="CH43" s="213" t="e">
        <f t="shared" si="63"/>
        <v>#DIV/0!</v>
      </c>
      <c r="CI43" s="213" t="e">
        <f t="shared" si="64"/>
        <v>#DIV/0!</v>
      </c>
      <c r="CJ43" s="226"/>
      <c r="CK43" s="228"/>
      <c r="CL43" s="228"/>
      <c r="CM43" s="228"/>
      <c r="CN43" s="228"/>
      <c r="CO43" s="228"/>
      <c r="CP43" s="228"/>
      <c r="CQ43" s="228"/>
      <c r="CR43" s="228"/>
      <c r="CS43" s="228"/>
      <c r="CT43" s="228"/>
      <c r="CU43" s="228"/>
      <c r="CV43" s="228"/>
      <c r="CW43" s="228"/>
      <c r="CX43" s="228"/>
      <c r="CY43" s="228"/>
      <c r="CZ43" s="228"/>
      <c r="DA43" s="228"/>
      <c r="DB43" s="228"/>
      <c r="DC43" s="228"/>
      <c r="DD43" s="228"/>
      <c r="DE43" s="228"/>
      <c r="DF43" s="228"/>
      <c r="DG43" s="228"/>
      <c r="DH43" s="228"/>
      <c r="DI43" s="228"/>
      <c r="DJ43" s="228"/>
      <c r="DK43" s="228"/>
      <c r="DL43" s="228"/>
      <c r="DM43" s="228"/>
      <c r="DN43" s="228"/>
      <c r="DO43" s="228"/>
      <c r="DP43" s="228"/>
      <c r="DQ43" s="228"/>
    </row>
    <row r="44" s="61" customFormat="1" ht="16" customHeight="1" spans="1:121">
      <c r="A44" s="269" t="s">
        <v>375</v>
      </c>
      <c r="B44" s="270"/>
      <c r="C44" s="77">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0</v>
      </c>
      <c r="D44" s="79"/>
      <c r="E44" s="79" t="e">
        <f t="shared" si="76"/>
        <v>#DIV/0!</v>
      </c>
      <c r="F44" s="79" t="e">
        <f>F43+C44</f>
        <v>#DIV/0!</v>
      </c>
      <c r="G44" s="73"/>
      <c r="H44" s="74"/>
      <c r="I44" s="74"/>
      <c r="J44" s="74"/>
      <c r="K44" s="113" t="s">
        <v>255</v>
      </c>
      <c r="L44" s="114" t="e">
        <f>F77</f>
        <v>#DIV/0!</v>
      </c>
      <c r="M44" s="85"/>
      <c r="N44" s="269" t="s">
        <v>647</v>
      </c>
      <c r="O44" s="269" t="s">
        <v>648</v>
      </c>
      <c r="P44" s="269" t="s">
        <v>649</v>
      </c>
      <c r="Q44" s="269" t="s">
        <v>650</v>
      </c>
      <c r="R44" s="269" t="s">
        <v>313</v>
      </c>
      <c r="S44" s="121"/>
      <c r="T44" s="120"/>
      <c r="U44" s="269" t="s">
        <v>523</v>
      </c>
      <c r="V44" s="77">
        <f t="shared" si="74"/>
        <v>0</v>
      </c>
      <c r="W44" s="77">
        <f t="shared" si="74"/>
        <v>0</v>
      </c>
      <c r="X44" s="77">
        <f t="shared" si="74"/>
        <v>0</v>
      </c>
      <c r="Y44" s="77">
        <f t="shared" si="74"/>
        <v>0</v>
      </c>
      <c r="Z44" s="402">
        <f>SUM(V44:Y44)</f>
        <v>0</v>
      </c>
      <c r="AA44" s="73"/>
      <c r="AB44" s="74"/>
      <c r="AC44" s="74"/>
      <c r="AD44" s="74"/>
      <c r="AE44" s="74"/>
      <c r="AF44" s="74"/>
      <c r="AG44" s="74"/>
      <c r="AH44" s="73"/>
      <c r="AI44" s="367"/>
      <c r="AJ44" s="368"/>
      <c r="AK44" s="368"/>
      <c r="AL44" s="368"/>
      <c r="AM44" s="368"/>
      <c r="AN44" s="368"/>
      <c r="AO44" s="368"/>
      <c r="AP44" s="368"/>
      <c r="AQ44" s="368"/>
      <c r="AR44" s="368"/>
      <c r="AS44" s="368"/>
      <c r="AT44" s="368"/>
      <c r="AU44" s="368"/>
      <c r="AV44" s="368"/>
      <c r="AW44" s="368"/>
      <c r="AX44" s="368"/>
      <c r="AY44" s="368"/>
      <c r="AZ44" s="193"/>
      <c r="BA44" s="196">
        <f t="shared" si="65"/>
        <v>0</v>
      </c>
      <c r="BB44" s="201">
        <f t="shared" si="66"/>
        <v>0</v>
      </c>
      <c r="BC44" s="201">
        <f t="shared" si="67"/>
        <v>0</v>
      </c>
      <c r="BD44" s="201">
        <f t="shared" si="68"/>
        <v>0</v>
      </c>
      <c r="BE44" s="201">
        <f t="shared" si="69"/>
        <v>0</v>
      </c>
      <c r="BF44" s="202">
        <f>(BB44*初始化表!E$17+BC44*初始化表!F$17+BD44*初始化表!G$17+BE44*初始化表!H$17)/1300</f>
        <v>0</v>
      </c>
      <c r="BG44" s="207">
        <f t="shared" si="70"/>
        <v>0</v>
      </c>
      <c r="BH44" s="207">
        <f t="shared" si="71"/>
        <v>0</v>
      </c>
      <c r="BI44" s="321">
        <f>$BI$51+MAX(0,第4期!BI44)-BF44</f>
        <v>0</v>
      </c>
      <c r="BJ44" s="201" t="str">
        <f t="shared" si="72"/>
        <v/>
      </c>
      <c r="BK44" s="201" t="str">
        <f t="shared" si="73"/>
        <v/>
      </c>
      <c r="BL44" s="203"/>
      <c r="BM44" s="194" t="s">
        <v>523</v>
      </c>
      <c r="BN44" s="201" t="e">
        <f t="shared" si="75"/>
        <v>#DIV/0!</v>
      </c>
      <c r="BO44" s="201" t="e">
        <f t="shared" si="75"/>
        <v>#DIV/0!</v>
      </c>
      <c r="BP44" s="201" t="e">
        <f t="shared" si="75"/>
        <v>#DIV/0!</v>
      </c>
      <c r="BQ44" s="201" t="e">
        <f t="shared" si="75"/>
        <v>#DIV/0!</v>
      </c>
      <c r="BR44" s="211"/>
      <c r="BS44" s="196">
        <f t="shared" si="48"/>
        <v>0</v>
      </c>
      <c r="BT44" s="213" t="e">
        <f t="shared" si="49"/>
        <v>#DIV/0!</v>
      </c>
      <c r="BU44" s="213" t="e">
        <f t="shared" si="50"/>
        <v>#DIV/0!</v>
      </c>
      <c r="BV44" s="213" t="e">
        <f t="shared" si="51"/>
        <v>#DIV/0!</v>
      </c>
      <c r="BW44" s="213" t="e">
        <f t="shared" si="52"/>
        <v>#DIV/0!</v>
      </c>
      <c r="BX44" s="213" t="e">
        <f t="shared" si="53"/>
        <v>#DIV/0!</v>
      </c>
      <c r="BY44" s="213" t="e">
        <f t="shared" si="54"/>
        <v>#DIV/0!</v>
      </c>
      <c r="BZ44" s="213" t="e">
        <f t="shared" si="55"/>
        <v>#DIV/0!</v>
      </c>
      <c r="CA44" s="213" t="e">
        <f t="shared" si="56"/>
        <v>#DIV/0!</v>
      </c>
      <c r="CB44" s="213" t="e">
        <f t="shared" si="57"/>
        <v>#DIV/0!</v>
      </c>
      <c r="CC44" s="213" t="e">
        <f t="shared" si="58"/>
        <v>#DIV/0!</v>
      </c>
      <c r="CD44" s="213" t="e">
        <f t="shared" si="59"/>
        <v>#DIV/0!</v>
      </c>
      <c r="CE44" s="213" t="e">
        <f t="shared" si="60"/>
        <v>#DIV/0!</v>
      </c>
      <c r="CF44" s="213" t="e">
        <f t="shared" si="61"/>
        <v>#DIV/0!</v>
      </c>
      <c r="CG44" s="213" t="e">
        <f t="shared" si="62"/>
        <v>#DIV/0!</v>
      </c>
      <c r="CH44" s="213" t="e">
        <f t="shared" si="63"/>
        <v>#DIV/0!</v>
      </c>
      <c r="CI44" s="213" t="e">
        <f t="shared" si="64"/>
        <v>#DIV/0!</v>
      </c>
      <c r="CJ44" s="226"/>
      <c r="CK44" s="228"/>
      <c r="CL44" s="228"/>
      <c r="CM44" s="228"/>
      <c r="CN44" s="228"/>
      <c r="CO44" s="228"/>
      <c r="CP44" s="228"/>
      <c r="CQ44" s="228"/>
      <c r="CR44" s="228"/>
      <c r="CS44" s="228"/>
      <c r="CT44" s="228"/>
      <c r="CU44" s="228"/>
      <c r="CV44" s="228"/>
      <c r="CW44" s="228"/>
      <c r="CX44" s="228"/>
      <c r="CY44" s="228"/>
      <c r="CZ44" s="228"/>
      <c r="DA44" s="228"/>
      <c r="DB44" s="228"/>
      <c r="DC44" s="228"/>
      <c r="DD44" s="228"/>
      <c r="DE44" s="228"/>
      <c r="DF44" s="228"/>
      <c r="DG44" s="228"/>
      <c r="DH44" s="228"/>
      <c r="DI44" s="228"/>
      <c r="DJ44" s="228"/>
      <c r="DK44" s="228"/>
      <c r="DL44" s="228"/>
      <c r="DM44" s="228"/>
      <c r="DN44" s="228"/>
      <c r="DO44" s="228"/>
      <c r="DP44" s="228"/>
      <c r="DQ44" s="228"/>
    </row>
    <row r="45" s="61" customFormat="1" ht="16" customHeight="1" spans="1:121">
      <c r="A45" s="269" t="s">
        <v>376</v>
      </c>
      <c r="B45" s="270"/>
      <c r="C45" s="77">
        <f>-SUM(B17:E17)*初始化表!E19-SUM(B18:E18)*初始化表!F19-SUM(B19:E19)*初始化表!G19-SUM(B20:E20)*初始化表!H19</f>
        <v>0</v>
      </c>
      <c r="D45" s="79"/>
      <c r="E45" s="79" t="e">
        <f t="shared" si="76"/>
        <v>#DIV/0!</v>
      </c>
      <c r="F45" s="79"/>
      <c r="G45" s="73"/>
      <c r="H45" s="269" t="s">
        <v>282</v>
      </c>
      <c r="I45" s="270"/>
      <c r="J45" s="270"/>
      <c r="K45" s="270"/>
      <c r="L45" s="270"/>
      <c r="M45" s="85"/>
      <c r="N45" s="115">
        <f>第4期!F24</f>
        <v>1</v>
      </c>
      <c r="O45" s="77">
        <f>IF(0.99*LOG(F24,初始化表!B20)&lt;0.99,0.99*LOG(F24,初始化表!B20),0.99)</f>
        <v>0</v>
      </c>
      <c r="P45" s="77" t="e">
        <f>INT(((R42-0.95-(R41-0.95)*0.2)/0.8*10/初始化表!B19+1)*1000+0.5)/1000</f>
        <v>#DIV/0!</v>
      </c>
      <c r="Q45" s="77">
        <f>INT(((0.05-(R41-0.95)*0.2)/0.8*10/初始化表!B19+1)*1000+0.5)/1000</f>
        <v>1.625</v>
      </c>
      <c r="R45" s="142">
        <f>第4期!R45</f>
        <v>1</v>
      </c>
      <c r="S45" s="141" t="s">
        <v>651</v>
      </c>
      <c r="T45" s="140"/>
      <c r="U45" s="269" t="s">
        <v>524</v>
      </c>
      <c r="V45" s="77">
        <f t="shared" si="74"/>
        <v>0</v>
      </c>
      <c r="W45" s="77">
        <f t="shared" si="74"/>
        <v>0</v>
      </c>
      <c r="X45" s="77">
        <f t="shared" si="74"/>
        <v>0</v>
      </c>
      <c r="Y45" s="77">
        <f t="shared" si="74"/>
        <v>0</v>
      </c>
      <c r="Z45" s="402">
        <f>SUM(V45:Y45)</f>
        <v>0</v>
      </c>
      <c r="AA45" s="73"/>
      <c r="AB45" s="74"/>
      <c r="AC45" s="74"/>
      <c r="AD45" s="74"/>
      <c r="AE45" s="74"/>
      <c r="AF45" s="74"/>
      <c r="AG45" s="74"/>
      <c r="AH45" s="73"/>
      <c r="AI45" s="367"/>
      <c r="AJ45" s="368"/>
      <c r="AK45" s="368"/>
      <c r="AL45" s="368"/>
      <c r="AM45" s="368"/>
      <c r="AN45" s="368"/>
      <c r="AO45" s="368"/>
      <c r="AP45" s="368"/>
      <c r="AQ45" s="368"/>
      <c r="AR45" s="368"/>
      <c r="AS45" s="368"/>
      <c r="AT45" s="368"/>
      <c r="AU45" s="368"/>
      <c r="AV45" s="368"/>
      <c r="AW45" s="368"/>
      <c r="AX45" s="368"/>
      <c r="AY45" s="368"/>
      <c r="AZ45" s="193"/>
      <c r="BA45" s="196">
        <f t="shared" si="65"/>
        <v>0</v>
      </c>
      <c r="BB45" s="201">
        <f t="shared" si="66"/>
        <v>0</v>
      </c>
      <c r="BC45" s="201">
        <f t="shared" si="67"/>
        <v>0</v>
      </c>
      <c r="BD45" s="201">
        <f t="shared" si="68"/>
        <v>0</v>
      </c>
      <c r="BE45" s="201">
        <f t="shared" si="69"/>
        <v>0</v>
      </c>
      <c r="BF45" s="202">
        <f>(BB45*初始化表!E$17+BC45*初始化表!F$17+BD45*初始化表!G$17+BE45*初始化表!H$17)/1300</f>
        <v>0</v>
      </c>
      <c r="BG45" s="207">
        <f t="shared" si="70"/>
        <v>0</v>
      </c>
      <c r="BH45" s="207">
        <f t="shared" si="71"/>
        <v>0</v>
      </c>
      <c r="BI45" s="321">
        <f>$BI$51+MAX(0,第4期!BI45)-BF45</f>
        <v>0</v>
      </c>
      <c r="BJ45" s="201" t="str">
        <f t="shared" si="72"/>
        <v/>
      </c>
      <c r="BK45" s="201" t="str">
        <f t="shared" si="73"/>
        <v/>
      </c>
      <c r="BL45" s="203"/>
      <c r="BM45" s="194" t="s">
        <v>524</v>
      </c>
      <c r="BN45" s="201" t="e">
        <f t="shared" si="75"/>
        <v>#DIV/0!</v>
      </c>
      <c r="BO45" s="201" t="e">
        <f t="shared" si="75"/>
        <v>#DIV/0!</v>
      </c>
      <c r="BP45" s="201" t="e">
        <f t="shared" si="75"/>
        <v>#DIV/0!</v>
      </c>
      <c r="BQ45" s="201" t="e">
        <f t="shared" si="75"/>
        <v>#DIV/0!</v>
      </c>
      <c r="BR45" s="211"/>
      <c r="BS45" s="196">
        <f t="shared" si="48"/>
        <v>0</v>
      </c>
      <c r="BT45" s="213" t="e">
        <f t="shared" si="49"/>
        <v>#DIV/0!</v>
      </c>
      <c r="BU45" s="213" t="e">
        <f t="shared" si="50"/>
        <v>#DIV/0!</v>
      </c>
      <c r="BV45" s="213" t="e">
        <f t="shared" si="51"/>
        <v>#DIV/0!</v>
      </c>
      <c r="BW45" s="213" t="e">
        <f t="shared" si="52"/>
        <v>#DIV/0!</v>
      </c>
      <c r="BX45" s="213" t="e">
        <f t="shared" si="53"/>
        <v>#DIV/0!</v>
      </c>
      <c r="BY45" s="213" t="e">
        <f t="shared" si="54"/>
        <v>#DIV/0!</v>
      </c>
      <c r="BZ45" s="213" t="e">
        <f t="shared" si="55"/>
        <v>#DIV/0!</v>
      </c>
      <c r="CA45" s="213" t="e">
        <f t="shared" si="56"/>
        <v>#DIV/0!</v>
      </c>
      <c r="CB45" s="213" t="e">
        <f t="shared" si="57"/>
        <v>#DIV/0!</v>
      </c>
      <c r="CC45" s="213" t="e">
        <f t="shared" si="58"/>
        <v>#DIV/0!</v>
      </c>
      <c r="CD45" s="213" t="e">
        <f t="shared" si="59"/>
        <v>#DIV/0!</v>
      </c>
      <c r="CE45" s="213" t="e">
        <f t="shared" si="60"/>
        <v>#DIV/0!</v>
      </c>
      <c r="CF45" s="213" t="e">
        <f t="shared" si="61"/>
        <v>#DIV/0!</v>
      </c>
      <c r="CG45" s="213" t="e">
        <f t="shared" si="62"/>
        <v>#DIV/0!</v>
      </c>
      <c r="CH45" s="213" t="e">
        <f t="shared" si="63"/>
        <v>#DIV/0!</v>
      </c>
      <c r="CI45" s="213" t="e">
        <f t="shared" si="64"/>
        <v>#DIV/0!</v>
      </c>
      <c r="CJ45" s="226"/>
      <c r="CK45" s="228"/>
      <c r="CL45" s="228"/>
      <c r="CM45" s="228"/>
      <c r="CN45" s="228"/>
      <c r="CO45" s="228"/>
      <c r="CP45" s="228"/>
      <c r="CQ45" s="228"/>
      <c r="CR45" s="228"/>
      <c r="CS45" s="228"/>
      <c r="CT45" s="228"/>
      <c r="CU45" s="228"/>
      <c r="CV45" s="228"/>
      <c r="CW45" s="228"/>
      <c r="CX45" s="228"/>
      <c r="CY45" s="228"/>
      <c r="CZ45" s="228"/>
      <c r="DA45" s="228"/>
      <c r="DB45" s="228"/>
      <c r="DC45" s="228"/>
      <c r="DD45" s="228"/>
      <c r="DE45" s="228"/>
      <c r="DF45" s="228"/>
      <c r="DG45" s="228"/>
      <c r="DH45" s="228"/>
      <c r="DI45" s="228"/>
      <c r="DJ45" s="228"/>
      <c r="DK45" s="228"/>
      <c r="DL45" s="228"/>
      <c r="DM45" s="228"/>
      <c r="DN45" s="228"/>
      <c r="DO45" s="228"/>
      <c r="DP45" s="228"/>
      <c r="DQ45" s="228"/>
    </row>
    <row r="46" s="61" customFormat="1" ht="16" customHeight="1" spans="1:121">
      <c r="A46" s="269" t="s">
        <v>377</v>
      </c>
      <c r="B46" s="270"/>
      <c r="C46" s="77">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0</v>
      </c>
      <c r="D46" s="79"/>
      <c r="E46" s="79" t="e">
        <f t="shared" si="76"/>
        <v>#DIV/0!</v>
      </c>
      <c r="F46" s="79" t="e">
        <f>F44+C46</f>
        <v>#DIV/0!</v>
      </c>
      <c r="G46" s="73"/>
      <c r="H46" s="269" t="s">
        <v>652</v>
      </c>
      <c r="I46" s="269" t="s">
        <v>513</v>
      </c>
      <c r="J46" s="269" t="s">
        <v>514</v>
      </c>
      <c r="K46" s="269" t="s">
        <v>515</v>
      </c>
      <c r="L46" s="269" t="s">
        <v>516</v>
      </c>
      <c r="M46" s="85"/>
      <c r="N46" s="90"/>
      <c r="O46" s="90"/>
      <c r="P46" s="90"/>
      <c r="Q46" s="269" t="s">
        <v>255</v>
      </c>
      <c r="R46" s="83" t="e">
        <f>F77</f>
        <v>#DIV/0!</v>
      </c>
      <c r="S46" s="141" t="s">
        <v>653</v>
      </c>
      <c r="T46" s="144"/>
      <c r="U46" s="123"/>
      <c r="V46" s="74"/>
      <c r="W46" s="74"/>
      <c r="X46" s="74"/>
      <c r="Y46" s="74"/>
      <c r="Z46" s="74"/>
      <c r="AA46" s="73"/>
      <c r="AB46" s="74"/>
      <c r="AC46" s="74"/>
      <c r="AD46" s="74"/>
      <c r="AE46" s="74"/>
      <c r="AF46" s="74"/>
      <c r="AG46" s="74"/>
      <c r="AH46" s="73"/>
      <c r="AI46" s="367"/>
      <c r="AJ46" s="368"/>
      <c r="AK46" s="368"/>
      <c r="AL46" s="368"/>
      <c r="AM46" s="368"/>
      <c r="AN46" s="368"/>
      <c r="AO46" s="368"/>
      <c r="AP46" s="368"/>
      <c r="AQ46" s="368"/>
      <c r="AR46" s="368"/>
      <c r="AS46" s="368"/>
      <c r="AT46" s="368"/>
      <c r="AU46" s="368"/>
      <c r="AV46" s="368"/>
      <c r="AW46" s="368"/>
      <c r="AX46" s="368"/>
      <c r="AY46" s="368"/>
      <c r="AZ46" s="193"/>
      <c r="BA46" s="196">
        <f t="shared" si="65"/>
        <v>0</v>
      </c>
      <c r="BB46" s="201">
        <f t="shared" si="66"/>
        <v>0</v>
      </c>
      <c r="BC46" s="201">
        <f t="shared" si="67"/>
        <v>0</v>
      </c>
      <c r="BD46" s="201">
        <f t="shared" si="68"/>
        <v>0</v>
      </c>
      <c r="BE46" s="201">
        <f t="shared" si="69"/>
        <v>0</v>
      </c>
      <c r="BF46" s="202">
        <f>(BB46*初始化表!E$17+BC46*初始化表!F$17+BD46*初始化表!G$17+BE46*初始化表!H$17)/1300</f>
        <v>0</v>
      </c>
      <c r="BG46" s="207">
        <f t="shared" si="70"/>
        <v>0</v>
      </c>
      <c r="BH46" s="207">
        <f t="shared" si="71"/>
        <v>0</v>
      </c>
      <c r="BI46" s="321">
        <f>$BI$51+MAX(0,第4期!BI46)-BF46</f>
        <v>0</v>
      </c>
      <c r="BJ46" s="201" t="str">
        <f t="shared" si="72"/>
        <v/>
      </c>
      <c r="BK46" s="201" t="str">
        <f t="shared" si="73"/>
        <v/>
      </c>
      <c r="BL46" s="203"/>
      <c r="BM46" s="218"/>
      <c r="BN46" s="218"/>
      <c r="BO46" s="218"/>
      <c r="BP46" s="218"/>
      <c r="BQ46" s="218"/>
      <c r="BR46" s="211"/>
      <c r="BS46" s="196">
        <f t="shared" si="48"/>
        <v>0</v>
      </c>
      <c r="BT46" s="213" t="e">
        <f t="shared" si="49"/>
        <v>#DIV/0!</v>
      </c>
      <c r="BU46" s="213" t="e">
        <f t="shared" si="50"/>
        <v>#DIV/0!</v>
      </c>
      <c r="BV46" s="213" t="e">
        <f t="shared" si="51"/>
        <v>#DIV/0!</v>
      </c>
      <c r="BW46" s="213" t="e">
        <f t="shared" si="52"/>
        <v>#DIV/0!</v>
      </c>
      <c r="BX46" s="213" t="e">
        <f t="shared" si="53"/>
        <v>#DIV/0!</v>
      </c>
      <c r="BY46" s="213" t="e">
        <f t="shared" si="54"/>
        <v>#DIV/0!</v>
      </c>
      <c r="BZ46" s="213" t="e">
        <f t="shared" si="55"/>
        <v>#DIV/0!</v>
      </c>
      <c r="CA46" s="213" t="e">
        <f t="shared" si="56"/>
        <v>#DIV/0!</v>
      </c>
      <c r="CB46" s="213" t="e">
        <f t="shared" si="57"/>
        <v>#DIV/0!</v>
      </c>
      <c r="CC46" s="213" t="e">
        <f t="shared" si="58"/>
        <v>#DIV/0!</v>
      </c>
      <c r="CD46" s="213" t="e">
        <f t="shared" si="59"/>
        <v>#DIV/0!</v>
      </c>
      <c r="CE46" s="213" t="e">
        <f t="shared" si="60"/>
        <v>#DIV/0!</v>
      </c>
      <c r="CF46" s="213" t="e">
        <f t="shared" si="61"/>
        <v>#DIV/0!</v>
      </c>
      <c r="CG46" s="213" t="e">
        <f t="shared" si="62"/>
        <v>#DIV/0!</v>
      </c>
      <c r="CH46" s="213" t="e">
        <f t="shared" si="63"/>
        <v>#DIV/0!</v>
      </c>
      <c r="CI46" s="213" t="e">
        <f t="shared" si="64"/>
        <v>#DIV/0!</v>
      </c>
      <c r="CJ46" s="226"/>
      <c r="CK46" s="228"/>
      <c r="CL46" s="228"/>
      <c r="CM46" s="228"/>
      <c r="CN46" s="228"/>
      <c r="CO46" s="228"/>
      <c r="CP46" s="228"/>
      <c r="CQ46" s="228"/>
      <c r="CR46" s="228"/>
      <c r="CS46" s="228"/>
      <c r="CT46" s="228"/>
      <c r="CU46" s="228"/>
      <c r="CV46" s="228"/>
      <c r="CW46" s="228"/>
      <c r="CX46" s="228"/>
      <c r="CY46" s="228"/>
      <c r="CZ46" s="228"/>
      <c r="DA46" s="228"/>
      <c r="DB46" s="228"/>
      <c r="DC46" s="228"/>
      <c r="DD46" s="228"/>
      <c r="DE46" s="228"/>
      <c r="DF46" s="228"/>
      <c r="DG46" s="228"/>
      <c r="DH46" s="228"/>
      <c r="DI46" s="228"/>
      <c r="DJ46" s="228"/>
      <c r="DK46" s="228"/>
      <c r="DL46" s="228"/>
      <c r="DM46" s="228"/>
      <c r="DN46" s="228"/>
      <c r="DO46" s="228"/>
      <c r="DP46" s="228"/>
      <c r="DQ46" s="228"/>
    </row>
    <row r="47" s="61" customFormat="1" ht="16" customHeight="1" spans="1:121">
      <c r="A47" s="269" t="s">
        <v>276</v>
      </c>
      <c r="B47" s="270"/>
      <c r="C47" s="77" t="e">
        <f>-SUM(F6:F9)</f>
        <v>#DIV/0!</v>
      </c>
      <c r="D47" s="79"/>
      <c r="E47" s="79" t="e">
        <f t="shared" si="76"/>
        <v>#DIV/0!</v>
      </c>
      <c r="F47" s="79" t="e">
        <f>F46+C47</f>
        <v>#DIV/0!</v>
      </c>
      <c r="G47" s="73"/>
      <c r="H47" s="269" t="s">
        <v>521</v>
      </c>
      <c r="I47" s="90">
        <v>2</v>
      </c>
      <c r="J47" s="90">
        <v>2</v>
      </c>
      <c r="K47" s="90">
        <v>3</v>
      </c>
      <c r="L47" s="90">
        <v>3</v>
      </c>
      <c r="M47" s="85"/>
      <c r="N47" s="269" t="s">
        <v>654</v>
      </c>
      <c r="O47" s="270"/>
      <c r="P47" s="270"/>
      <c r="Q47" s="270"/>
      <c r="R47" s="270"/>
      <c r="S47" s="141" t="s">
        <v>655</v>
      </c>
      <c r="T47" s="397" t="e">
        <f>R46-T46</f>
        <v>#DIV/0!</v>
      </c>
      <c r="U47" s="269" t="s">
        <v>742</v>
      </c>
      <c r="V47" s="269" t="s">
        <v>513</v>
      </c>
      <c r="W47" s="269" t="s">
        <v>514</v>
      </c>
      <c r="X47" s="269" t="s">
        <v>515</v>
      </c>
      <c r="Y47" s="269" t="s">
        <v>516</v>
      </c>
      <c r="Z47" s="74"/>
      <c r="AA47" s="73"/>
      <c r="AB47" s="74"/>
      <c r="AC47" s="74"/>
      <c r="AD47" s="74"/>
      <c r="AE47" s="74"/>
      <c r="AF47" s="74"/>
      <c r="AG47" s="74"/>
      <c r="AH47" s="73"/>
      <c r="AI47" s="367"/>
      <c r="AJ47" s="368"/>
      <c r="AK47" s="368"/>
      <c r="AL47" s="368"/>
      <c r="AM47" s="368"/>
      <c r="AN47" s="368"/>
      <c r="AO47" s="368"/>
      <c r="AP47" s="368"/>
      <c r="AQ47" s="368"/>
      <c r="AR47" s="368"/>
      <c r="AS47" s="368"/>
      <c r="AT47" s="368"/>
      <c r="AU47" s="368"/>
      <c r="AV47" s="368"/>
      <c r="AW47" s="368"/>
      <c r="AX47" s="368"/>
      <c r="AY47" s="368"/>
      <c r="AZ47" s="193"/>
      <c r="BA47" s="196">
        <f t="shared" si="65"/>
        <v>0</v>
      </c>
      <c r="BB47" s="201">
        <f t="shared" si="66"/>
        <v>0</v>
      </c>
      <c r="BC47" s="201">
        <f t="shared" si="67"/>
        <v>0</v>
      </c>
      <c r="BD47" s="201">
        <f t="shared" si="68"/>
        <v>0</v>
      </c>
      <c r="BE47" s="201">
        <f t="shared" si="69"/>
        <v>0</v>
      </c>
      <c r="BF47" s="202">
        <f>(BB47*初始化表!E$17+BC47*初始化表!F$17+BD47*初始化表!G$17+BE47*初始化表!H$17)/1300</f>
        <v>0</v>
      </c>
      <c r="BG47" s="207">
        <f t="shared" si="70"/>
        <v>0</v>
      </c>
      <c r="BH47" s="207">
        <f t="shared" si="71"/>
        <v>0</v>
      </c>
      <c r="BI47" s="321">
        <f>$BI$51+MAX(0,第4期!BI47)-BF47</f>
        <v>0</v>
      </c>
      <c r="BJ47" s="201" t="str">
        <f t="shared" si="72"/>
        <v/>
      </c>
      <c r="BK47" s="201" t="str">
        <f t="shared" si="73"/>
        <v/>
      </c>
      <c r="BL47" s="203"/>
      <c r="BM47" s="203"/>
      <c r="BN47" s="203"/>
      <c r="BO47" s="203"/>
      <c r="BP47" s="203"/>
      <c r="BQ47" s="203"/>
      <c r="BR47" s="211"/>
      <c r="BS47" s="196">
        <f t="shared" si="48"/>
        <v>0</v>
      </c>
      <c r="BT47" s="213" t="e">
        <f t="shared" si="49"/>
        <v>#DIV/0!</v>
      </c>
      <c r="BU47" s="213" t="e">
        <f t="shared" si="50"/>
        <v>#DIV/0!</v>
      </c>
      <c r="BV47" s="213" t="e">
        <f t="shared" si="51"/>
        <v>#DIV/0!</v>
      </c>
      <c r="BW47" s="213" t="e">
        <f t="shared" si="52"/>
        <v>#DIV/0!</v>
      </c>
      <c r="BX47" s="213" t="e">
        <f t="shared" si="53"/>
        <v>#DIV/0!</v>
      </c>
      <c r="BY47" s="213" t="e">
        <f t="shared" si="54"/>
        <v>#DIV/0!</v>
      </c>
      <c r="BZ47" s="213" t="e">
        <f t="shared" si="55"/>
        <v>#DIV/0!</v>
      </c>
      <c r="CA47" s="213" t="e">
        <f t="shared" si="56"/>
        <v>#DIV/0!</v>
      </c>
      <c r="CB47" s="213" t="e">
        <f t="shared" si="57"/>
        <v>#DIV/0!</v>
      </c>
      <c r="CC47" s="213" t="e">
        <f t="shared" si="58"/>
        <v>#DIV/0!</v>
      </c>
      <c r="CD47" s="213" t="e">
        <f t="shared" si="59"/>
        <v>#DIV/0!</v>
      </c>
      <c r="CE47" s="213" t="e">
        <f t="shared" si="60"/>
        <v>#DIV/0!</v>
      </c>
      <c r="CF47" s="213" t="e">
        <f t="shared" si="61"/>
        <v>#DIV/0!</v>
      </c>
      <c r="CG47" s="213" t="e">
        <f t="shared" si="62"/>
        <v>#DIV/0!</v>
      </c>
      <c r="CH47" s="213" t="e">
        <f t="shared" si="63"/>
        <v>#DIV/0!</v>
      </c>
      <c r="CI47" s="213" t="e">
        <f t="shared" si="64"/>
        <v>#DIV/0!</v>
      </c>
      <c r="CJ47" s="226"/>
      <c r="CK47" s="228"/>
      <c r="CL47" s="228"/>
      <c r="CM47" s="228"/>
      <c r="CN47" s="228"/>
      <c r="CO47" s="228"/>
      <c r="CP47" s="228"/>
      <c r="CQ47" s="228"/>
      <c r="CR47" s="228"/>
      <c r="CS47" s="228"/>
      <c r="CT47" s="228"/>
      <c r="CU47" s="228"/>
      <c r="CV47" s="228"/>
      <c r="CW47" s="228"/>
      <c r="CX47" s="228"/>
      <c r="CY47" s="228"/>
      <c r="CZ47" s="228"/>
      <c r="DA47" s="228"/>
      <c r="DB47" s="228"/>
      <c r="DC47" s="228"/>
      <c r="DD47" s="228"/>
      <c r="DE47" s="228"/>
      <c r="DF47" s="228"/>
      <c r="DG47" s="228"/>
      <c r="DH47" s="228"/>
      <c r="DI47" s="228"/>
      <c r="DJ47" s="228"/>
      <c r="DK47" s="228"/>
      <c r="DL47" s="228"/>
      <c r="DM47" s="228"/>
      <c r="DN47" s="228"/>
      <c r="DO47" s="228"/>
      <c r="DP47" s="228"/>
      <c r="DQ47" s="228"/>
    </row>
    <row r="48" s="61" customFormat="1" ht="16" customHeight="1" spans="1:121">
      <c r="A48" s="269" t="s">
        <v>280</v>
      </c>
      <c r="B48" s="270"/>
      <c r="C48" s="77" t="e">
        <f>-SUM(B10:E10)</f>
        <v>#DIV/0!</v>
      </c>
      <c r="D48" s="79"/>
      <c r="E48" s="79" t="e">
        <f t="shared" si="76"/>
        <v>#DIV/0!</v>
      </c>
      <c r="F48" s="79" t="e">
        <f>F47+C48</f>
        <v>#DIV/0!</v>
      </c>
      <c r="G48" s="73"/>
      <c r="H48" s="269" t="s">
        <v>522</v>
      </c>
      <c r="I48" s="90">
        <v>2</v>
      </c>
      <c r="J48" s="90">
        <v>2</v>
      </c>
      <c r="K48" s="90">
        <v>3</v>
      </c>
      <c r="L48" s="90">
        <v>3</v>
      </c>
      <c r="M48" s="85"/>
      <c r="N48" s="269" t="s">
        <v>657</v>
      </c>
      <c r="O48" s="269" t="s">
        <v>658</v>
      </c>
      <c r="P48" s="269" t="s">
        <v>659</v>
      </c>
      <c r="Q48" s="269" t="s">
        <v>660</v>
      </c>
      <c r="R48" s="269" t="s">
        <v>642</v>
      </c>
      <c r="S48" s="121"/>
      <c r="T48" s="120"/>
      <c r="U48" s="269" t="s">
        <v>521</v>
      </c>
      <c r="V48" s="146">
        <f>IF(第3期!BB27=0,0,第4期!BB27/第3期!BB27)</f>
        <v>0</v>
      </c>
      <c r="W48" s="146">
        <f>IF(第3期!BC27=0,0,第4期!BC27/第3期!BC27)</f>
        <v>0</v>
      </c>
      <c r="X48" s="146">
        <f>IF(第3期!BD27=0,0,第4期!BD27/第3期!BD27)</f>
        <v>0</v>
      </c>
      <c r="Y48" s="146">
        <f>IF(第3期!BE27=0,0,第4期!BE27/第3期!BE27)</f>
        <v>0</v>
      </c>
      <c r="Z48" s="74"/>
      <c r="AA48" s="73"/>
      <c r="AB48" s="74"/>
      <c r="AC48" s="74"/>
      <c r="AD48" s="74"/>
      <c r="AE48" s="74"/>
      <c r="AF48" s="74"/>
      <c r="AG48" s="74"/>
      <c r="AH48" s="73"/>
      <c r="AI48" s="367"/>
      <c r="AJ48" s="368"/>
      <c r="AK48" s="368"/>
      <c r="AL48" s="368"/>
      <c r="AM48" s="368"/>
      <c r="AN48" s="368"/>
      <c r="AO48" s="368"/>
      <c r="AP48" s="368"/>
      <c r="AQ48" s="368"/>
      <c r="AR48" s="368"/>
      <c r="AS48" s="368"/>
      <c r="AT48" s="368"/>
      <c r="AU48" s="368"/>
      <c r="AV48" s="368"/>
      <c r="AW48" s="368"/>
      <c r="AX48" s="368"/>
      <c r="AY48" s="368"/>
      <c r="AZ48" s="193"/>
      <c r="BA48" s="196">
        <f t="shared" si="65"/>
        <v>0</v>
      </c>
      <c r="BB48" s="201">
        <f t="shared" si="66"/>
        <v>0</v>
      </c>
      <c r="BC48" s="201">
        <f t="shared" si="67"/>
        <v>0</v>
      </c>
      <c r="BD48" s="201">
        <f t="shared" si="68"/>
        <v>0</v>
      </c>
      <c r="BE48" s="201">
        <f t="shared" si="69"/>
        <v>0</v>
      </c>
      <c r="BF48" s="202">
        <f>(BB48*初始化表!E$17+BC48*初始化表!F$17+BD48*初始化表!G$17+BE48*初始化表!H$17)/1300</f>
        <v>0</v>
      </c>
      <c r="BG48" s="207">
        <f t="shared" si="70"/>
        <v>0</v>
      </c>
      <c r="BH48" s="207">
        <f t="shared" si="71"/>
        <v>0</v>
      </c>
      <c r="BI48" s="321">
        <f>$BI$51+MAX(0,第4期!BI48)-BF48</f>
        <v>0</v>
      </c>
      <c r="BJ48" s="201" t="str">
        <f t="shared" si="72"/>
        <v/>
      </c>
      <c r="BK48" s="201" t="str">
        <f t="shared" si="73"/>
        <v/>
      </c>
      <c r="BL48" s="203"/>
      <c r="BM48" s="203"/>
      <c r="BN48" s="203"/>
      <c r="BO48" s="203"/>
      <c r="BP48" s="203"/>
      <c r="BQ48" s="203"/>
      <c r="BR48" s="211"/>
      <c r="BS48" s="196">
        <f t="shared" si="48"/>
        <v>0</v>
      </c>
      <c r="BT48" s="213" t="e">
        <f t="shared" si="49"/>
        <v>#DIV/0!</v>
      </c>
      <c r="BU48" s="213" t="e">
        <f t="shared" si="50"/>
        <v>#DIV/0!</v>
      </c>
      <c r="BV48" s="213" t="e">
        <f t="shared" si="51"/>
        <v>#DIV/0!</v>
      </c>
      <c r="BW48" s="213" t="e">
        <f t="shared" si="52"/>
        <v>#DIV/0!</v>
      </c>
      <c r="BX48" s="213" t="e">
        <f t="shared" si="53"/>
        <v>#DIV/0!</v>
      </c>
      <c r="BY48" s="213" t="e">
        <f t="shared" si="54"/>
        <v>#DIV/0!</v>
      </c>
      <c r="BZ48" s="213" t="e">
        <f t="shared" si="55"/>
        <v>#DIV/0!</v>
      </c>
      <c r="CA48" s="213" t="e">
        <f t="shared" si="56"/>
        <v>#DIV/0!</v>
      </c>
      <c r="CB48" s="213" t="e">
        <f t="shared" si="57"/>
        <v>#DIV/0!</v>
      </c>
      <c r="CC48" s="213" t="e">
        <f t="shared" si="58"/>
        <v>#DIV/0!</v>
      </c>
      <c r="CD48" s="213" t="e">
        <f t="shared" si="59"/>
        <v>#DIV/0!</v>
      </c>
      <c r="CE48" s="213" t="e">
        <f t="shared" si="60"/>
        <v>#DIV/0!</v>
      </c>
      <c r="CF48" s="213" t="e">
        <f t="shared" si="61"/>
        <v>#DIV/0!</v>
      </c>
      <c r="CG48" s="213" t="e">
        <f t="shared" si="62"/>
        <v>#DIV/0!</v>
      </c>
      <c r="CH48" s="213" t="e">
        <f t="shared" si="63"/>
        <v>#DIV/0!</v>
      </c>
      <c r="CI48" s="213" t="e">
        <f t="shared" si="64"/>
        <v>#DIV/0!</v>
      </c>
      <c r="CJ48" s="226"/>
      <c r="CK48" s="228"/>
      <c r="CL48" s="228"/>
      <c r="CM48" s="228"/>
      <c r="CN48" s="228"/>
      <c r="CO48" s="228"/>
      <c r="CP48" s="228"/>
      <c r="CQ48" s="228"/>
      <c r="CR48" s="228"/>
      <c r="CS48" s="228"/>
      <c r="CT48" s="228"/>
      <c r="CU48" s="228"/>
      <c r="CV48" s="228"/>
      <c r="CW48" s="228"/>
      <c r="CX48" s="228"/>
      <c r="CY48" s="228"/>
      <c r="CZ48" s="228"/>
      <c r="DA48" s="228"/>
      <c r="DB48" s="228"/>
      <c r="DC48" s="228"/>
      <c r="DD48" s="228"/>
      <c r="DE48" s="228"/>
      <c r="DF48" s="228"/>
      <c r="DG48" s="228"/>
      <c r="DH48" s="228"/>
      <c r="DI48" s="228"/>
      <c r="DJ48" s="228"/>
      <c r="DK48" s="228"/>
      <c r="DL48" s="228"/>
      <c r="DM48" s="228"/>
      <c r="DN48" s="228"/>
      <c r="DO48" s="228"/>
      <c r="DP48" s="228"/>
      <c r="DQ48" s="228"/>
    </row>
    <row r="49" s="61" customFormat="1" ht="16" customHeight="1" spans="1:121">
      <c r="A49" s="269" t="s">
        <v>378</v>
      </c>
      <c r="B49" s="270"/>
      <c r="C49" s="77" t="e">
        <f>IF(AJ24="",SUMPRODUCT(B6:E9,V42:Y45),B6*MAX(0,AM9-AK9)+MAX(0,AM10-AK10)*C6+MAX(0,AM11-AK11)*D6+MAX(0,AM12-AK12)*E6+MAX(0,AM13-AK13)*B7+MAX(0,AM14-AK14)*C7+MAX(0,AM15-AK15)*D7+MAX(0,AM16-AK16)*E7+MAX(0,AM17-AK17)*B8+MAX(0,AM18-AK18)*C8+MAX(0,AM19-AK19)*D8+MAX(0,AM20-AK20)*E8+MAX(0,AM21-AK21)*B9+MAX(0,AM22-AK22)*C9+MAX(0,AM23-AK23)*D9+MAX(0,AM24-AK24)*E9)+MIN(B6,V23)*MIN(V11,B12-V84)+MIN(W11,C12-W84)*MIN(C6,W23)+MIN(X11,D12-X84)*MIN(D6,X23)+MIN(Y11,E12-Y84)*MIN(E6,Y23)+MIN(B7,V24)*MIN(V12,B13-V85)+MIN(W12,C13-W85)*MIN(C7,W24)+MIN(X12,D13-X85)*MIN(D7,X24)+MIN(Y12,E13-Y85)*MIN(E7,Y24)+MIN(B8,V25)*MIN(V13,B14-V86)+MIN(W13,C14-W86)*MIN(C8,W25)+MIN(X13,D14-X86)*MIN(D8,X25)+MIN(Y13,E14-Y86)*MIN(E8,Y25)+MIN(B9,V26)*MIN(V14,B15-V87)+MIN(W14,C15-W87)*MIN(C9,W26)+MIN(X14,D15-X87)*MIN(D9,X26)+MIN(Y14,E15-Y87)*MIN(E9,Y26)</f>
        <v>#DIV/0!</v>
      </c>
      <c r="D49" s="79" t="e">
        <f>D41+C49</f>
        <v>#DIV/0!</v>
      </c>
      <c r="E49" s="79"/>
      <c r="F49" s="79" t="e">
        <f>F48+C49</f>
        <v>#DIV/0!</v>
      </c>
      <c r="G49" s="73"/>
      <c r="H49" s="269" t="s">
        <v>523</v>
      </c>
      <c r="I49" s="90">
        <v>2</v>
      </c>
      <c r="J49" s="90">
        <v>2</v>
      </c>
      <c r="K49" s="90">
        <v>3</v>
      </c>
      <c r="L49" s="90">
        <v>3</v>
      </c>
      <c r="M49" s="85"/>
      <c r="N49" s="77" t="e">
        <f>第4期!F69</f>
        <v>#DIV/0!</v>
      </c>
      <c r="O49" s="77" t="e">
        <f>N49+第4期!R49</f>
        <v>#DIV/0!</v>
      </c>
      <c r="P49" s="77" t="e">
        <f>INT((F61-0.05*C49+0-(F30-F48)*O49/N49)/初始化表!B8)</f>
        <v>#DIV/0!</v>
      </c>
      <c r="Q49" s="77" t="e">
        <f>INT((F61+第6期!P33+第6期!Q35-F30+F48)/初始化表!B8)</f>
        <v>#DIV/0!</v>
      </c>
      <c r="R49" s="90"/>
      <c r="S49" s="74"/>
      <c r="T49" s="120"/>
      <c r="U49" s="269" t="s">
        <v>522</v>
      </c>
      <c r="V49" s="146">
        <f>IF(第3期!BF27=0,0,第4期!BF27/第3期!BF27)</f>
        <v>0</v>
      </c>
      <c r="W49" s="146">
        <f>IF(第3期!BG27=0,0,第4期!BG27/第3期!BG27)</f>
        <v>0</v>
      </c>
      <c r="X49" s="146">
        <f>IF(第3期!BH27=0,0,第4期!BH27/第3期!BH27)</f>
        <v>0</v>
      </c>
      <c r="Y49" s="146">
        <f>IF(第3期!BI27=0,0,第4期!BI27/第3期!BI27)</f>
        <v>0</v>
      </c>
      <c r="Z49" s="74"/>
      <c r="AA49" s="73"/>
      <c r="AB49" s="74"/>
      <c r="AC49" s="74"/>
      <c r="AD49" s="74"/>
      <c r="AE49" s="74"/>
      <c r="AF49" s="74"/>
      <c r="AG49" s="74"/>
      <c r="AH49" s="73"/>
      <c r="AI49" s="367"/>
      <c r="AJ49" s="368"/>
      <c r="AK49" s="368"/>
      <c r="AL49" s="368"/>
      <c r="AM49" s="368"/>
      <c r="AN49" s="368"/>
      <c r="AO49" s="368"/>
      <c r="AP49" s="368"/>
      <c r="AQ49" s="368"/>
      <c r="AR49" s="368"/>
      <c r="AS49" s="368"/>
      <c r="AT49" s="368"/>
      <c r="AU49" s="368"/>
      <c r="AV49" s="368"/>
      <c r="AW49" s="368"/>
      <c r="AX49" s="368"/>
      <c r="AY49" s="368"/>
      <c r="AZ49" s="193"/>
      <c r="BA49" s="196">
        <f t="shared" si="65"/>
        <v>0</v>
      </c>
      <c r="BB49" s="201">
        <f t="shared" si="66"/>
        <v>0</v>
      </c>
      <c r="BC49" s="201">
        <f t="shared" si="67"/>
        <v>0</v>
      </c>
      <c r="BD49" s="201">
        <f t="shared" si="68"/>
        <v>0</v>
      </c>
      <c r="BE49" s="201">
        <f t="shared" si="69"/>
        <v>0</v>
      </c>
      <c r="BF49" s="202">
        <f>(BB49*初始化表!E$17+BC49*初始化表!F$17+BD49*初始化表!G$17+BE49*初始化表!H$17)/1300</f>
        <v>0</v>
      </c>
      <c r="BG49" s="207">
        <f t="shared" si="70"/>
        <v>0</v>
      </c>
      <c r="BH49" s="207">
        <f t="shared" si="71"/>
        <v>0</v>
      </c>
      <c r="BI49" s="321">
        <f>$BI$51+MAX(0,第4期!BI49)-BF49</f>
        <v>0</v>
      </c>
      <c r="BJ49" s="201" t="str">
        <f t="shared" si="72"/>
        <v/>
      </c>
      <c r="BK49" s="201" t="str">
        <f t="shared" si="73"/>
        <v/>
      </c>
      <c r="BL49" s="203"/>
      <c r="BM49" s="203"/>
      <c r="BN49" s="203"/>
      <c r="BO49" s="203"/>
      <c r="BP49" s="203"/>
      <c r="BQ49" s="203"/>
      <c r="BR49" s="211"/>
      <c r="BS49" s="196">
        <f t="shared" si="48"/>
        <v>0</v>
      </c>
      <c r="BT49" s="213" t="e">
        <f t="shared" si="49"/>
        <v>#DIV/0!</v>
      </c>
      <c r="BU49" s="213" t="e">
        <f t="shared" si="50"/>
        <v>#DIV/0!</v>
      </c>
      <c r="BV49" s="213" t="e">
        <f t="shared" si="51"/>
        <v>#DIV/0!</v>
      </c>
      <c r="BW49" s="213" t="e">
        <f t="shared" si="52"/>
        <v>#DIV/0!</v>
      </c>
      <c r="BX49" s="213" t="e">
        <f t="shared" si="53"/>
        <v>#DIV/0!</v>
      </c>
      <c r="BY49" s="213" t="e">
        <f t="shared" si="54"/>
        <v>#DIV/0!</v>
      </c>
      <c r="BZ49" s="213" t="e">
        <f t="shared" si="55"/>
        <v>#DIV/0!</v>
      </c>
      <c r="CA49" s="213" t="e">
        <f t="shared" si="56"/>
        <v>#DIV/0!</v>
      </c>
      <c r="CB49" s="213" t="e">
        <f t="shared" si="57"/>
        <v>#DIV/0!</v>
      </c>
      <c r="CC49" s="213" t="e">
        <f t="shared" si="58"/>
        <v>#DIV/0!</v>
      </c>
      <c r="CD49" s="213" t="e">
        <f t="shared" si="59"/>
        <v>#DIV/0!</v>
      </c>
      <c r="CE49" s="213" t="e">
        <f t="shared" si="60"/>
        <v>#DIV/0!</v>
      </c>
      <c r="CF49" s="213" t="e">
        <f t="shared" si="61"/>
        <v>#DIV/0!</v>
      </c>
      <c r="CG49" s="213" t="e">
        <f t="shared" si="62"/>
        <v>#DIV/0!</v>
      </c>
      <c r="CH49" s="213" t="e">
        <f t="shared" si="63"/>
        <v>#DIV/0!</v>
      </c>
      <c r="CI49" s="213" t="e">
        <f t="shared" si="64"/>
        <v>#DIV/0!</v>
      </c>
      <c r="CJ49" s="226"/>
      <c r="CK49" s="228"/>
      <c r="CL49" s="228"/>
      <c r="CM49" s="228"/>
      <c r="CN49" s="228"/>
      <c r="CO49" s="228"/>
      <c r="CP49" s="228"/>
      <c r="CQ49" s="228"/>
      <c r="CR49" s="228"/>
      <c r="CS49" s="228"/>
      <c r="CT49" s="228"/>
      <c r="CU49" s="228"/>
      <c r="CV49" s="228"/>
      <c r="CW49" s="228"/>
      <c r="CX49" s="228"/>
      <c r="CY49" s="228"/>
      <c r="CZ49" s="228"/>
      <c r="DA49" s="228"/>
      <c r="DB49" s="228"/>
      <c r="DC49" s="228"/>
      <c r="DD49" s="228"/>
      <c r="DE49" s="228"/>
      <c r="DF49" s="228"/>
      <c r="DG49" s="228"/>
      <c r="DH49" s="228"/>
      <c r="DI49" s="228"/>
      <c r="DJ49" s="228"/>
      <c r="DK49" s="228"/>
      <c r="DL49" s="228"/>
      <c r="DM49" s="228"/>
      <c r="DN49" s="228"/>
      <c r="DO49" s="228"/>
      <c r="DP49" s="228"/>
      <c r="DQ49" s="228"/>
    </row>
    <row r="50" s="61" customFormat="1" ht="16" customHeight="1" spans="1:121">
      <c r="A50" s="269" t="s">
        <v>379</v>
      </c>
      <c r="B50" s="270"/>
      <c r="C50" s="77" t="e">
        <f>-IF(AJ24="",0.4*SUMPRODUCT(B6:E9,V84:Y87),0.4*(AQ9*B6+AQ10*C6+AQ11*D6+AQ12*E6+AQ13*B7+AQ14*C7+AQ15*D7+AQ16*E7+AQ17*B8+AQ18*C8+AQ19*D8+AQ20*E8+AQ21*B9+AQ22*C9+AQ23*D9+AQ24*E9))</f>
        <v>#DIV/0!</v>
      </c>
      <c r="D50" s="79"/>
      <c r="E50" s="79" t="e">
        <f>E48-C50</f>
        <v>#DIV/0!</v>
      </c>
      <c r="F50" s="79" t="e">
        <f>F49+C50</f>
        <v>#DIV/0!</v>
      </c>
      <c r="G50" s="73"/>
      <c r="H50" s="269" t="s">
        <v>524</v>
      </c>
      <c r="I50" s="90">
        <v>2</v>
      </c>
      <c r="J50" s="90">
        <v>2</v>
      </c>
      <c r="K50" s="90">
        <v>3</v>
      </c>
      <c r="L50" s="90">
        <v>3</v>
      </c>
      <c r="M50" s="85"/>
      <c r="N50" s="74"/>
      <c r="O50" s="269" t="s">
        <v>574</v>
      </c>
      <c r="P50" s="79" t="e">
        <f>E60</f>
        <v>#DIV/0!</v>
      </c>
      <c r="Q50" s="147"/>
      <c r="R50" s="74"/>
      <c r="S50" s="74"/>
      <c r="T50" s="120"/>
      <c r="U50" s="269" t="s">
        <v>523</v>
      </c>
      <c r="V50" s="146">
        <f>IF(第3期!BJ27=0,0,第4期!BJ27/第3期!BJ27)</f>
        <v>0</v>
      </c>
      <c r="W50" s="146">
        <f>IF(第3期!BK27=0,0,第4期!BK27/第3期!BK27)</f>
        <v>0</v>
      </c>
      <c r="X50" s="146">
        <f>IF(第3期!BL27=0,0,第4期!BL27/第3期!BL27)</f>
        <v>0</v>
      </c>
      <c r="Y50" s="146">
        <f>IF(第3期!BM27=0,0,第4期!BM27/第3期!BM27)</f>
        <v>0</v>
      </c>
      <c r="Z50" s="74"/>
      <c r="AA50" s="73"/>
      <c r="AB50" s="74"/>
      <c r="AC50" s="74"/>
      <c r="AD50" s="74"/>
      <c r="AE50" s="74"/>
      <c r="AF50" s="74"/>
      <c r="AG50" s="74"/>
      <c r="AH50" s="73"/>
      <c r="AI50" s="367"/>
      <c r="AJ50" s="368"/>
      <c r="AK50" s="368"/>
      <c r="AL50" s="368"/>
      <c r="AM50" s="368"/>
      <c r="AN50" s="368"/>
      <c r="AO50" s="368"/>
      <c r="AP50" s="368"/>
      <c r="AQ50" s="368"/>
      <c r="AR50" s="368"/>
      <c r="AS50" s="368"/>
      <c r="AT50" s="368"/>
      <c r="AU50" s="368"/>
      <c r="AV50" s="368"/>
      <c r="AW50" s="368"/>
      <c r="AX50" s="368"/>
      <c r="AY50" s="368"/>
      <c r="AZ50" s="193"/>
      <c r="BA50" s="196">
        <f t="shared" si="65"/>
        <v>0</v>
      </c>
      <c r="BB50" s="201">
        <f t="shared" si="66"/>
        <v>0</v>
      </c>
      <c r="BC50" s="201">
        <f t="shared" si="67"/>
        <v>0</v>
      </c>
      <c r="BD50" s="201">
        <f t="shared" si="68"/>
        <v>0</v>
      </c>
      <c r="BE50" s="201">
        <f t="shared" si="69"/>
        <v>0</v>
      </c>
      <c r="BF50" s="202">
        <f>(BB50*初始化表!E$17+BC50*初始化表!F$17+BD50*初始化表!G$17+BE50*初始化表!H$17)/1300</f>
        <v>0</v>
      </c>
      <c r="BG50" s="207">
        <f t="shared" si="70"/>
        <v>0</v>
      </c>
      <c r="BH50" s="207">
        <f t="shared" si="71"/>
        <v>0</v>
      </c>
      <c r="BI50" s="321">
        <f>$BI$51+MAX(0,第4期!BI50)-BF50</f>
        <v>0</v>
      </c>
      <c r="BJ50" s="201" t="str">
        <f t="shared" si="72"/>
        <v/>
      </c>
      <c r="BK50" s="201" t="str">
        <f t="shared" si="73"/>
        <v/>
      </c>
      <c r="BL50" s="203"/>
      <c r="BM50" s="203"/>
      <c r="BN50" s="203"/>
      <c r="BO50" s="203"/>
      <c r="BP50" s="203"/>
      <c r="BQ50" s="203"/>
      <c r="BR50" s="211"/>
      <c r="BS50" s="194" t="s">
        <v>569</v>
      </c>
      <c r="BT50" s="219" t="e">
        <f>SUM(AJ61:AJ80)/初始化表!$B5</f>
        <v>#DIV/0!</v>
      </c>
      <c r="BU50" s="219" t="e">
        <f>SUM(AK61:AK80)/初始化表!$B5</f>
        <v>#DIV/0!</v>
      </c>
      <c r="BV50" s="219" t="e">
        <f>SUM(AL61:AL80)/初始化表!$B5</f>
        <v>#DIV/0!</v>
      </c>
      <c r="BW50" s="219" t="e">
        <f>SUM(AM61:AM80)/初始化表!$B5</f>
        <v>#DIV/0!</v>
      </c>
      <c r="BX50" s="219" t="e">
        <f>SUM(AN61:AN80)/初始化表!$B5</f>
        <v>#DIV/0!</v>
      </c>
      <c r="BY50" s="219" t="e">
        <f>SUM(AO61:AO80)/初始化表!$B5</f>
        <v>#DIV/0!</v>
      </c>
      <c r="BZ50" s="219" t="e">
        <f>SUM(AP61:AP80)/初始化表!$B5</f>
        <v>#DIV/0!</v>
      </c>
      <c r="CA50" s="219" t="e">
        <f>SUM(AQ61:AQ80)/初始化表!$B5</f>
        <v>#DIV/0!</v>
      </c>
      <c r="CB50" s="219" t="e">
        <f>SUM(AR61:AR80)/初始化表!$B5</f>
        <v>#DIV/0!</v>
      </c>
      <c r="CC50" s="219" t="e">
        <f>SUM(AS61:AS80)/初始化表!$B5</f>
        <v>#DIV/0!</v>
      </c>
      <c r="CD50" s="219" t="e">
        <f>SUM(AT61:AT80)/初始化表!$B5</f>
        <v>#DIV/0!</v>
      </c>
      <c r="CE50" s="219" t="e">
        <f>SUM(AU61:AU80)/初始化表!$B5</f>
        <v>#DIV/0!</v>
      </c>
      <c r="CF50" s="219" t="e">
        <f>SUM(AV61:AV80)/初始化表!$B5</f>
        <v>#DIV/0!</v>
      </c>
      <c r="CG50" s="219" t="e">
        <f>SUM(AW61:AW80)/初始化表!$B5</f>
        <v>#DIV/0!</v>
      </c>
      <c r="CH50" s="219" t="e">
        <f>SUM(AX61:AX80)/初始化表!$B5</f>
        <v>#DIV/0!</v>
      </c>
      <c r="CI50" s="219" t="e">
        <f>SUM(AY61:AY80)/初始化表!$B5</f>
        <v>#DIV/0!</v>
      </c>
      <c r="CJ50" s="226"/>
      <c r="CK50" s="228"/>
      <c r="CL50" s="228"/>
      <c r="CM50" s="228"/>
      <c r="CN50" s="228"/>
      <c r="CO50" s="228"/>
      <c r="CP50" s="228"/>
      <c r="CQ50" s="228"/>
      <c r="CR50" s="228"/>
      <c r="CS50" s="228"/>
      <c r="CT50" s="228"/>
      <c r="CU50" s="228"/>
      <c r="CV50" s="228"/>
      <c r="CW50" s="228"/>
      <c r="CX50" s="228"/>
      <c r="CY50" s="228"/>
      <c r="CZ50" s="228"/>
      <c r="DA50" s="228"/>
      <c r="DB50" s="228"/>
      <c r="DC50" s="228"/>
      <c r="DD50" s="228"/>
      <c r="DE50" s="228"/>
      <c r="DF50" s="228"/>
      <c r="DG50" s="228"/>
      <c r="DH50" s="228"/>
      <c r="DI50" s="228"/>
      <c r="DJ50" s="228"/>
      <c r="DK50" s="228"/>
      <c r="DL50" s="228"/>
      <c r="DM50" s="228"/>
      <c r="DN50" s="228"/>
      <c r="DO50" s="228"/>
      <c r="DP50" s="228"/>
      <c r="DQ50" s="228"/>
    </row>
    <row r="51" s="61" customFormat="1" ht="16" customHeight="1" spans="1:121">
      <c r="A51" s="269" t="s">
        <v>380</v>
      </c>
      <c r="B51" s="270"/>
      <c r="C51" s="77" t="e">
        <f>-初始化表!H5*N49*初始化表!B8</f>
        <v>#DIV/0!</v>
      </c>
      <c r="D51" s="79"/>
      <c r="E51" s="79" t="e">
        <f>E50-C51</f>
        <v>#DIV/0!</v>
      </c>
      <c r="F51" s="79"/>
      <c r="G51" s="73"/>
      <c r="H51" s="269" t="s">
        <v>662</v>
      </c>
      <c r="I51" s="269" t="s">
        <v>521</v>
      </c>
      <c r="J51" s="269" t="s">
        <v>522</v>
      </c>
      <c r="K51" s="269" t="s">
        <v>523</v>
      </c>
      <c r="L51" s="269" t="s">
        <v>524</v>
      </c>
      <c r="M51" s="85"/>
      <c r="N51" s="74"/>
      <c r="O51" s="116" t="s">
        <v>296</v>
      </c>
      <c r="P51" s="79" t="e">
        <f>F64</f>
        <v>#DIV/0!</v>
      </c>
      <c r="Q51" s="147"/>
      <c r="R51" s="74"/>
      <c r="S51" s="74"/>
      <c r="T51" s="120"/>
      <c r="U51" s="269" t="s">
        <v>524</v>
      </c>
      <c r="V51" s="146">
        <f>IF(第3期!BN27=0,0,第4期!BN27/第3期!BN27)</f>
        <v>0</v>
      </c>
      <c r="W51" s="146">
        <f>IF(第3期!BO27=0,0,第4期!BO27/第3期!BO27)</f>
        <v>0</v>
      </c>
      <c r="X51" s="146">
        <f>IF(第3期!BP27=0,0,第4期!BP27/第3期!BP27)</f>
        <v>0</v>
      </c>
      <c r="Y51" s="146">
        <f>IF(第3期!BQ27=0,0,第4期!BQ27/第3期!BQ27)</f>
        <v>0</v>
      </c>
      <c r="Z51" s="74"/>
      <c r="AA51" s="73"/>
      <c r="AB51" s="74"/>
      <c r="AC51" s="74"/>
      <c r="AD51" s="74"/>
      <c r="AE51" s="74"/>
      <c r="AF51" s="74"/>
      <c r="AG51" s="74"/>
      <c r="AH51" s="73"/>
      <c r="AI51" s="367"/>
      <c r="AJ51" s="368"/>
      <c r="AK51" s="368"/>
      <c r="AL51" s="368"/>
      <c r="AM51" s="368"/>
      <c r="AN51" s="368"/>
      <c r="AO51" s="368"/>
      <c r="AP51" s="368"/>
      <c r="AQ51" s="368"/>
      <c r="AR51" s="368"/>
      <c r="AS51" s="368"/>
      <c r="AT51" s="368"/>
      <c r="AU51" s="368"/>
      <c r="AV51" s="368"/>
      <c r="AW51" s="368"/>
      <c r="AX51" s="368"/>
      <c r="AY51" s="368"/>
      <c r="AZ51" s="193"/>
      <c r="BA51" s="194" t="s">
        <v>664</v>
      </c>
      <c r="BB51" s="202" t="e">
        <f>SUM(BB31:BB50)/初始化表!$B$5</f>
        <v>#DIV/0!</v>
      </c>
      <c r="BC51" s="202" t="e">
        <f>SUM(BC31:BC50)/初始化表!$B$5</f>
        <v>#DIV/0!</v>
      </c>
      <c r="BD51" s="202" t="e">
        <f>SUM(BD31:BD50)/初始化表!$B$5</f>
        <v>#DIV/0!</v>
      </c>
      <c r="BE51" s="202" t="e">
        <f>SUM(BE31:BE50)/初始化表!$B$5</f>
        <v>#DIV/0!</v>
      </c>
      <c r="BF51" s="202" t="e">
        <f>SUM(BF31:BF50)/初始化表!$B$5</f>
        <v>#DIV/0!</v>
      </c>
      <c r="BG51" s="202" t="e">
        <f>SUM(BG31:BG50)/初始化表!$B$5</f>
        <v>#DIV/0!</v>
      </c>
      <c r="BH51" s="202" t="e">
        <f>SUM(AJ107:AJ126)/SUM(BF31:BF50)</f>
        <v>#DIV/0!</v>
      </c>
      <c r="BI51" s="208">
        <f>((INT(I52)-SUM(AQ9:AQ12))*初始化表!E17+(INT(J52)-SUM(AQ13:AQ16))*初始化表!F17+(INT(K52)-SUM(AQ17:AQ20))*初始化表!G17+(INT(L52)-SUM(AQ21:AQ24))*初始化表!H17)/1300</f>
        <v>0</v>
      </c>
      <c r="BJ51" s="201"/>
      <c r="BK51" s="201"/>
      <c r="BL51" s="203"/>
      <c r="BM51" s="203"/>
      <c r="BN51" s="203"/>
      <c r="BO51" s="203"/>
      <c r="BP51" s="203"/>
      <c r="BQ51" s="203"/>
      <c r="BR51" s="211"/>
      <c r="BS51" s="194" t="s">
        <v>570</v>
      </c>
      <c r="BT51" s="220" t="e">
        <f t="shared" ref="BT51:CI51" si="77">STDEV.P(AJ61:AJ80)</f>
        <v>#DIV/0!</v>
      </c>
      <c r="BU51" s="220" t="e">
        <f t="shared" si="77"/>
        <v>#DIV/0!</v>
      </c>
      <c r="BV51" s="220" t="e">
        <f t="shared" si="77"/>
        <v>#DIV/0!</v>
      </c>
      <c r="BW51" s="220" t="e">
        <f t="shared" si="77"/>
        <v>#DIV/0!</v>
      </c>
      <c r="BX51" s="220" t="e">
        <f t="shared" si="77"/>
        <v>#DIV/0!</v>
      </c>
      <c r="BY51" s="220" t="e">
        <f t="shared" si="77"/>
        <v>#DIV/0!</v>
      </c>
      <c r="BZ51" s="220" t="e">
        <f t="shared" si="77"/>
        <v>#DIV/0!</v>
      </c>
      <c r="CA51" s="220" t="e">
        <f t="shared" si="77"/>
        <v>#DIV/0!</v>
      </c>
      <c r="CB51" s="220" t="e">
        <f t="shared" si="77"/>
        <v>#DIV/0!</v>
      </c>
      <c r="CC51" s="220" t="e">
        <f t="shared" si="77"/>
        <v>#DIV/0!</v>
      </c>
      <c r="CD51" s="220" t="e">
        <f t="shared" si="77"/>
        <v>#DIV/0!</v>
      </c>
      <c r="CE51" s="220" t="e">
        <f t="shared" si="77"/>
        <v>#DIV/0!</v>
      </c>
      <c r="CF51" s="220" t="e">
        <f t="shared" si="77"/>
        <v>#DIV/0!</v>
      </c>
      <c r="CG51" s="220" t="e">
        <f t="shared" si="77"/>
        <v>#DIV/0!</v>
      </c>
      <c r="CH51" s="220" t="e">
        <f t="shared" si="77"/>
        <v>#DIV/0!</v>
      </c>
      <c r="CI51" s="220" t="e">
        <f t="shared" si="77"/>
        <v>#DIV/0!</v>
      </c>
      <c r="CJ51" s="226"/>
      <c r="CK51" s="228"/>
      <c r="CL51" s="228"/>
      <c r="CM51" s="228"/>
      <c r="CN51" s="228"/>
      <c r="CO51" s="228"/>
      <c r="CP51" s="228"/>
      <c r="CQ51" s="228"/>
      <c r="CR51" s="228"/>
      <c r="CS51" s="228"/>
      <c r="CT51" s="228"/>
      <c r="CU51" s="228"/>
      <c r="CV51" s="228"/>
      <c r="CW51" s="228"/>
      <c r="CX51" s="228"/>
      <c r="CY51" s="228"/>
      <c r="CZ51" s="228"/>
      <c r="DA51" s="228"/>
      <c r="DB51" s="228"/>
      <c r="DC51" s="228"/>
      <c r="DD51" s="228"/>
      <c r="DE51" s="228"/>
      <c r="DF51" s="228"/>
      <c r="DG51" s="228"/>
      <c r="DH51" s="228"/>
      <c r="DI51" s="228"/>
      <c r="DJ51" s="228"/>
      <c r="DK51" s="228"/>
      <c r="DL51" s="228"/>
      <c r="DM51" s="228"/>
      <c r="DN51" s="228"/>
      <c r="DO51" s="228"/>
      <c r="DP51" s="228"/>
      <c r="DQ51" s="228"/>
    </row>
    <row r="52" s="61" customFormat="1" ht="16" customHeight="1" spans="1:88">
      <c r="A52" s="269" t="s">
        <v>381</v>
      </c>
      <c r="B52" s="270"/>
      <c r="C52" s="77">
        <f>IF(AJ24="",0,SUM(AP9:AP12)*初始化表!E22+SUM(AP13:AP16)*初始化表!F22+SUM(AP17:AP20)*初始化表!G22+SUM(AP21:AP24)*初始化表!H22)-(SUM(V5:Z5,-I56)*初始化表!E22+SUM(V6:Z6,-J56)*初始化表!F22+SUM(V7:Z7,-K56)*初始化表!G22+SUM(V8:Z8,-L56)*初始化表!H22)</f>
        <v>0</v>
      </c>
      <c r="D52" s="79"/>
      <c r="E52" s="79" t="e">
        <f>E51-C52</f>
        <v>#DIV/0!</v>
      </c>
      <c r="F52" s="79"/>
      <c r="G52" s="73"/>
      <c r="H52" s="269" t="s">
        <v>665</v>
      </c>
      <c r="I52" s="77">
        <f>Z5+初始化表!B4*SUM(B17:E17)</f>
        <v>0</v>
      </c>
      <c r="J52" s="77">
        <f>Z6+初始化表!B4*SUM(B18:E18)</f>
        <v>0</v>
      </c>
      <c r="K52" s="77">
        <f>Z7+初始化表!B4*SUM(B19:E19)</f>
        <v>0</v>
      </c>
      <c r="L52" s="77">
        <f>Z8+初始化表!B4*SUM(B20:E20)</f>
        <v>0</v>
      </c>
      <c r="M52" s="85"/>
      <c r="N52" s="74"/>
      <c r="O52" s="74"/>
      <c r="P52" s="74"/>
      <c r="Q52" s="74"/>
      <c r="R52" s="74"/>
      <c r="S52" s="74"/>
      <c r="T52" s="120"/>
      <c r="U52" s="123"/>
      <c r="V52" s="148"/>
      <c r="W52" s="148"/>
      <c r="X52" s="148"/>
      <c r="Y52" s="148"/>
      <c r="Z52" s="74"/>
      <c r="AA52" s="73"/>
      <c r="AB52" s="74"/>
      <c r="AC52" s="74"/>
      <c r="AD52" s="74"/>
      <c r="AE52" s="74"/>
      <c r="AF52" s="74"/>
      <c r="AG52" s="74"/>
      <c r="AH52" s="73"/>
      <c r="AI52" s="367"/>
      <c r="AJ52" s="368"/>
      <c r="AK52" s="368"/>
      <c r="AL52" s="368"/>
      <c r="AM52" s="368"/>
      <c r="AN52" s="368"/>
      <c r="AO52" s="368"/>
      <c r="AP52" s="368"/>
      <c r="AQ52" s="368"/>
      <c r="AR52" s="368"/>
      <c r="AS52" s="368"/>
      <c r="AT52" s="368"/>
      <c r="AU52" s="368"/>
      <c r="AV52" s="368"/>
      <c r="AW52" s="368"/>
      <c r="AX52" s="368"/>
      <c r="AY52" s="368"/>
      <c r="AZ52" s="193"/>
      <c r="BA52" s="203"/>
      <c r="BB52" s="203"/>
      <c r="BC52" s="203"/>
      <c r="BD52" s="203"/>
      <c r="BE52" s="203"/>
      <c r="BF52" s="203"/>
      <c r="BG52" s="203"/>
      <c r="BH52" s="203"/>
      <c r="BI52" s="203"/>
      <c r="BJ52" s="203"/>
      <c r="BK52" s="203"/>
      <c r="BL52" s="203"/>
      <c r="BM52" s="203"/>
      <c r="BN52" s="203"/>
      <c r="BO52" s="203"/>
      <c r="BP52" s="203"/>
      <c r="BQ52" s="203"/>
      <c r="BR52" s="211"/>
      <c r="BS52" s="211"/>
      <c r="BT52" s="211"/>
      <c r="BU52" s="211"/>
      <c r="BV52" s="211"/>
      <c r="BW52" s="211"/>
      <c r="BX52" s="211"/>
      <c r="BY52" s="211"/>
      <c r="BZ52" s="211"/>
      <c r="CA52" s="211"/>
      <c r="CB52" s="211"/>
      <c r="CC52" s="211"/>
      <c r="CD52" s="211"/>
      <c r="CE52" s="211"/>
      <c r="CF52" s="211"/>
      <c r="CG52" s="211"/>
      <c r="CH52" s="211"/>
      <c r="CI52" s="211"/>
      <c r="CJ52" s="62"/>
    </row>
    <row r="53" s="61" customFormat="1" ht="16" customHeight="1" spans="1:88">
      <c r="A53" s="269" t="s">
        <v>382</v>
      </c>
      <c r="B53" s="270"/>
      <c r="C53" s="77">
        <f>-(H43+L43)/2*初始化表!B7</f>
        <v>0</v>
      </c>
      <c r="D53" s="79"/>
      <c r="E53" s="79" t="e">
        <f>E52-C53</f>
        <v>#DIV/0!</v>
      </c>
      <c r="F53" s="79" t="e">
        <f>F50+C53</f>
        <v>#DIV/0!</v>
      </c>
      <c r="G53" s="73"/>
      <c r="H53" s="269" t="s">
        <v>671</v>
      </c>
      <c r="I53" s="269" t="s">
        <v>521</v>
      </c>
      <c r="J53" s="269" t="s">
        <v>522</v>
      </c>
      <c r="K53" s="269" t="s">
        <v>523</v>
      </c>
      <c r="L53" s="269" t="s">
        <v>524</v>
      </c>
      <c r="M53" s="85"/>
      <c r="N53" s="74"/>
      <c r="O53" s="74"/>
      <c r="P53" s="74"/>
      <c r="Q53" s="74"/>
      <c r="R53" s="74"/>
      <c r="S53" s="74"/>
      <c r="T53" s="120"/>
      <c r="U53" s="269" t="s">
        <v>731</v>
      </c>
      <c r="V53" s="339" t="s">
        <v>513</v>
      </c>
      <c r="W53" s="339" t="s">
        <v>514</v>
      </c>
      <c r="X53" s="339" t="s">
        <v>515</v>
      </c>
      <c r="Y53" s="339" t="s">
        <v>516</v>
      </c>
      <c r="Z53" s="74"/>
      <c r="AA53" s="269" t="s">
        <v>743</v>
      </c>
      <c r="AB53" s="339" t="s">
        <v>513</v>
      </c>
      <c r="AC53" s="339" t="s">
        <v>514</v>
      </c>
      <c r="AD53" s="339" t="s">
        <v>515</v>
      </c>
      <c r="AE53" s="339" t="s">
        <v>516</v>
      </c>
      <c r="AF53" s="74"/>
      <c r="AG53" s="74"/>
      <c r="AH53" s="73"/>
      <c r="AI53" s="367"/>
      <c r="AJ53" s="368"/>
      <c r="AK53" s="368"/>
      <c r="AL53" s="368"/>
      <c r="AM53" s="368"/>
      <c r="AN53" s="368"/>
      <c r="AO53" s="368"/>
      <c r="AP53" s="368"/>
      <c r="AQ53" s="368"/>
      <c r="AR53" s="368"/>
      <c r="AS53" s="368"/>
      <c r="AT53" s="368"/>
      <c r="AU53" s="368"/>
      <c r="AV53" s="368"/>
      <c r="AW53" s="368"/>
      <c r="AX53" s="368"/>
      <c r="AY53" s="368"/>
      <c r="AZ53" s="193"/>
      <c r="BA53" s="194" t="s">
        <v>37</v>
      </c>
      <c r="BB53" s="194" t="s">
        <v>674</v>
      </c>
      <c r="BC53" s="204"/>
      <c r="BD53" s="194" t="s">
        <v>675</v>
      </c>
      <c r="BE53" s="194" t="s">
        <v>198</v>
      </c>
      <c r="BF53" s="194" t="s">
        <v>202</v>
      </c>
      <c r="BG53" s="194" t="s">
        <v>206</v>
      </c>
      <c r="BH53" s="194" t="s">
        <v>208</v>
      </c>
      <c r="BI53" s="203"/>
      <c r="BJ53" s="203"/>
      <c r="BK53" s="203"/>
      <c r="BL53" s="203"/>
      <c r="BM53" s="203"/>
      <c r="BN53" s="203"/>
      <c r="BO53" s="203"/>
      <c r="BP53" s="203"/>
      <c r="BQ53" s="203"/>
      <c r="BR53" s="211"/>
      <c r="BS53" s="211"/>
      <c r="BT53" s="211"/>
      <c r="BU53" s="211"/>
      <c r="BV53" s="211"/>
      <c r="BW53" s="211"/>
      <c r="BX53" s="211"/>
      <c r="BY53" s="211"/>
      <c r="BZ53" s="211"/>
      <c r="CA53" s="211"/>
      <c r="CB53" s="211"/>
      <c r="CC53" s="211"/>
      <c r="CD53" s="211"/>
      <c r="CE53" s="211"/>
      <c r="CF53" s="211"/>
      <c r="CG53" s="211"/>
      <c r="CH53" s="211"/>
      <c r="CI53" s="211"/>
      <c r="CJ53" s="62"/>
    </row>
    <row r="54" s="61" customFormat="1" ht="16" customHeight="1" spans="1:88">
      <c r="A54" s="269" t="s">
        <v>383</v>
      </c>
      <c r="B54" s="270"/>
      <c r="C54" s="77">
        <f>-(SUM(V5:Z5,I56)/2*初始化表!E5+SUM(V6:Z6,J56)/2*初始化表!E6+SUM(V7:Z7,K56)/2*初始化表!E7+SUM(V8:Z8,L56)/2*初始化表!E8+IF(AJ24="",0,(SUM(AP9:AP12)*初始化表!E5+SUM(AP13:AP16)*初始化表!E6+SUM(AP17:AP20)*初始化表!E7+SUM(AP21:AP24)*初始化表!E8)/2))</f>
        <v>0</v>
      </c>
      <c r="D54" s="79"/>
      <c r="E54" s="79" t="e">
        <f>E53-C54</f>
        <v>#DIV/0!</v>
      </c>
      <c r="F54" s="79" t="e">
        <f t="shared" ref="F54:F64" si="78">F53+C54</f>
        <v>#DIV/0!</v>
      </c>
      <c r="G54" s="73"/>
      <c r="H54" s="269" t="s">
        <v>665</v>
      </c>
      <c r="I54" s="82">
        <f>INT(I52)-SUM(B12:E12)</f>
        <v>0</v>
      </c>
      <c r="J54" s="82">
        <f>INT(J52)-SUM(B13:E13)</f>
        <v>0</v>
      </c>
      <c r="K54" s="82">
        <f>INT(K52)-SUM(B14:E14)</f>
        <v>0</v>
      </c>
      <c r="L54" s="82">
        <f>INT(L52)-SUM(B15:E15)</f>
        <v>0</v>
      </c>
      <c r="M54" s="85"/>
      <c r="N54" s="74"/>
      <c r="O54" s="74"/>
      <c r="P54" s="74"/>
      <c r="Q54" s="74"/>
      <c r="R54" s="74"/>
      <c r="S54" s="74"/>
      <c r="T54" s="120"/>
      <c r="U54" s="269" t="s">
        <v>521</v>
      </c>
      <c r="V54" s="146">
        <f>IF(第3期!BB28=0,0,第4期!BB28/第3期!BB28)</f>
        <v>0</v>
      </c>
      <c r="W54" s="146">
        <f>IF(第3期!BC28=0,0,第4期!BC28/第3期!BC28)</f>
        <v>0</v>
      </c>
      <c r="X54" s="146">
        <f>IF(第3期!BD28=0,0,第4期!BD28/第3期!BD28)</f>
        <v>0</v>
      </c>
      <c r="Y54" s="146">
        <f>IF(第3期!BE28=0,0,第4期!BE28/第3期!BE28)</f>
        <v>0</v>
      </c>
      <c r="Z54" s="74"/>
      <c r="AA54" s="269" t="s">
        <v>521</v>
      </c>
      <c r="AB54" s="150">
        <f>IF(第3期!BB28=0,0,(第4期!BB28-第3期!BB28)/20)</f>
        <v>0</v>
      </c>
      <c r="AC54" s="150">
        <f>IF(第3期!BC28=0,0,(第4期!BC28-第3期!BC28)/20)</f>
        <v>0</v>
      </c>
      <c r="AD54" s="150">
        <f>IF(第3期!BD28=0,0,(第4期!BD28-第3期!BD28)/20)</f>
        <v>0</v>
      </c>
      <c r="AE54" s="150">
        <f>IF(第3期!BE28=0,0,(第4期!BE28-第3期!BE28)/20)</f>
        <v>0</v>
      </c>
      <c r="AF54" s="74"/>
      <c r="AG54" s="74"/>
      <c r="AH54" s="73"/>
      <c r="AI54" s="367"/>
      <c r="AJ54" s="368"/>
      <c r="AK54" s="368"/>
      <c r="AL54" s="368"/>
      <c r="AM54" s="368"/>
      <c r="AN54" s="368"/>
      <c r="AO54" s="368"/>
      <c r="AP54" s="368"/>
      <c r="AQ54" s="368"/>
      <c r="AR54" s="368"/>
      <c r="AS54" s="368"/>
      <c r="AT54" s="368"/>
      <c r="AU54" s="368"/>
      <c r="AV54" s="368"/>
      <c r="AW54" s="368"/>
      <c r="AX54" s="368"/>
      <c r="AY54" s="368"/>
      <c r="AZ54" s="193"/>
      <c r="BA54" s="195">
        <f t="shared" ref="BA54:BA73" si="79">BA31</f>
        <v>0</v>
      </c>
      <c r="BB54" s="205">
        <f>IF(BT5=1,AL107/(第4期!AP107/2+AP107),0)</f>
        <v>0</v>
      </c>
      <c r="BC54" s="203"/>
      <c r="BD54" s="194">
        <f>BA54</f>
        <v>0</v>
      </c>
      <c r="BE54" s="209" t="e">
        <f>BB31/$BE$31</f>
        <v>#DIV/0!</v>
      </c>
      <c r="BF54" s="209" t="e">
        <f>BC31/$BE$31</f>
        <v>#DIV/0!</v>
      </c>
      <c r="BG54" s="209" t="e">
        <f>BD31/$BE$31</f>
        <v>#DIV/0!</v>
      </c>
      <c r="BH54" s="209">
        <v>1</v>
      </c>
      <c r="BI54" s="203"/>
      <c r="BJ54" s="203"/>
      <c r="BK54" s="203"/>
      <c r="BL54" s="203"/>
      <c r="BM54" s="203"/>
      <c r="BN54" s="203"/>
      <c r="BO54" s="203"/>
      <c r="BP54" s="203"/>
      <c r="BQ54" s="203"/>
      <c r="BR54" s="211"/>
      <c r="BS54" s="211"/>
      <c r="BT54" s="211"/>
      <c r="BU54" s="211"/>
      <c r="BV54" s="211"/>
      <c r="BW54" s="211"/>
      <c r="BX54" s="211"/>
      <c r="BY54" s="211"/>
      <c r="BZ54" s="211"/>
      <c r="CA54" s="211"/>
      <c r="CB54" s="211"/>
      <c r="CC54" s="211"/>
      <c r="CD54" s="211"/>
      <c r="CE54" s="211"/>
      <c r="CF54" s="211"/>
      <c r="CG54" s="211"/>
      <c r="CH54" s="211"/>
      <c r="CI54" s="211"/>
      <c r="CJ54" s="62"/>
    </row>
    <row r="55" s="61" customFormat="1" ht="16" customHeight="1" spans="1:88">
      <c r="A55" s="269" t="s">
        <v>384</v>
      </c>
      <c r="B55" s="270"/>
      <c r="C55" s="77">
        <f>N37</f>
        <v>0</v>
      </c>
      <c r="D55" s="79"/>
      <c r="E55" s="79"/>
      <c r="F55" s="79" t="e">
        <f t="shared" si="78"/>
        <v>#DIV/0!</v>
      </c>
      <c r="G55" s="73"/>
      <c r="H55" s="269" t="s">
        <v>677</v>
      </c>
      <c r="I55" s="269" t="s">
        <v>521</v>
      </c>
      <c r="J55" s="269" t="s">
        <v>522</v>
      </c>
      <c r="K55" s="269" t="s">
        <v>523</v>
      </c>
      <c r="L55" s="269" t="s">
        <v>524</v>
      </c>
      <c r="M55" s="85"/>
      <c r="N55" s="74"/>
      <c r="O55" s="74"/>
      <c r="P55" s="74"/>
      <c r="Q55" s="74"/>
      <c r="R55" s="74"/>
      <c r="S55" s="74"/>
      <c r="T55" s="120"/>
      <c r="U55" s="269" t="s">
        <v>522</v>
      </c>
      <c r="V55" s="146">
        <f>IF(第3期!BF28=0,0,第4期!BF28/第3期!BF28)</f>
        <v>0</v>
      </c>
      <c r="W55" s="146">
        <f>IF(第3期!BG28=0,0,第4期!BG28/第3期!BG28)</f>
        <v>0</v>
      </c>
      <c r="X55" s="146">
        <f>IF(第3期!BH28=0,0,第4期!BH28/第3期!BH28)</f>
        <v>0</v>
      </c>
      <c r="Y55" s="146">
        <f>IF(第3期!BI28=0,0,第4期!BI28/第3期!BI28)</f>
        <v>0</v>
      </c>
      <c r="Z55" s="74"/>
      <c r="AA55" s="269" t="s">
        <v>522</v>
      </c>
      <c r="AB55" s="150">
        <f>IF(第4期!BF28=0,0,(第4期!BF28-第3期!BF28)/20)</f>
        <v>0</v>
      </c>
      <c r="AC55" s="150">
        <f>IF(第4期!BG28=0,0,(第4期!BG28-第3期!BG28)/20)</f>
        <v>0</v>
      </c>
      <c r="AD55" s="150">
        <f>IF(第4期!BH28=0,0,(第4期!BH28-第3期!BH28)/20)</f>
        <v>0</v>
      </c>
      <c r="AE55" s="150">
        <f>IF(第4期!BI28=0,0,(第4期!BI28-第3期!BI28)/20)</f>
        <v>0</v>
      </c>
      <c r="AF55" s="74"/>
      <c r="AG55" s="74"/>
      <c r="AH55" s="73"/>
      <c r="AI55" s="367"/>
      <c r="AJ55" s="368"/>
      <c r="AK55" s="368"/>
      <c r="AL55" s="368"/>
      <c r="AM55" s="368"/>
      <c r="AN55" s="368"/>
      <c r="AO55" s="368"/>
      <c r="AP55" s="368"/>
      <c r="AQ55" s="368"/>
      <c r="AR55" s="368"/>
      <c r="AS55" s="368"/>
      <c r="AT55" s="368"/>
      <c r="AU55" s="368"/>
      <c r="AV55" s="368"/>
      <c r="AW55" s="368"/>
      <c r="AX55" s="368"/>
      <c r="AY55" s="368"/>
      <c r="AZ55" s="193"/>
      <c r="BA55" s="195">
        <f t="shared" si="79"/>
        <v>0</v>
      </c>
      <c r="BB55" s="205">
        <f>IF(BT6=1,AL108/(第4期!AP108/2+AP108),0)</f>
        <v>0</v>
      </c>
      <c r="BC55" s="203"/>
      <c r="BD55" s="194">
        <f t="shared" ref="BD55:BD73" si="80">BA55</f>
        <v>0</v>
      </c>
      <c r="BE55" s="209" t="e">
        <f t="shared" ref="BE55:BH70" si="81">BB32/$BE$31</f>
        <v>#DIV/0!</v>
      </c>
      <c r="BF55" s="209" t="e">
        <f t="shared" si="81"/>
        <v>#DIV/0!</v>
      </c>
      <c r="BG55" s="209" t="e">
        <f t="shared" si="81"/>
        <v>#DIV/0!</v>
      </c>
      <c r="BH55" s="209" t="e">
        <f t="shared" ref="BH55:BH60" si="82">BE32/$BE$31</f>
        <v>#DIV/0!</v>
      </c>
      <c r="BI55" s="203"/>
      <c r="BJ55" s="203"/>
      <c r="BK55" s="203"/>
      <c r="BL55" s="203"/>
      <c r="BM55" s="203"/>
      <c r="BN55" s="203"/>
      <c r="BO55" s="203"/>
      <c r="BP55" s="203"/>
      <c r="BQ55" s="203"/>
      <c r="BR55" s="211"/>
      <c r="BS55" s="211"/>
      <c r="BT55" s="211"/>
      <c r="BU55" s="211"/>
      <c r="BV55" s="211"/>
      <c r="BW55" s="211"/>
      <c r="BX55" s="211"/>
      <c r="BY55" s="211"/>
      <c r="BZ55" s="211"/>
      <c r="CA55" s="211"/>
      <c r="CB55" s="211"/>
      <c r="CC55" s="211"/>
      <c r="CD55" s="211"/>
      <c r="CE55" s="211"/>
      <c r="CF55" s="211"/>
      <c r="CG55" s="211"/>
      <c r="CH55" s="211"/>
      <c r="CI55" s="211"/>
      <c r="CJ55" s="62"/>
    </row>
    <row r="56" s="61" customFormat="1" ht="16" customHeight="1" spans="1:88">
      <c r="A56" s="269" t="s">
        <v>385</v>
      </c>
      <c r="B56" s="270"/>
      <c r="C56" s="77">
        <f>N37*初始化表!B23/4</f>
        <v>0</v>
      </c>
      <c r="D56" s="79" t="e">
        <f>D49+C56</f>
        <v>#DIV/0!</v>
      </c>
      <c r="E56" s="79"/>
      <c r="F56" s="79" t="e">
        <f t="shared" si="78"/>
        <v>#DIV/0!</v>
      </c>
      <c r="G56" s="73"/>
      <c r="H56" s="269" t="s">
        <v>665</v>
      </c>
      <c r="I56" s="77">
        <f>SUM(B17:E17)+Z5-SUM(B12:E12)</f>
        <v>0</v>
      </c>
      <c r="J56" s="77">
        <f>SUM(B18:E18)+Z6-SUM(B13:E13)</f>
        <v>0</v>
      </c>
      <c r="K56" s="77">
        <f>SUM(B19:E19)+Z7-SUM(B14:E14)</f>
        <v>0</v>
      </c>
      <c r="L56" s="77">
        <f>SUM(B20:E20)+Z8-SUM(B15:E15)</f>
        <v>0</v>
      </c>
      <c r="M56" s="85"/>
      <c r="N56" s="74"/>
      <c r="O56" s="131"/>
      <c r="P56" s="74"/>
      <c r="Q56" s="74"/>
      <c r="R56" s="74"/>
      <c r="S56" s="74"/>
      <c r="T56" s="120"/>
      <c r="U56" s="269" t="s">
        <v>523</v>
      </c>
      <c r="V56" s="146">
        <f>IF(第3期!BJ28=0,0,第4期!BJ28/第3期!BJ28)</f>
        <v>0</v>
      </c>
      <c r="W56" s="146">
        <f>IF(第3期!BK28=0,0,第4期!BK28/第3期!BK28)</f>
        <v>0</v>
      </c>
      <c r="X56" s="146">
        <f>IF(第3期!BL28=0,0,第4期!BL28/第3期!BL28)</f>
        <v>0</v>
      </c>
      <c r="Y56" s="146">
        <f>IF(第3期!BM28=0,0,第4期!BM28/第3期!BM28)</f>
        <v>0</v>
      </c>
      <c r="Z56" s="74"/>
      <c r="AA56" s="269" t="s">
        <v>523</v>
      </c>
      <c r="AB56" s="150">
        <f>IF(第3期!BJ28=0,0,(第4期!BJ28-第3期!BJ28)/20)</f>
        <v>0</v>
      </c>
      <c r="AC56" s="150">
        <f>IF(第3期!BK28=0,0,(第4期!BK28-第3期!BK28)/20)</f>
        <v>0</v>
      </c>
      <c r="AD56" s="150">
        <f>IF(第3期!BL28=0,0,(第4期!BL28-第3期!BL28)/20)</f>
        <v>0</v>
      </c>
      <c r="AE56" s="150">
        <f>IF(第3期!BM28=0,0,(第4期!BM28-第3期!BM28)/20)</f>
        <v>0</v>
      </c>
      <c r="AF56" s="74"/>
      <c r="AG56" s="74"/>
      <c r="AH56" s="73"/>
      <c r="AI56" s="367"/>
      <c r="AJ56" s="368"/>
      <c r="AK56" s="368"/>
      <c r="AL56" s="368"/>
      <c r="AM56" s="368"/>
      <c r="AN56" s="368"/>
      <c r="AO56" s="368"/>
      <c r="AP56" s="368"/>
      <c r="AQ56" s="368"/>
      <c r="AR56" s="368"/>
      <c r="AS56" s="368"/>
      <c r="AT56" s="368"/>
      <c r="AU56" s="368"/>
      <c r="AV56" s="368"/>
      <c r="AW56" s="368"/>
      <c r="AX56" s="368"/>
      <c r="AY56" s="368"/>
      <c r="AZ56" s="193"/>
      <c r="BA56" s="195">
        <f t="shared" si="79"/>
        <v>0</v>
      </c>
      <c r="BB56" s="205">
        <f>IF(BT7=1,AL109/(第4期!AP109/2+AP109),0)</f>
        <v>0</v>
      </c>
      <c r="BC56" s="203"/>
      <c r="BD56" s="194">
        <f t="shared" si="80"/>
        <v>0</v>
      </c>
      <c r="BE56" s="209" t="e">
        <f t="shared" si="81"/>
        <v>#DIV/0!</v>
      </c>
      <c r="BF56" s="209" t="e">
        <f t="shared" si="81"/>
        <v>#DIV/0!</v>
      </c>
      <c r="BG56" s="209" t="e">
        <f t="shared" si="81"/>
        <v>#DIV/0!</v>
      </c>
      <c r="BH56" s="209" t="e">
        <f t="shared" si="82"/>
        <v>#DIV/0!</v>
      </c>
      <c r="BI56" s="203"/>
      <c r="BJ56" s="203"/>
      <c r="BK56" s="203"/>
      <c r="BL56" s="203"/>
      <c r="BM56" s="203"/>
      <c r="BN56" s="203"/>
      <c r="BO56" s="203"/>
      <c r="BP56" s="203"/>
      <c r="BQ56" s="203"/>
      <c r="BR56" s="211"/>
      <c r="BS56" s="211"/>
      <c r="BT56" s="211"/>
      <c r="BU56" s="211"/>
      <c r="BV56" s="211"/>
      <c r="BW56" s="211"/>
      <c r="BX56" s="211"/>
      <c r="BY56" s="211"/>
      <c r="BZ56" s="211"/>
      <c r="CA56" s="211"/>
      <c r="CB56" s="211"/>
      <c r="CC56" s="211"/>
      <c r="CD56" s="211"/>
      <c r="CE56" s="211"/>
      <c r="CF56" s="211"/>
      <c r="CG56" s="211"/>
      <c r="CH56" s="211"/>
      <c r="CI56" s="211"/>
      <c r="CJ56" s="62"/>
    </row>
    <row r="57" s="61" customFormat="1" ht="16" customHeight="1" spans="1:88">
      <c r="A57" s="269" t="s">
        <v>386</v>
      </c>
      <c r="B57" s="270"/>
      <c r="C57" s="77">
        <f>-B24</f>
        <v>0</v>
      </c>
      <c r="D57" s="79"/>
      <c r="E57" s="79"/>
      <c r="F57" s="79" t="e">
        <f t="shared" si="78"/>
        <v>#DIV/0!</v>
      </c>
      <c r="G57" s="73"/>
      <c r="H57" s="269" t="s">
        <v>680</v>
      </c>
      <c r="I57" s="269" t="s">
        <v>513</v>
      </c>
      <c r="J57" s="269" t="s">
        <v>514</v>
      </c>
      <c r="K57" s="269" t="s">
        <v>515</v>
      </c>
      <c r="L57" s="269" t="s">
        <v>516</v>
      </c>
      <c r="M57" s="85"/>
      <c r="N57" s="74"/>
      <c r="O57" s="74"/>
      <c r="P57" s="74"/>
      <c r="Q57" s="74"/>
      <c r="R57" s="74"/>
      <c r="S57" s="74"/>
      <c r="T57" s="120"/>
      <c r="U57" s="269" t="s">
        <v>524</v>
      </c>
      <c r="V57" s="146">
        <f>IF(第3期!BN28=0,0,第4期!BN28/第3期!BN28)</f>
        <v>0</v>
      </c>
      <c r="W57" s="146">
        <f>IF(第3期!BO28=0,0,第4期!BO28/第3期!BO28)</f>
        <v>0</v>
      </c>
      <c r="X57" s="146">
        <f>IF(第3期!BP28=0,0,第4期!BP28/第3期!BP28)</f>
        <v>0</v>
      </c>
      <c r="Y57" s="146">
        <f>IF(第3期!BQ28=0,0,第4期!BQ28/第3期!BQ28)</f>
        <v>0</v>
      </c>
      <c r="Z57" s="74"/>
      <c r="AA57" s="269" t="s">
        <v>524</v>
      </c>
      <c r="AB57" s="150">
        <f>IF(第3期!BN28=0,0,(第4期!BN28-第3期!BN28)/20)</f>
        <v>0</v>
      </c>
      <c r="AC57" s="150">
        <f>IF(第3期!BO28=0,0,(第4期!BO28-第3期!BO28)/20)</f>
        <v>0</v>
      </c>
      <c r="AD57" s="150">
        <f>IF(第3期!BP28=0,0,(第4期!BP28-第3期!BP28)/20)</f>
        <v>0</v>
      </c>
      <c r="AE57" s="150">
        <f>IF(第3期!BQ28=0,0,(第4期!BQ28-第3期!BQ28)/20)</f>
        <v>0</v>
      </c>
      <c r="AF57" s="74"/>
      <c r="AG57" s="74"/>
      <c r="AH57" s="73"/>
      <c r="AI57" s="179" t="s">
        <v>681</v>
      </c>
      <c r="AJ57" s="180">
        <f>IF(AJ37="",0,SUM(AJ37:AJ56)/TEXT(COUNTA(AJ37:AJ56),"0;;"))</f>
        <v>0</v>
      </c>
      <c r="AK57" s="180">
        <f t="shared" ref="AK57:AY57" si="83">IF(AK37="",0,SUM(AK37:AK56)/TEXT(COUNTA(AK37:AK56),"0;;"))</f>
        <v>0</v>
      </c>
      <c r="AL57" s="180">
        <f t="shared" si="83"/>
        <v>0</v>
      </c>
      <c r="AM57" s="180">
        <f t="shared" si="83"/>
        <v>0</v>
      </c>
      <c r="AN57" s="180">
        <f t="shared" si="83"/>
        <v>0</v>
      </c>
      <c r="AO57" s="180">
        <f t="shared" si="83"/>
        <v>0</v>
      </c>
      <c r="AP57" s="180">
        <f t="shared" si="83"/>
        <v>0</v>
      </c>
      <c r="AQ57" s="180">
        <f t="shared" si="83"/>
        <v>0</v>
      </c>
      <c r="AR57" s="180">
        <f t="shared" si="83"/>
        <v>0</v>
      </c>
      <c r="AS57" s="180">
        <f t="shared" si="83"/>
        <v>0</v>
      </c>
      <c r="AT57" s="180">
        <f t="shared" si="83"/>
        <v>0</v>
      </c>
      <c r="AU57" s="180">
        <f t="shared" si="83"/>
        <v>0</v>
      </c>
      <c r="AV57" s="180">
        <f t="shared" si="83"/>
        <v>0</v>
      </c>
      <c r="AW57" s="180">
        <f t="shared" si="83"/>
        <v>0</v>
      </c>
      <c r="AX57" s="180">
        <f t="shared" si="83"/>
        <v>0</v>
      </c>
      <c r="AY57" s="180">
        <f t="shared" si="83"/>
        <v>0</v>
      </c>
      <c r="AZ57" s="193"/>
      <c r="BA57" s="195">
        <f t="shared" si="79"/>
        <v>0</v>
      </c>
      <c r="BB57" s="205">
        <f>IF(BT8=1,AL110/(第4期!AP110/2+AP110),0)</f>
        <v>0</v>
      </c>
      <c r="BC57" s="203"/>
      <c r="BD57" s="194">
        <f t="shared" si="80"/>
        <v>0</v>
      </c>
      <c r="BE57" s="209" t="e">
        <f t="shared" si="81"/>
        <v>#DIV/0!</v>
      </c>
      <c r="BF57" s="209" t="e">
        <f t="shared" si="81"/>
        <v>#DIV/0!</v>
      </c>
      <c r="BG57" s="209" t="e">
        <f t="shared" si="81"/>
        <v>#DIV/0!</v>
      </c>
      <c r="BH57" s="209" t="e">
        <f t="shared" si="82"/>
        <v>#DIV/0!</v>
      </c>
      <c r="BI57" s="203"/>
      <c r="BJ57" s="203"/>
      <c r="BK57" s="203"/>
      <c r="BL57" s="203"/>
      <c r="BM57" s="203"/>
      <c r="BN57" s="203"/>
      <c r="BO57" s="203"/>
      <c r="BP57" s="203"/>
      <c r="BQ57" s="203"/>
      <c r="BR57" s="211"/>
      <c r="BS57" s="211"/>
      <c r="BT57" s="211"/>
      <c r="BU57" s="211"/>
      <c r="BV57" s="211"/>
      <c r="BW57" s="211"/>
      <c r="BX57" s="211"/>
      <c r="BY57" s="211"/>
      <c r="BZ57" s="211"/>
      <c r="CA57" s="211"/>
      <c r="CB57" s="211"/>
      <c r="CC57" s="211"/>
      <c r="CD57" s="211"/>
      <c r="CE57" s="211"/>
      <c r="CF57" s="211"/>
      <c r="CG57" s="211"/>
      <c r="CH57" s="211"/>
      <c r="CI57" s="211"/>
      <c r="CJ57" s="62"/>
    </row>
    <row r="58" s="61" customFormat="1" ht="16" customHeight="1" spans="1:88">
      <c r="A58" s="269" t="s">
        <v>387</v>
      </c>
      <c r="B58" s="270"/>
      <c r="C58" s="77">
        <f>-B24*初始化表!B22/4</f>
        <v>0</v>
      </c>
      <c r="D58" s="79"/>
      <c r="E58" s="79" t="e">
        <f>E54-C58</f>
        <v>#DIV/0!</v>
      </c>
      <c r="F58" s="79" t="e">
        <f t="shared" si="78"/>
        <v>#DIV/0!</v>
      </c>
      <c r="G58" s="73"/>
      <c r="H58" s="269" t="s">
        <v>521</v>
      </c>
      <c r="I58" s="326">
        <f>INT(IF($F$24=1,IF(MOD(($I52+SUM($V5:$Y5)-SUM($V11:$Y11))*I47/SUM($I47:$L47)-V5+V11-9,20)&gt;11,(($I52+SUM($V5:$Y5)-SUM($V11:$Y11))*I47/SUM($I47:$L47)-V5+V11),(($I52+SUM($V5:$Y5)-SUM($V11:$Y11))*I47/SUM($I47:$L47)-V5+V11)-MOD(($I52+SUM($V5:$Y5)-SUM($V11:$Y11))*I47/SUM($I47:$L47)-V5+V11-9,20)),($I52+SUM($V5:$Y5)-SUM($V11:$Y11))*I47/SUM($I47:$L47)-V5+V11))</f>
        <v>-11</v>
      </c>
      <c r="J58" s="326">
        <f>INT(IF($F$24=1,IF(MOD(($I52+SUM($V5:$Y5)-SUM($V11:$Y11))*J47/SUM($I47:$L47)-W5+W11-9,20)&gt;11,(($I52+SUM($V5:$Y5)-SUM($V11:$Y11))*J47/SUM($I47:$L47)-W5+W11),(($I52+SUM($V5:$Y5)-SUM($V11:$Y11))*J47/SUM($I47:$L47)-W5+W11)-MOD(($I52+SUM($V5:$Y5)-SUM($V11:$Y11))*J47/SUM($I47:$L47)-W5+W11-9,20)),($I52+SUM($V5:$Y5)-SUM($V11:$Y11))*J47/SUM($I47:$L47)-W5+W11))</f>
        <v>-11</v>
      </c>
      <c r="K58" s="326">
        <f>INT(IF($F$24=1,IF(MOD(($I52+SUM($V5:$Y5)-SUM($V11:$Y11))*K47/SUM($I47:$L47)-X5+X11-9,20)&gt;11,(($I52+SUM($V5:$Y5)-SUM($V11:$Y11))*K47/SUM($I47:$L47)-X5+X11),(($I52+SUM($V5:$Y5)-SUM($V11:$Y11))*K47/SUM($I47:$L47)-X5+X11)-MOD(($I52+SUM($V5:$Y5)-SUM($V11:$Y11))*K47/SUM($I47:$L47)-X5+X11-9,20)),($I52+SUM($V5:$Y5)-SUM($V11:$Y11))*K47/SUM($I47:$L47)-X5+X11))</f>
        <v>-11</v>
      </c>
      <c r="L58" s="326">
        <f>INT(IF($F$24=1,IF(MOD(($I52+SUM($V5:$Y5)-SUM($V11:$Y11))*L47/SUM($I47:$L47)-Y5+Y11-9,20)&gt;11,(($I52+SUM($V5:$Y5)-SUM($V11:$Y11))*L47/SUM($I47:$L47)-Y5+Y11),(($I52+SUM($V5:$Y5)-SUM($V11:$Y11))*L47/SUM($I47:$L47)-Y5+Y11)-MOD(($I52+SUM($V5:$Y5)-SUM($V11:$Y11))*L47/SUM($I47:$L47)-Y5+Y11-9,20)),($I52+SUM($V5:$Y5)-SUM($V11:$Y11))*L47/SUM($I47:$L47)-Y5+Y11))</f>
        <v>-11</v>
      </c>
      <c r="M58" s="85"/>
      <c r="N58" s="74"/>
      <c r="O58" s="74"/>
      <c r="P58" s="74"/>
      <c r="Q58" s="74"/>
      <c r="R58" s="74"/>
      <c r="S58" s="74"/>
      <c r="T58" s="120"/>
      <c r="U58" s="123"/>
      <c r="V58" s="74"/>
      <c r="W58" s="74"/>
      <c r="X58" s="74"/>
      <c r="Y58" s="74"/>
      <c r="Z58" s="74"/>
      <c r="AA58" s="73"/>
      <c r="AB58" s="74"/>
      <c r="AC58" s="74"/>
      <c r="AD58" s="74"/>
      <c r="AE58" s="74"/>
      <c r="AF58" s="74"/>
      <c r="AG58" s="74"/>
      <c r="AH58" s="73"/>
      <c r="AI58" s="68" t="s">
        <v>481</v>
      </c>
      <c r="AJ58" s="69"/>
      <c r="AK58" s="69"/>
      <c r="AL58" s="69"/>
      <c r="AM58" s="69"/>
      <c r="AN58" s="69"/>
      <c r="AO58" s="69"/>
      <c r="AP58" s="69"/>
      <c r="AQ58" s="69"/>
      <c r="AR58" s="69"/>
      <c r="AS58" s="69"/>
      <c r="AT58" s="69"/>
      <c r="AU58" s="69"/>
      <c r="AV58" s="69"/>
      <c r="AW58" s="69"/>
      <c r="AX58" s="69"/>
      <c r="AY58" s="69"/>
      <c r="AZ58" s="193"/>
      <c r="BA58" s="195">
        <f t="shared" si="79"/>
        <v>0</v>
      </c>
      <c r="BB58" s="205">
        <f>IF(BT9=1,AL111/(第4期!AP111/2+AP111),0)</f>
        <v>0</v>
      </c>
      <c r="BC58" s="203"/>
      <c r="BD58" s="194">
        <f t="shared" si="80"/>
        <v>0</v>
      </c>
      <c r="BE58" s="209" t="e">
        <f t="shared" si="81"/>
        <v>#DIV/0!</v>
      </c>
      <c r="BF58" s="209" t="e">
        <f t="shared" si="81"/>
        <v>#DIV/0!</v>
      </c>
      <c r="BG58" s="209" t="e">
        <f t="shared" si="81"/>
        <v>#DIV/0!</v>
      </c>
      <c r="BH58" s="209" t="e">
        <f t="shared" si="82"/>
        <v>#DIV/0!</v>
      </c>
      <c r="BI58" s="203"/>
      <c r="BJ58" s="203"/>
      <c r="BK58" s="203"/>
      <c r="BL58" s="203"/>
      <c r="BM58" s="203"/>
      <c r="BN58" s="203"/>
      <c r="BO58" s="203"/>
      <c r="BP58" s="203"/>
      <c r="BQ58" s="203"/>
      <c r="BR58" s="211"/>
      <c r="BS58" s="211"/>
      <c r="BT58" s="211"/>
      <c r="BU58" s="211"/>
      <c r="BV58" s="211"/>
      <c r="BW58" s="211"/>
      <c r="BX58" s="211"/>
      <c r="BY58" s="211"/>
      <c r="BZ58" s="211"/>
      <c r="CA58" s="211"/>
      <c r="CB58" s="211"/>
      <c r="CC58" s="211"/>
      <c r="CD58" s="211"/>
      <c r="CE58" s="211"/>
      <c r="CF58" s="211"/>
      <c r="CG58" s="211"/>
      <c r="CH58" s="211"/>
      <c r="CI58" s="211"/>
      <c r="CJ58" s="62"/>
    </row>
    <row r="59" s="61" customFormat="1" ht="16" customHeight="1" spans="1:88">
      <c r="A59" s="269" t="s">
        <v>388</v>
      </c>
      <c r="B59" s="270"/>
      <c r="C59" s="77" t="e">
        <f>-R33</f>
        <v>#DIV/0!</v>
      </c>
      <c r="D59" s="79"/>
      <c r="E59" s="79"/>
      <c r="F59" s="79" t="e">
        <f t="shared" si="78"/>
        <v>#DIV/0!</v>
      </c>
      <c r="G59" s="73"/>
      <c r="H59" s="269" t="s">
        <v>522</v>
      </c>
      <c r="I59" s="77">
        <f>INT(IF($F$24=1,IF(MOD(($J52+SUM($V6:$Y6)-SUM($V12:$Y12))*I48/SUM($I48:$L48)-V6+V12-9,20)&gt;11,(($J52+SUM($V6:$Y6)-SUM($V12:$Y12))*I48/SUM($I48:$L48)-V6+V12),(($J52+SUM($V6:$Y6)-SUM($V12:$Y12))*I48/SUM($I48:$L48)-V6+V12)-MOD(($J52+SUM($V6:$Y6)-SUM($V12:$Y12))*I48/SUM($I48:$L48)-V6+V12-9,20)),($J52+SUM($V6:$Y6)-SUM($V12:$Y12))*I48/SUM($I48:$L48)-V6+V12))</f>
        <v>-11</v>
      </c>
      <c r="J59" s="77">
        <f>INT(IF($F$24=1,IF(MOD(($J52+SUM($V6:$Y6)-SUM($V12:$Y12))*J48/SUM($I48:$L48)-W6+W12-9,20)&gt;11,(($J52+SUM($V6:$Y6)-SUM($V12:$Y12))*J48/SUM($I48:$L48)-W6+W12),(($J52+SUM($V6:$Y6)-SUM($V12:$Y12))*J48/SUM($I48:$L48)-W6+W12)-MOD(($J52+SUM($V6:$Y6)-SUM($V12:$Y12))*J48/SUM($I48:$L48)-W6+W12-9,20)),($J52+SUM($V6:$Y6)-SUM($V12:$Y12))*J48/SUM($I48:$L48)-W6+W12))</f>
        <v>-11</v>
      </c>
      <c r="K59" s="77">
        <f>INT(IF($F$24=1,IF(MOD(($J52+SUM($V6:$Y6)-SUM($V12:$Y12))*K48/SUM($I48:$L48)-X6+X12-9,20)&gt;11,(($J52+SUM($V6:$Y6)-SUM($V12:$Y12))*K48/SUM($I48:$L48)-X6+X12),(($J52+SUM($V6:$Y6)-SUM($V12:$Y12))*K48/SUM($I48:$L48)-X6+X12)-MOD(($J52+SUM($V6:$Y6)-SUM($V12:$Y12))*K48/SUM($I48:$L48)-X6+X12-9,20)),($J52+SUM($V6:$Y6)-SUM($V12:$Y12))*K48/SUM($I48:$L48)-X6+X12))</f>
        <v>-11</v>
      </c>
      <c r="L59" s="77">
        <f>INT(IF($F$24=1,IF(MOD(($J52+SUM($V6:$Y6)-SUM($V12:$Y12))*L48/SUM($I48:$L48)-Y6+Y12-9,20)&gt;11,(($J52+SUM($V6:$Y6)-SUM($V12:$Y12))*L48/SUM($I48:$L48)-Y6+Y12),(($J52+SUM($V6:$Y6)-SUM($V12:$Y12))*L48/SUM($I48:$L48)-Y6+Y12)-MOD(($J52+SUM($V6:$Y6)-SUM($V12:$Y12))*L48/SUM($I48:$L48)-Y6+Y12-9,20)),($J52+SUM($V6:$Y6)-SUM($V12:$Y12))*L48/SUM($I48:$L48)-Y6+Y12))</f>
        <v>-11</v>
      </c>
      <c r="M59" s="85"/>
      <c r="N59" s="74"/>
      <c r="O59" s="74"/>
      <c r="P59" s="74"/>
      <c r="Q59" s="74"/>
      <c r="R59" s="74"/>
      <c r="S59" s="74"/>
      <c r="T59" s="120"/>
      <c r="U59" s="269" t="s">
        <v>728</v>
      </c>
      <c r="V59" s="269" t="s">
        <v>513</v>
      </c>
      <c r="W59" s="269" t="s">
        <v>514</v>
      </c>
      <c r="X59" s="269" t="s">
        <v>515</v>
      </c>
      <c r="Y59" s="269" t="s">
        <v>516</v>
      </c>
      <c r="Z59" s="269" t="s">
        <v>569</v>
      </c>
      <c r="AA59" s="269" t="s">
        <v>744</v>
      </c>
      <c r="AB59" s="339" t="s">
        <v>513</v>
      </c>
      <c r="AC59" s="339" t="s">
        <v>514</v>
      </c>
      <c r="AD59" s="339" t="s">
        <v>515</v>
      </c>
      <c r="AE59" s="339" t="s">
        <v>516</v>
      </c>
      <c r="AF59" s="339" t="s">
        <v>563</v>
      </c>
      <c r="AG59" s="74"/>
      <c r="AH59" s="73"/>
      <c r="AI59" s="68" t="s">
        <v>37</v>
      </c>
      <c r="AJ59" s="68" t="s">
        <v>35</v>
      </c>
      <c r="AK59" s="69"/>
      <c r="AL59" s="69"/>
      <c r="AM59" s="69"/>
      <c r="AN59" s="68" t="s">
        <v>465</v>
      </c>
      <c r="AO59" s="69"/>
      <c r="AP59" s="69"/>
      <c r="AQ59" s="69"/>
      <c r="AR59" s="68" t="s">
        <v>466</v>
      </c>
      <c r="AS59" s="69"/>
      <c r="AT59" s="69"/>
      <c r="AU59" s="69"/>
      <c r="AV59" s="68" t="s">
        <v>468</v>
      </c>
      <c r="AW59" s="69"/>
      <c r="AX59" s="69"/>
      <c r="AY59" s="69"/>
      <c r="AZ59" s="193"/>
      <c r="BA59" s="195">
        <f t="shared" si="79"/>
        <v>0</v>
      </c>
      <c r="BB59" s="205">
        <f>IF(BT10=1,AL112/(第4期!AP112/2+AP112),0)</f>
        <v>0</v>
      </c>
      <c r="BC59" s="203"/>
      <c r="BD59" s="194">
        <f t="shared" si="80"/>
        <v>0</v>
      </c>
      <c r="BE59" s="209" t="e">
        <f t="shared" si="81"/>
        <v>#DIV/0!</v>
      </c>
      <c r="BF59" s="209" t="e">
        <f t="shared" si="81"/>
        <v>#DIV/0!</v>
      </c>
      <c r="BG59" s="209" t="e">
        <f t="shared" si="81"/>
        <v>#DIV/0!</v>
      </c>
      <c r="BH59" s="209" t="e">
        <f t="shared" si="82"/>
        <v>#DIV/0!</v>
      </c>
      <c r="BI59" s="203"/>
      <c r="BJ59" s="203"/>
      <c r="BK59" s="203"/>
      <c r="BL59" s="203"/>
      <c r="BM59" s="203"/>
      <c r="BN59" s="203"/>
      <c r="BO59" s="203"/>
      <c r="BP59" s="203"/>
      <c r="BQ59" s="203"/>
      <c r="BR59" s="211"/>
      <c r="BS59" s="211"/>
      <c r="BT59" s="211"/>
      <c r="BU59" s="211"/>
      <c r="BV59" s="211"/>
      <c r="BW59" s="211"/>
      <c r="BX59" s="211"/>
      <c r="BY59" s="211"/>
      <c r="BZ59" s="211"/>
      <c r="CA59" s="211"/>
      <c r="CB59" s="211"/>
      <c r="CC59" s="211"/>
      <c r="CD59" s="211"/>
      <c r="CE59" s="211"/>
      <c r="CF59" s="211"/>
      <c r="CG59" s="211"/>
      <c r="CH59" s="211"/>
      <c r="CI59" s="211"/>
      <c r="CJ59" s="62"/>
    </row>
    <row r="60" s="61" customFormat="1" ht="16" customHeight="1" spans="1:88">
      <c r="A60" s="269" t="s">
        <v>389</v>
      </c>
      <c r="B60" s="270"/>
      <c r="C60" s="77" t="e">
        <f>C59*0.1</f>
        <v>#DIV/0!</v>
      </c>
      <c r="D60" s="79"/>
      <c r="E60" s="79" t="e">
        <f>E58-C60</f>
        <v>#DIV/0!</v>
      </c>
      <c r="F60" s="79" t="e">
        <f t="shared" si="78"/>
        <v>#DIV/0!</v>
      </c>
      <c r="G60" s="73"/>
      <c r="H60" s="269" t="s">
        <v>523</v>
      </c>
      <c r="I60" s="77">
        <f>INT(IF($F$24=1,IF(MOD(($K52+SUM($V7:$Y7)-SUM($V13:$Y13))*I49/SUM($I49:$L49)-V7+V13-9,20)&gt;11,(($K52+SUM($V7:$Y7)-SUM($V13:$Y13))*I49/SUM($I49:$L49)-V7+V13),(($K52+SUM($V7:$Y7)-SUM($V13:$Y13))*I49/SUM($I49:$L49)-V7+V13)-MOD(($K52+SUM($V7:$Y7)-SUM($V13:$Y13))*I49/SUM($I49:$L49)-V7+V13-9,20)),($K52+SUM($V7:$Y7)-SUM($V13:$Y13))*I49/SUM($I49:$L49)-V7+V13))</f>
        <v>-11</v>
      </c>
      <c r="J60" s="77">
        <f>INT(IF($F$24=1,IF(MOD(($K52+SUM($V7:$Y7)-SUM($V13:$Y13))*J49/SUM($I49:$L49)-W7+W13-9,20)&gt;11,(($K52+SUM($V7:$Y7)-SUM($V13:$Y13))*J49/SUM($I49:$L49)-W7+W13),(($K52+SUM($V7:$Y7)-SUM($V13:$Y13))*J49/SUM($I49:$L49)-W7+W13)-MOD(($K52+SUM($V7:$Y7)-SUM($V13:$Y13))*J49/SUM($I49:$L49)-W7+W13-9,20)),($K52+SUM($V7:$Y7)-SUM($V13:$Y13))*J49/SUM($I49:$L49)-W7+W13))</f>
        <v>-11</v>
      </c>
      <c r="K60" s="77">
        <f>INT(IF($F$24=1,IF(MOD(($K52+SUM($V7:$Y7)-SUM($V13:$Y13))*K49/SUM($I49:$L49)-X7+X13-9,20)&gt;11,(($K52+SUM($V7:$Y7)-SUM($V13:$Y13))*K49/SUM($I49:$L49)-X7+X13),(($K52+SUM($V7:$Y7)-SUM($V13:$Y13))*K49/SUM($I49:$L49)-X7+X13)-MOD(($K52+SUM($V7:$Y7)-SUM($V13:$Y13))*K49/SUM($I49:$L49)-X7+X13-9,20)),($K52+SUM($V7:$Y7)-SUM($V13:$Y13))*K49/SUM($I49:$L49)-X7+X13))</f>
        <v>-11</v>
      </c>
      <c r="L60" s="77">
        <f>INT(IF($F$24=1,IF(MOD(($K52+SUM($V7:$Y7)-SUM($V13:$Y13))*L49/SUM($I49:$L49)-Y7+Y13-9,20)&gt;11,(($K52+SUM($V7:$Y7)-SUM($V13:$Y13))*L49/SUM($I49:$L49)-Y7+Y13),(($K52+SUM($V7:$Y7)-SUM($V13:$Y13))*L49/SUM($I49:$L49)-Y7+Y13)-MOD(($K52+SUM($V7:$Y7)-SUM($V13:$Y13))*L49/SUM($I49:$L49)-Y7+Y13-9,20)),($K52+SUM($V7:$Y7)-SUM($V13:$Y13))*L49/SUM($I49:$L49)-Y7+Y13))</f>
        <v>-11</v>
      </c>
      <c r="M60" s="85"/>
      <c r="N60" s="74"/>
      <c r="O60" s="74"/>
      <c r="P60" s="74"/>
      <c r="Q60" s="74"/>
      <c r="R60" s="74"/>
      <c r="S60" s="74"/>
      <c r="T60" s="120"/>
      <c r="U60" s="269" t="s">
        <v>521</v>
      </c>
      <c r="V60" s="150">
        <f>V30-第4期!V30</f>
        <v>0</v>
      </c>
      <c r="W60" s="150">
        <f>W30-第4期!W30</f>
        <v>0</v>
      </c>
      <c r="X60" s="150">
        <f>X30-第4期!X30</f>
        <v>0</v>
      </c>
      <c r="Y60" s="150">
        <f>Y30-第4期!Y30</f>
        <v>0</v>
      </c>
      <c r="Z60" s="150">
        <f>SUM(V60:Y60)/4</f>
        <v>0</v>
      </c>
      <c r="AA60" s="269" t="s">
        <v>521</v>
      </c>
      <c r="AB60" s="150">
        <f>第4期!BB28</f>
        <v>0</v>
      </c>
      <c r="AC60" s="150">
        <f>第4期!BC28</f>
        <v>0</v>
      </c>
      <c r="AD60" s="150">
        <f>第4期!BD28</f>
        <v>0</v>
      </c>
      <c r="AE60" s="150">
        <f>第4期!BE28</f>
        <v>0</v>
      </c>
      <c r="AF60" s="150">
        <f>SUM(AB60:AE60)</f>
        <v>0</v>
      </c>
      <c r="AG60" s="74"/>
      <c r="AH60" s="73"/>
      <c r="AI60" s="69"/>
      <c r="AJ60" s="68" t="s">
        <v>320</v>
      </c>
      <c r="AK60" s="68" t="s">
        <v>321</v>
      </c>
      <c r="AL60" s="68" t="s">
        <v>322</v>
      </c>
      <c r="AM60" s="68" t="s">
        <v>319</v>
      </c>
      <c r="AN60" s="68" t="s">
        <v>320</v>
      </c>
      <c r="AO60" s="68" t="s">
        <v>321</v>
      </c>
      <c r="AP60" s="68" t="s">
        <v>322</v>
      </c>
      <c r="AQ60" s="68" t="s">
        <v>319</v>
      </c>
      <c r="AR60" s="68" t="s">
        <v>320</v>
      </c>
      <c r="AS60" s="68" t="s">
        <v>321</v>
      </c>
      <c r="AT60" s="68" t="s">
        <v>322</v>
      </c>
      <c r="AU60" s="68" t="s">
        <v>319</v>
      </c>
      <c r="AV60" s="68" t="s">
        <v>320</v>
      </c>
      <c r="AW60" s="68" t="s">
        <v>321</v>
      </c>
      <c r="AX60" s="68" t="s">
        <v>322</v>
      </c>
      <c r="AY60" s="68" t="s">
        <v>41</v>
      </c>
      <c r="AZ60" s="193"/>
      <c r="BA60" s="195">
        <f t="shared" si="79"/>
        <v>0</v>
      </c>
      <c r="BB60" s="205">
        <f>IF(BT11=1,AL113/(第4期!AP113/2+AP113),0)</f>
        <v>0</v>
      </c>
      <c r="BC60" s="203"/>
      <c r="BD60" s="194">
        <f t="shared" si="80"/>
        <v>0</v>
      </c>
      <c r="BE60" s="209" t="e">
        <f t="shared" si="81"/>
        <v>#DIV/0!</v>
      </c>
      <c r="BF60" s="209" t="e">
        <f t="shared" si="81"/>
        <v>#DIV/0!</v>
      </c>
      <c r="BG60" s="209" t="e">
        <f t="shared" si="81"/>
        <v>#DIV/0!</v>
      </c>
      <c r="BH60" s="209" t="e">
        <f t="shared" si="82"/>
        <v>#DIV/0!</v>
      </c>
      <c r="BI60" s="203"/>
      <c r="BJ60" s="203"/>
      <c r="BK60" s="203"/>
      <c r="BL60" s="203"/>
      <c r="BM60" s="203"/>
      <c r="BN60" s="203"/>
      <c r="BO60" s="203"/>
      <c r="BP60" s="203"/>
      <c r="BQ60" s="203"/>
      <c r="BR60" s="211"/>
      <c r="BS60" s="211"/>
      <c r="BT60" s="211"/>
      <c r="BU60" s="211"/>
      <c r="BV60" s="211"/>
      <c r="BW60" s="211"/>
      <c r="BX60" s="211"/>
      <c r="BY60" s="211"/>
      <c r="BZ60" s="211"/>
      <c r="CA60" s="211"/>
      <c r="CB60" s="211"/>
      <c r="CC60" s="211"/>
      <c r="CD60" s="211"/>
      <c r="CE60" s="211"/>
      <c r="CF60" s="211"/>
      <c r="CG60" s="211"/>
      <c r="CH60" s="211"/>
      <c r="CI60" s="211"/>
      <c r="CJ60" s="62"/>
    </row>
    <row r="61" s="61" customFormat="1" ht="16" customHeight="1" spans="1:88">
      <c r="A61" s="269" t="s">
        <v>684</v>
      </c>
      <c r="B61" s="270"/>
      <c r="C61" s="77" t="e">
        <f>-IF(F77*初始化表!B25&gt;-第4期!F80,F77*初始化表!B25+第4期!F80,0)</f>
        <v>#DIV/0!</v>
      </c>
      <c r="D61" s="79"/>
      <c r="E61" s="79"/>
      <c r="F61" s="79" t="e">
        <f t="shared" si="78"/>
        <v>#DIV/0!</v>
      </c>
      <c r="G61" s="73"/>
      <c r="H61" s="269" t="s">
        <v>524</v>
      </c>
      <c r="I61" s="77">
        <f>INT(IF($F$24=1,IF(MOD(($L52+SUM($V8:$Y8)-SUM($V14:$Y14))*I50/SUM($I50:$L50)-V8+V14-9,20)&gt;11,(($L52+SUM($V8:$Y8)-SUM($V14:$Y14))*I50/SUM($I50:$L50)-V8+V14),(($L52+SUM($V8:$Y8)-SUM($V14:$Y14))*I50/SUM($I50:$L50)-V8+V14)-MOD(($L52+SUM($V8:$Y8)-SUM($V14:$Y14))*I50/SUM($I50:$L50)-V8+V14-9,20)),($L52+SUM($V8:$Y8)-SUM($V14:$Y14))*I50/SUM($I50:$L50)-V8+V14))</f>
        <v>-11</v>
      </c>
      <c r="J61" s="77">
        <f>INT(IF($F$24=1,IF(MOD(($L52+SUM($V8:$Y8)-SUM($V14:$Y14))*J50/SUM($I50:$L50)-W8+W14-9,20)&gt;11,(($L52+SUM($V8:$Y8)-SUM($V14:$Y14))*J50/SUM($I50:$L50)-W8+W14),(($L52+SUM($V8:$Y8)-SUM($V14:$Y14))*J50/SUM($I50:$L50)-W8+W14)-MOD(($L52+SUM($V8:$Y8)-SUM($V14:$Y14))*J50/SUM($I50:$L50)-W8+W14-9,20)),($L52+SUM($V8:$Y8)-SUM($V14:$Y14))*J50/SUM($I50:$L50)-W8+W14))</f>
        <v>-11</v>
      </c>
      <c r="K61" s="77">
        <f>INT(IF($F$24=1,IF(MOD(($L52+SUM($V8:$Y8)-SUM($V14:$Y14))*K50/SUM($I50:$L50)-X8+X14-9,20)&gt;11,(($L52+SUM($V8:$Y8)-SUM($V14:$Y14))*K50/SUM($I50:$L50)-X8+X14),(($L52+SUM($V8:$Y8)-SUM($V14:$Y14))*K50/SUM($I50:$L50)-X8+X14)-MOD(($L52+SUM($V8:$Y8)-SUM($V14:$Y14))*K50/SUM($I50:$L50)-X8+X14-9,20)),($L52+SUM($V8:$Y8)-SUM($V14:$Y14))*K50/SUM($I50:$L50)-X8+X14))</f>
        <v>-11</v>
      </c>
      <c r="L61" s="77">
        <f>INT(IF($F$24=1,IF(MOD(($L52+SUM($V8:$Y8)-SUM($V14:$Y14))*L50/SUM($I50:$L50)-Y8+Y14-9,20)&gt;11,(($L52+SUM($V8:$Y8)-SUM($V14:$Y14))*L50/SUM($I50:$L50)-Y8+Y14),(($L52+SUM($V8:$Y8)-SUM($V14:$Y14))*L50/SUM($I50:$L50)-Y8+Y14)-MOD(($L52+SUM($V8:$Y8)-SUM($V14:$Y14))*L50/SUM($I50:$L50)-Y8+Y14-9,20)),($L52+SUM($V8:$Y8)-SUM($V14:$Y14))*L50/SUM($I50:$L50)-Y8+Y14))</f>
        <v>-11</v>
      </c>
      <c r="M61" s="85"/>
      <c r="N61" s="249"/>
      <c r="O61" s="249"/>
      <c r="P61" s="249"/>
      <c r="Q61" s="249"/>
      <c r="R61" s="249"/>
      <c r="S61" s="74"/>
      <c r="T61" s="120"/>
      <c r="U61" s="269" t="s">
        <v>522</v>
      </c>
      <c r="V61" s="150">
        <f>V31-第4期!V31</f>
        <v>0</v>
      </c>
      <c r="W61" s="150">
        <f>W31-第4期!W31</f>
        <v>0</v>
      </c>
      <c r="X61" s="150">
        <f>X31-第4期!X31</f>
        <v>0</v>
      </c>
      <c r="Y61" s="150">
        <f>Y31-第4期!Y31</f>
        <v>0</v>
      </c>
      <c r="Z61" s="150">
        <f t="shared" ref="Z61:Z63" si="84">SUM(V61:Y61)/4</f>
        <v>0</v>
      </c>
      <c r="AA61" s="269" t="s">
        <v>522</v>
      </c>
      <c r="AB61" s="150">
        <f>第4期!BF28</f>
        <v>0</v>
      </c>
      <c r="AC61" s="150">
        <f>第4期!BG28</f>
        <v>0</v>
      </c>
      <c r="AD61" s="150">
        <f>第4期!BH28</f>
        <v>0</v>
      </c>
      <c r="AE61" s="150">
        <f>第4期!BI28</f>
        <v>0</v>
      </c>
      <c r="AF61" s="150">
        <f t="shared" ref="AF61:AF63" si="85">SUM(AB61:AE61)</f>
        <v>0</v>
      </c>
      <c r="AG61" s="74"/>
      <c r="AH61" s="73"/>
      <c r="AI61" s="367"/>
      <c r="AJ61" s="362"/>
      <c r="AK61" s="362"/>
      <c r="AL61" s="362"/>
      <c r="AM61" s="362"/>
      <c r="AN61" s="362"/>
      <c r="AO61" s="362"/>
      <c r="AP61" s="362"/>
      <c r="AQ61" s="362"/>
      <c r="AR61" s="362"/>
      <c r="AS61" s="362"/>
      <c r="AT61" s="362"/>
      <c r="AU61" s="362"/>
      <c r="AV61" s="362"/>
      <c r="AW61" s="362"/>
      <c r="AX61" s="362"/>
      <c r="AY61" s="362"/>
      <c r="AZ61" s="193"/>
      <c r="BA61" s="195">
        <f t="shared" si="79"/>
        <v>0</v>
      </c>
      <c r="BB61" s="205">
        <f>IF(BT12=1,AL114/(第4期!AP114/2+AP114),0)</f>
        <v>0</v>
      </c>
      <c r="BC61" s="203"/>
      <c r="BD61" s="194">
        <f t="shared" si="80"/>
        <v>0</v>
      </c>
      <c r="BE61" s="209" t="e">
        <f t="shared" si="81"/>
        <v>#DIV/0!</v>
      </c>
      <c r="BF61" s="209" t="e">
        <f t="shared" si="81"/>
        <v>#DIV/0!</v>
      </c>
      <c r="BG61" s="209" t="e">
        <f t="shared" si="81"/>
        <v>#DIV/0!</v>
      </c>
      <c r="BH61" s="209" t="e">
        <f t="shared" si="81"/>
        <v>#DIV/0!</v>
      </c>
      <c r="BI61" s="203"/>
      <c r="BJ61" s="203"/>
      <c r="BK61" s="203"/>
      <c r="BL61" s="203"/>
      <c r="BM61" s="203"/>
      <c r="BN61" s="203"/>
      <c r="BO61" s="203"/>
      <c r="BP61" s="203"/>
      <c r="BQ61" s="203"/>
      <c r="BR61" s="211"/>
      <c r="BS61" s="211"/>
      <c r="BT61" s="211"/>
      <c r="BU61" s="211"/>
      <c r="BV61" s="211"/>
      <c r="BW61" s="211"/>
      <c r="BX61" s="211"/>
      <c r="BY61" s="211"/>
      <c r="BZ61" s="211"/>
      <c r="CA61" s="211"/>
      <c r="CB61" s="211"/>
      <c r="CC61" s="211"/>
      <c r="CD61" s="211"/>
      <c r="CE61" s="211"/>
      <c r="CF61" s="211"/>
      <c r="CG61" s="211"/>
      <c r="CH61" s="211"/>
      <c r="CI61" s="211"/>
      <c r="CJ61" s="62"/>
    </row>
    <row r="62" s="61" customFormat="1" ht="16" customHeight="1" spans="1:88">
      <c r="A62" s="269" t="s">
        <v>306</v>
      </c>
      <c r="B62" s="270"/>
      <c r="C62" s="77">
        <f>-D22*初始化表!B8</f>
        <v>0</v>
      </c>
      <c r="D62" s="79"/>
      <c r="E62" s="79"/>
      <c r="F62" s="79" t="e">
        <f t="shared" si="78"/>
        <v>#DIV/0!</v>
      </c>
      <c r="G62" s="73"/>
      <c r="H62" s="269" t="s">
        <v>685</v>
      </c>
      <c r="I62" s="269" t="s">
        <v>513</v>
      </c>
      <c r="J62" s="269" t="s">
        <v>514</v>
      </c>
      <c r="K62" s="269" t="s">
        <v>515</v>
      </c>
      <c r="L62" s="269" t="s">
        <v>516</v>
      </c>
      <c r="M62" s="85"/>
      <c r="N62" s="117" t="s">
        <v>745</v>
      </c>
      <c r="O62" s="117" t="s">
        <v>38</v>
      </c>
      <c r="P62" s="117" t="s">
        <v>39</v>
      </c>
      <c r="Q62" s="117" t="s">
        <v>40</v>
      </c>
      <c r="R62" s="117" t="s">
        <v>41</v>
      </c>
      <c r="S62" s="74"/>
      <c r="T62" s="120"/>
      <c r="U62" s="269" t="s">
        <v>523</v>
      </c>
      <c r="V62" s="150">
        <f>V32-第4期!V32</f>
        <v>0</v>
      </c>
      <c r="W62" s="150">
        <f>W32-第4期!W32</f>
        <v>0</v>
      </c>
      <c r="X62" s="150">
        <f>X32-第4期!X32</f>
        <v>0</v>
      </c>
      <c r="Y62" s="150">
        <f>Y32-第4期!Y32</f>
        <v>0</v>
      </c>
      <c r="Z62" s="150">
        <f t="shared" si="84"/>
        <v>0</v>
      </c>
      <c r="AA62" s="269" t="s">
        <v>523</v>
      </c>
      <c r="AB62" s="150">
        <f>第4期!BJ28</f>
        <v>0</v>
      </c>
      <c r="AC62" s="150">
        <f>第4期!BK28</f>
        <v>0</v>
      </c>
      <c r="AD62" s="150">
        <f>第4期!BL28</f>
        <v>0</v>
      </c>
      <c r="AE62" s="150">
        <f>第4期!BM28</f>
        <v>0</v>
      </c>
      <c r="AF62" s="150">
        <f t="shared" si="85"/>
        <v>0</v>
      </c>
      <c r="AG62" s="74"/>
      <c r="AH62" s="73"/>
      <c r="AI62" s="367"/>
      <c r="AJ62" s="362"/>
      <c r="AK62" s="362"/>
      <c r="AL62" s="362"/>
      <c r="AM62" s="362"/>
      <c r="AN62" s="362"/>
      <c r="AO62" s="362"/>
      <c r="AP62" s="362"/>
      <c r="AQ62" s="362"/>
      <c r="AR62" s="362"/>
      <c r="AS62" s="362"/>
      <c r="AT62" s="362"/>
      <c r="AU62" s="362"/>
      <c r="AV62" s="362"/>
      <c r="AW62" s="362"/>
      <c r="AX62" s="362"/>
      <c r="AY62" s="362"/>
      <c r="AZ62" s="193"/>
      <c r="BA62" s="195">
        <f t="shared" si="79"/>
        <v>0</v>
      </c>
      <c r="BB62" s="205">
        <f>IF(BT13=1,AL115/(第4期!AP115/2+AP115),0)</f>
        <v>0</v>
      </c>
      <c r="BC62" s="203"/>
      <c r="BD62" s="194">
        <f t="shared" si="80"/>
        <v>0</v>
      </c>
      <c r="BE62" s="209" t="e">
        <f t="shared" si="81"/>
        <v>#DIV/0!</v>
      </c>
      <c r="BF62" s="209" t="e">
        <f t="shared" si="81"/>
        <v>#DIV/0!</v>
      </c>
      <c r="BG62" s="209" t="e">
        <f t="shared" si="81"/>
        <v>#DIV/0!</v>
      </c>
      <c r="BH62" s="209" t="e">
        <f t="shared" si="81"/>
        <v>#DIV/0!</v>
      </c>
      <c r="BI62" s="203"/>
      <c r="BJ62" s="203"/>
      <c r="BK62" s="203"/>
      <c r="BL62" s="203"/>
      <c r="BM62" s="203"/>
      <c r="BN62" s="203"/>
      <c r="BO62" s="203"/>
      <c r="BP62" s="203"/>
      <c r="BQ62" s="203"/>
      <c r="BR62" s="211"/>
      <c r="BS62" s="211"/>
      <c r="BT62" s="211"/>
      <c r="BU62" s="211"/>
      <c r="BV62" s="211"/>
      <c r="BW62" s="211"/>
      <c r="BX62" s="211"/>
      <c r="BY62" s="211"/>
      <c r="BZ62" s="211"/>
      <c r="CA62" s="211"/>
      <c r="CB62" s="211"/>
      <c r="CC62" s="211"/>
      <c r="CD62" s="211"/>
      <c r="CE62" s="211"/>
      <c r="CF62" s="211"/>
      <c r="CG62" s="211"/>
      <c r="CH62" s="211"/>
      <c r="CI62" s="211"/>
      <c r="CJ62" s="62"/>
    </row>
    <row r="63" s="61" customFormat="1" ht="16" customHeight="1" spans="1:88">
      <c r="A63" s="269" t="s">
        <v>686</v>
      </c>
      <c r="B63" s="270"/>
      <c r="C63" s="77" t="e">
        <f>IF(R37&gt;P37,-P37,-R37)</f>
        <v>#DIV/0!</v>
      </c>
      <c r="D63" s="79"/>
      <c r="E63" s="79"/>
      <c r="F63" s="79" t="e">
        <f t="shared" si="78"/>
        <v>#DIV/0!</v>
      </c>
      <c r="G63" s="73"/>
      <c r="H63" s="269" t="s">
        <v>521</v>
      </c>
      <c r="I63" s="97"/>
      <c r="J63" s="97"/>
      <c r="K63" s="97"/>
      <c r="L63" s="97">
        <v>0</v>
      </c>
      <c r="M63" s="85"/>
      <c r="N63" s="117" t="s">
        <v>198</v>
      </c>
      <c r="O63" s="118">
        <f>O68-第4期!O68</f>
        <v>1</v>
      </c>
      <c r="P63" s="118">
        <f>P68-第4期!P68</f>
        <v>1</v>
      </c>
      <c r="Q63" s="118">
        <f>Q68-第4期!Q68</f>
        <v>1</v>
      </c>
      <c r="R63" s="118">
        <f>R68-第4期!R68</f>
        <v>1</v>
      </c>
      <c r="S63" s="74"/>
      <c r="T63" s="120"/>
      <c r="U63" s="269" t="s">
        <v>524</v>
      </c>
      <c r="V63" s="150">
        <f>V33-第4期!V33</f>
        <v>0</v>
      </c>
      <c r="W63" s="150">
        <f>W33-第4期!W33</f>
        <v>0</v>
      </c>
      <c r="X63" s="150">
        <f>X33-第4期!X33</f>
        <v>0</v>
      </c>
      <c r="Y63" s="150">
        <f>Y33-第4期!Y33</f>
        <v>0</v>
      </c>
      <c r="Z63" s="150">
        <f t="shared" si="84"/>
        <v>0</v>
      </c>
      <c r="AA63" s="269" t="s">
        <v>524</v>
      </c>
      <c r="AB63" s="150">
        <f>第4期!BN28</f>
        <v>0</v>
      </c>
      <c r="AC63" s="150">
        <f>第4期!BO28</f>
        <v>0</v>
      </c>
      <c r="AD63" s="150">
        <f>第4期!BP28</f>
        <v>0</v>
      </c>
      <c r="AE63" s="150">
        <f>第4期!BQ28</f>
        <v>0</v>
      </c>
      <c r="AF63" s="150">
        <f t="shared" si="85"/>
        <v>0</v>
      </c>
      <c r="AG63" s="74"/>
      <c r="AH63" s="73"/>
      <c r="AI63" s="367"/>
      <c r="AJ63" s="362"/>
      <c r="AK63" s="362"/>
      <c r="AL63" s="362"/>
      <c r="AM63" s="362"/>
      <c r="AN63" s="362"/>
      <c r="AO63" s="362"/>
      <c r="AP63" s="362"/>
      <c r="AQ63" s="362"/>
      <c r="AR63" s="362"/>
      <c r="AS63" s="362"/>
      <c r="AT63" s="362"/>
      <c r="AU63" s="362"/>
      <c r="AV63" s="362"/>
      <c r="AW63" s="362"/>
      <c r="AX63" s="362"/>
      <c r="AY63" s="362"/>
      <c r="AZ63" s="193"/>
      <c r="BA63" s="195">
        <f t="shared" si="79"/>
        <v>0</v>
      </c>
      <c r="BB63" s="205">
        <f>IF(BT14=1,AL116/(第4期!AP116/2+AP116),0)</f>
        <v>0</v>
      </c>
      <c r="BC63" s="203"/>
      <c r="BD63" s="194">
        <f t="shared" si="80"/>
        <v>0</v>
      </c>
      <c r="BE63" s="209" t="e">
        <f t="shared" si="81"/>
        <v>#DIV/0!</v>
      </c>
      <c r="BF63" s="209" t="e">
        <f t="shared" si="81"/>
        <v>#DIV/0!</v>
      </c>
      <c r="BG63" s="209" t="e">
        <f t="shared" si="81"/>
        <v>#DIV/0!</v>
      </c>
      <c r="BH63" s="209" t="e">
        <f t="shared" si="81"/>
        <v>#DIV/0!</v>
      </c>
      <c r="BI63" s="203"/>
      <c r="BJ63" s="203"/>
      <c r="BK63" s="203"/>
      <c r="BL63" s="203"/>
      <c r="BM63" s="203"/>
      <c r="BN63" s="203"/>
      <c r="BO63" s="203"/>
      <c r="BP63" s="203"/>
      <c r="BQ63" s="203"/>
      <c r="BR63" s="211"/>
      <c r="BS63" s="211"/>
      <c r="BT63" s="211"/>
      <c r="BU63" s="211"/>
      <c r="BV63" s="211"/>
      <c r="BW63" s="211"/>
      <c r="BX63" s="211"/>
      <c r="BY63" s="211"/>
      <c r="BZ63" s="211"/>
      <c r="CA63" s="211"/>
      <c r="CB63" s="211"/>
      <c r="CC63" s="211"/>
      <c r="CD63" s="211"/>
      <c r="CE63" s="211"/>
      <c r="CF63" s="211"/>
      <c r="CG63" s="211"/>
      <c r="CH63" s="211"/>
      <c r="CI63" s="211"/>
      <c r="CJ63" s="62"/>
    </row>
    <row r="64" s="61" customFormat="1" ht="16" customHeight="1" spans="1:88">
      <c r="A64" s="269" t="s">
        <v>392</v>
      </c>
      <c r="B64" s="270"/>
      <c r="C64" s="77">
        <f>-D24</f>
        <v>0</v>
      </c>
      <c r="D64" s="79"/>
      <c r="E64" s="79"/>
      <c r="F64" s="79" t="e">
        <f t="shared" si="78"/>
        <v>#DIV/0!</v>
      </c>
      <c r="G64" s="73"/>
      <c r="H64" s="269" t="s">
        <v>522</v>
      </c>
      <c r="I64" s="97"/>
      <c r="J64" s="97"/>
      <c r="K64" s="97"/>
      <c r="L64" s="97"/>
      <c r="M64" s="85"/>
      <c r="N64" s="117" t="s">
        <v>202</v>
      </c>
      <c r="O64" s="118">
        <f>O69-第4期!O69</f>
        <v>2</v>
      </c>
      <c r="P64" s="118">
        <f>P69-第4期!P69</f>
        <v>2</v>
      </c>
      <c r="Q64" s="118">
        <f>Q69-第4期!Q69</f>
        <v>2</v>
      </c>
      <c r="R64" s="118">
        <f>R69-第4期!R69</f>
        <v>2</v>
      </c>
      <c r="S64" s="74"/>
      <c r="T64" s="120"/>
      <c r="U64" s="74"/>
      <c r="V64" s="74"/>
      <c r="W64" s="74"/>
      <c r="X64" s="74"/>
      <c r="Y64" s="74"/>
      <c r="Z64" s="74"/>
      <c r="AA64" s="73"/>
      <c r="AB64" s="74"/>
      <c r="AC64" s="74"/>
      <c r="AD64" s="74"/>
      <c r="AE64" s="74"/>
      <c r="AF64" s="74"/>
      <c r="AG64" s="74"/>
      <c r="AH64" s="73"/>
      <c r="AI64" s="367"/>
      <c r="AJ64" s="362"/>
      <c r="AK64" s="362"/>
      <c r="AL64" s="362"/>
      <c r="AM64" s="362"/>
      <c r="AN64" s="362"/>
      <c r="AO64" s="362"/>
      <c r="AP64" s="362"/>
      <c r="AQ64" s="362"/>
      <c r="AR64" s="362"/>
      <c r="AS64" s="362"/>
      <c r="AT64" s="362"/>
      <c r="AU64" s="362"/>
      <c r="AV64" s="362"/>
      <c r="AW64" s="362"/>
      <c r="AX64" s="362"/>
      <c r="AY64" s="362"/>
      <c r="AZ64" s="193"/>
      <c r="BA64" s="195">
        <f t="shared" si="79"/>
        <v>0</v>
      </c>
      <c r="BB64" s="205">
        <f>IF(BT15=1,AL117/(第4期!AP117/2+AP117),0)</f>
        <v>0</v>
      </c>
      <c r="BC64" s="203"/>
      <c r="BD64" s="194">
        <f t="shared" si="80"/>
        <v>0</v>
      </c>
      <c r="BE64" s="209" t="e">
        <f t="shared" si="81"/>
        <v>#DIV/0!</v>
      </c>
      <c r="BF64" s="209" t="e">
        <f t="shared" si="81"/>
        <v>#DIV/0!</v>
      </c>
      <c r="BG64" s="209" t="e">
        <f t="shared" si="81"/>
        <v>#DIV/0!</v>
      </c>
      <c r="BH64" s="209" t="e">
        <f t="shared" si="81"/>
        <v>#DIV/0!</v>
      </c>
      <c r="BI64" s="203"/>
      <c r="BJ64" s="203"/>
      <c r="BK64" s="203"/>
      <c r="BL64" s="203"/>
      <c r="BM64" s="203"/>
      <c r="BN64" s="203"/>
      <c r="BO64" s="203"/>
      <c r="BP64" s="203"/>
      <c r="BQ64" s="203"/>
      <c r="BR64" s="211"/>
      <c r="BS64" s="211"/>
      <c r="BT64" s="211"/>
      <c r="BU64" s="211"/>
      <c r="BV64" s="211"/>
      <c r="BW64" s="211"/>
      <c r="BX64" s="211"/>
      <c r="BY64" s="211"/>
      <c r="BZ64" s="211"/>
      <c r="CA64" s="211"/>
      <c r="CB64" s="211"/>
      <c r="CC64" s="211"/>
      <c r="CD64" s="211"/>
      <c r="CE64" s="211"/>
      <c r="CF64" s="211"/>
      <c r="CG64" s="211"/>
      <c r="CH64" s="211"/>
      <c r="CI64" s="211"/>
      <c r="CJ64" s="62"/>
    </row>
    <row r="65" s="61" customFormat="1" ht="16" customHeight="1" spans="1:88">
      <c r="A65" s="90"/>
      <c r="B65" s="90"/>
      <c r="C65" s="90"/>
      <c r="D65" s="90"/>
      <c r="E65" s="90"/>
      <c r="F65" s="90"/>
      <c r="G65" s="73"/>
      <c r="H65" s="269" t="s">
        <v>523</v>
      </c>
      <c r="I65" s="97"/>
      <c r="J65" s="97"/>
      <c r="K65" s="97"/>
      <c r="L65" s="97"/>
      <c r="M65" s="85"/>
      <c r="N65" s="117" t="s">
        <v>206</v>
      </c>
      <c r="O65" s="118">
        <f>O70-第4期!O70</f>
        <v>1</v>
      </c>
      <c r="P65" s="118">
        <f>P70-第4期!P70</f>
        <v>1</v>
      </c>
      <c r="Q65" s="118">
        <f>Q70-第4期!Q70</f>
        <v>1</v>
      </c>
      <c r="R65" s="118">
        <f>R70-第4期!R70</f>
        <v>1</v>
      </c>
      <c r="S65" s="74"/>
      <c r="T65" s="120"/>
      <c r="U65" s="269" t="s">
        <v>746</v>
      </c>
      <c r="V65" s="269" t="s">
        <v>513</v>
      </c>
      <c r="W65" s="269" t="s">
        <v>514</v>
      </c>
      <c r="X65" s="269" t="s">
        <v>515</v>
      </c>
      <c r="Y65" s="269" t="s">
        <v>516</v>
      </c>
      <c r="Z65" s="74"/>
      <c r="AA65" s="73"/>
      <c r="AB65" s="74"/>
      <c r="AC65" s="74"/>
      <c r="AD65" s="74"/>
      <c r="AE65" s="74"/>
      <c r="AF65" s="74"/>
      <c r="AG65" s="74"/>
      <c r="AH65" s="73"/>
      <c r="AI65" s="367"/>
      <c r="AJ65" s="362"/>
      <c r="AK65" s="362"/>
      <c r="AL65" s="362"/>
      <c r="AM65" s="362"/>
      <c r="AN65" s="362"/>
      <c r="AO65" s="362"/>
      <c r="AP65" s="362"/>
      <c r="AQ65" s="362"/>
      <c r="AR65" s="362"/>
      <c r="AS65" s="362"/>
      <c r="AT65" s="362"/>
      <c r="AU65" s="362"/>
      <c r="AV65" s="362"/>
      <c r="AW65" s="362"/>
      <c r="AX65" s="362"/>
      <c r="AY65" s="362"/>
      <c r="AZ65" s="193"/>
      <c r="BA65" s="195">
        <f t="shared" si="79"/>
        <v>0</v>
      </c>
      <c r="BB65" s="205">
        <f>IF(BT16=1,AL118/(第4期!AP118/2+AP118),0)</f>
        <v>0</v>
      </c>
      <c r="BC65" s="203"/>
      <c r="BD65" s="194">
        <f t="shared" si="80"/>
        <v>0</v>
      </c>
      <c r="BE65" s="209" t="e">
        <f t="shared" si="81"/>
        <v>#DIV/0!</v>
      </c>
      <c r="BF65" s="209" t="e">
        <f t="shared" si="81"/>
        <v>#DIV/0!</v>
      </c>
      <c r="BG65" s="209" t="e">
        <f t="shared" si="81"/>
        <v>#DIV/0!</v>
      </c>
      <c r="BH65" s="209" t="e">
        <f t="shared" si="81"/>
        <v>#DIV/0!</v>
      </c>
      <c r="BI65" s="203"/>
      <c r="BJ65" s="203"/>
      <c r="BK65" s="203"/>
      <c r="BL65" s="203"/>
      <c r="BM65" s="203"/>
      <c r="BN65" s="203"/>
      <c r="BO65" s="203"/>
      <c r="BP65" s="203"/>
      <c r="BQ65" s="203"/>
      <c r="BR65" s="211"/>
      <c r="BS65" s="211"/>
      <c r="BT65" s="211"/>
      <c r="BU65" s="211"/>
      <c r="BV65" s="211"/>
      <c r="BW65" s="211"/>
      <c r="BX65" s="211"/>
      <c r="BY65" s="211"/>
      <c r="BZ65" s="211"/>
      <c r="CA65" s="211"/>
      <c r="CB65" s="211"/>
      <c r="CC65" s="211"/>
      <c r="CD65" s="211"/>
      <c r="CE65" s="211"/>
      <c r="CF65" s="211"/>
      <c r="CG65" s="211"/>
      <c r="CH65" s="211"/>
      <c r="CI65" s="211"/>
      <c r="CJ65" s="62"/>
    </row>
    <row r="66" s="61" customFormat="1" ht="16" customHeight="1" spans="1:88">
      <c r="A66" s="269" t="s">
        <v>423</v>
      </c>
      <c r="B66" s="270"/>
      <c r="C66" s="270"/>
      <c r="D66" s="327"/>
      <c r="E66" s="269" t="s">
        <v>448</v>
      </c>
      <c r="F66" s="270"/>
      <c r="G66" s="73"/>
      <c r="H66" s="269" t="s">
        <v>524</v>
      </c>
      <c r="I66" s="97"/>
      <c r="J66" s="97"/>
      <c r="K66" s="97"/>
      <c r="L66" s="97"/>
      <c r="M66" s="85"/>
      <c r="N66" s="117" t="s">
        <v>208</v>
      </c>
      <c r="O66" s="118">
        <f>O71-第4期!O71</f>
        <v>1</v>
      </c>
      <c r="P66" s="118">
        <f>P71-第4期!P71</f>
        <v>1</v>
      </c>
      <c r="Q66" s="118">
        <f>Q71-第4期!Q71</f>
        <v>1</v>
      </c>
      <c r="R66" s="118">
        <f>R71-第4期!R71</f>
        <v>1</v>
      </c>
      <c r="S66" s="74"/>
      <c r="T66" s="120"/>
      <c r="U66" s="269" t="s">
        <v>521</v>
      </c>
      <c r="V66" s="150">
        <f>ABS(IF(AB54=0,0,V60/AB54))</f>
        <v>0</v>
      </c>
      <c r="W66" s="150">
        <f t="shared" ref="W66:Y69" si="86">ABS(IF(AC54=0,0,W60/AC54))</f>
        <v>0</v>
      </c>
      <c r="X66" s="150">
        <f t="shared" si="86"/>
        <v>0</v>
      </c>
      <c r="Y66" s="150">
        <f t="shared" si="86"/>
        <v>0</v>
      </c>
      <c r="Z66" s="74"/>
      <c r="AA66" s="73"/>
      <c r="AB66" s="74"/>
      <c r="AC66" s="74"/>
      <c r="AD66" s="74"/>
      <c r="AE66" s="74"/>
      <c r="AF66" s="74"/>
      <c r="AG66" s="74"/>
      <c r="AH66" s="73"/>
      <c r="AI66" s="367"/>
      <c r="AJ66" s="362"/>
      <c r="AK66" s="362"/>
      <c r="AL66" s="362"/>
      <c r="AM66" s="362"/>
      <c r="AN66" s="362"/>
      <c r="AO66" s="362"/>
      <c r="AP66" s="362"/>
      <c r="AQ66" s="362"/>
      <c r="AR66" s="362"/>
      <c r="AS66" s="362"/>
      <c r="AT66" s="362"/>
      <c r="AU66" s="362"/>
      <c r="AV66" s="362"/>
      <c r="AW66" s="362"/>
      <c r="AX66" s="362"/>
      <c r="AY66" s="362"/>
      <c r="AZ66" s="193"/>
      <c r="BA66" s="195">
        <f t="shared" si="79"/>
        <v>0</v>
      </c>
      <c r="BB66" s="205">
        <f>IF(BT17=1,AL119/(第4期!AP119/2+AP119),0)</f>
        <v>0</v>
      </c>
      <c r="BC66" s="203"/>
      <c r="BD66" s="194">
        <f t="shared" si="80"/>
        <v>0</v>
      </c>
      <c r="BE66" s="209" t="e">
        <f t="shared" si="81"/>
        <v>#DIV/0!</v>
      </c>
      <c r="BF66" s="209" t="e">
        <f t="shared" si="81"/>
        <v>#DIV/0!</v>
      </c>
      <c r="BG66" s="209" t="e">
        <f t="shared" si="81"/>
        <v>#DIV/0!</v>
      </c>
      <c r="BH66" s="209" t="e">
        <f t="shared" si="81"/>
        <v>#DIV/0!</v>
      </c>
      <c r="BI66" s="203"/>
      <c r="BJ66" s="203"/>
      <c r="BK66" s="203"/>
      <c r="BL66" s="203"/>
      <c r="BM66" s="203"/>
      <c r="BN66" s="203"/>
      <c r="BO66" s="203"/>
      <c r="BP66" s="203"/>
      <c r="BQ66" s="203"/>
      <c r="BR66" s="211"/>
      <c r="BS66" s="211"/>
      <c r="BT66" s="211"/>
      <c r="BU66" s="211"/>
      <c r="BV66" s="211"/>
      <c r="BW66" s="211"/>
      <c r="BX66" s="211"/>
      <c r="BY66" s="211"/>
      <c r="BZ66" s="211"/>
      <c r="CA66" s="211"/>
      <c r="CB66" s="211"/>
      <c r="CC66" s="211"/>
      <c r="CD66" s="211"/>
      <c r="CE66" s="211"/>
      <c r="CF66" s="211"/>
      <c r="CG66" s="211"/>
      <c r="CH66" s="211"/>
      <c r="CI66" s="211"/>
      <c r="CJ66" s="62"/>
    </row>
    <row r="67" s="61" customFormat="1" ht="16" customHeight="1" spans="1:88">
      <c r="A67" s="269" t="s">
        <v>688</v>
      </c>
      <c r="B67" s="269" t="s">
        <v>689</v>
      </c>
      <c r="C67" s="269" t="s">
        <v>690</v>
      </c>
      <c r="D67" s="327"/>
      <c r="E67" s="328" t="s">
        <v>691</v>
      </c>
      <c r="F67" s="328" t="s">
        <v>692</v>
      </c>
      <c r="G67" s="73"/>
      <c r="H67" s="269" t="s">
        <v>687</v>
      </c>
      <c r="I67" s="270" t="str">
        <f>I62</f>
        <v>市场1</v>
      </c>
      <c r="J67" s="270" t="str">
        <f>J62</f>
        <v>市场2</v>
      </c>
      <c r="K67" s="270" t="str">
        <f>K62</f>
        <v>市场3</v>
      </c>
      <c r="L67" s="270" t="str">
        <f>L62</f>
        <v>市场4</v>
      </c>
      <c r="M67" s="410" t="s">
        <v>693</v>
      </c>
      <c r="N67" s="117" t="s">
        <v>729</v>
      </c>
      <c r="O67" s="117" t="s">
        <v>38</v>
      </c>
      <c r="P67" s="117" t="s">
        <v>39</v>
      </c>
      <c r="Q67" s="117" t="s">
        <v>40</v>
      </c>
      <c r="R67" s="117" t="s">
        <v>41</v>
      </c>
      <c r="S67" s="74"/>
      <c r="T67" s="120"/>
      <c r="U67" s="269" t="s">
        <v>522</v>
      </c>
      <c r="V67" s="150">
        <f t="shared" ref="V67:V69" si="87">ABS(IF(AB55=0,0,V61/AB55))</f>
        <v>0</v>
      </c>
      <c r="W67" s="150">
        <f t="shared" si="86"/>
        <v>0</v>
      </c>
      <c r="X67" s="150">
        <f t="shared" si="86"/>
        <v>0</v>
      </c>
      <c r="Y67" s="150">
        <f t="shared" si="86"/>
        <v>0</v>
      </c>
      <c r="Z67" s="74"/>
      <c r="AA67" s="73"/>
      <c r="AB67" s="74"/>
      <c r="AC67" s="74"/>
      <c r="AD67" s="74"/>
      <c r="AE67" s="74"/>
      <c r="AF67" s="74"/>
      <c r="AG67" s="74"/>
      <c r="AH67" s="73"/>
      <c r="AI67" s="367"/>
      <c r="AJ67" s="362"/>
      <c r="AK67" s="362"/>
      <c r="AL67" s="362"/>
      <c r="AM67" s="362"/>
      <c r="AN67" s="362"/>
      <c r="AO67" s="362"/>
      <c r="AP67" s="362"/>
      <c r="AQ67" s="362"/>
      <c r="AR67" s="362"/>
      <c r="AS67" s="362"/>
      <c r="AT67" s="362"/>
      <c r="AU67" s="362"/>
      <c r="AV67" s="362"/>
      <c r="AW67" s="362"/>
      <c r="AX67" s="362"/>
      <c r="AY67" s="362"/>
      <c r="AZ67" s="193"/>
      <c r="BA67" s="195">
        <f t="shared" si="79"/>
        <v>0</v>
      </c>
      <c r="BB67" s="205">
        <f>IF(BT18=1,AL120/(第4期!AP120/2+AP120),0)</f>
        <v>0</v>
      </c>
      <c r="BC67" s="203"/>
      <c r="BD67" s="194">
        <f t="shared" si="80"/>
        <v>0</v>
      </c>
      <c r="BE67" s="209" t="e">
        <f t="shared" si="81"/>
        <v>#DIV/0!</v>
      </c>
      <c r="BF67" s="209" t="e">
        <f t="shared" si="81"/>
        <v>#DIV/0!</v>
      </c>
      <c r="BG67" s="209" t="e">
        <f t="shared" si="81"/>
        <v>#DIV/0!</v>
      </c>
      <c r="BH67" s="209" t="e">
        <f t="shared" si="81"/>
        <v>#DIV/0!</v>
      </c>
      <c r="BI67" s="203"/>
      <c r="BJ67" s="203"/>
      <c r="BK67" s="203"/>
      <c r="BL67" s="203"/>
      <c r="BM67" s="203"/>
      <c r="BN67" s="203"/>
      <c r="BO67" s="203"/>
      <c r="BP67" s="203"/>
      <c r="BQ67" s="203"/>
      <c r="BR67" s="211"/>
      <c r="BS67" s="211"/>
      <c r="BT67" s="211"/>
      <c r="BU67" s="211"/>
      <c r="BV67" s="211"/>
      <c r="BW67" s="211"/>
      <c r="BX67" s="211"/>
      <c r="BY67" s="211"/>
      <c r="BZ67" s="211"/>
      <c r="CA67" s="211"/>
      <c r="CB67" s="211"/>
      <c r="CC67" s="211"/>
      <c r="CD67" s="211"/>
      <c r="CE67" s="211"/>
      <c r="CF67" s="211"/>
      <c r="CG67" s="211"/>
      <c r="CH67" s="211"/>
      <c r="CI67" s="211"/>
      <c r="CJ67" s="62"/>
    </row>
    <row r="68" s="61" customFormat="1" ht="16" customHeight="1" spans="1:88">
      <c r="A68" s="269" t="s">
        <v>694</v>
      </c>
      <c r="B68" s="77" t="e">
        <f>F64</f>
        <v>#DIV/0!</v>
      </c>
      <c r="C68" s="77" t="e">
        <f>B68</f>
        <v>#DIV/0!</v>
      </c>
      <c r="D68" s="327"/>
      <c r="E68" s="328" t="s">
        <v>345</v>
      </c>
      <c r="F68" s="235">
        <f>L17</f>
        <v>0</v>
      </c>
      <c r="G68" s="73"/>
      <c r="H68" s="270" t="str">
        <f>H63</f>
        <v>产品1</v>
      </c>
      <c r="I68" s="77">
        <f t="shared" ref="I68:L71" si="88">V84</f>
        <v>0</v>
      </c>
      <c r="J68" s="77">
        <f t="shared" si="88"/>
        <v>0</v>
      </c>
      <c r="K68" s="77">
        <f t="shared" si="88"/>
        <v>0</v>
      </c>
      <c r="L68" s="77">
        <f t="shared" si="88"/>
        <v>0</v>
      </c>
      <c r="M68" s="333">
        <f>SUM(I63:L63)</f>
        <v>0</v>
      </c>
      <c r="N68" s="117" t="s">
        <v>198</v>
      </c>
      <c r="O68" s="118">
        <f>IF(第4期!$AI$9=0,5,ABS((V23-第4期!V23)/((V17-第4期!V17)-IF(第4期!$J6&gt;0,10,0))))</f>
        <v>5</v>
      </c>
      <c r="P68" s="118">
        <f>IF(第4期!$AI$9=0,5,ABS((W23-第4期!W23)/((W17-第4期!W17)-IF(第4期!$J6&gt;0,10,0))))</f>
        <v>5</v>
      </c>
      <c r="Q68" s="118">
        <f>IF(第4期!$AI$9=0,4,ABS((X23-第4期!X23)/((X17-第4期!X17)-IF(第4期!$J6&gt;0,10,0))))</f>
        <v>4</v>
      </c>
      <c r="R68" s="118">
        <f>IF(第4期!$AI$9=0,4,ABS((Y23-第4期!Y23)/((Y17-第4期!Y17)-IF(第4期!$J6&gt;0,10,0))))</f>
        <v>4</v>
      </c>
      <c r="S68" s="74"/>
      <c r="T68" s="120"/>
      <c r="U68" s="269" t="s">
        <v>523</v>
      </c>
      <c r="V68" s="150">
        <f t="shared" si="87"/>
        <v>0</v>
      </c>
      <c r="W68" s="150">
        <f t="shared" si="86"/>
        <v>0</v>
      </c>
      <c r="X68" s="150">
        <f t="shared" si="86"/>
        <v>0</v>
      </c>
      <c r="Y68" s="150">
        <f t="shared" si="86"/>
        <v>0</v>
      </c>
      <c r="Z68" s="74"/>
      <c r="AA68" s="73"/>
      <c r="AB68" s="74"/>
      <c r="AC68" s="74"/>
      <c r="AD68" s="74"/>
      <c r="AE68" s="74"/>
      <c r="AF68" s="74"/>
      <c r="AG68" s="74"/>
      <c r="AH68" s="73"/>
      <c r="AI68" s="367"/>
      <c r="AJ68" s="362"/>
      <c r="AK68" s="362"/>
      <c r="AL68" s="362"/>
      <c r="AM68" s="362"/>
      <c r="AN68" s="362"/>
      <c r="AO68" s="362"/>
      <c r="AP68" s="362"/>
      <c r="AQ68" s="362"/>
      <c r="AR68" s="362"/>
      <c r="AS68" s="362"/>
      <c r="AT68" s="362"/>
      <c r="AU68" s="362"/>
      <c r="AV68" s="362"/>
      <c r="AW68" s="362"/>
      <c r="AX68" s="362"/>
      <c r="AY68" s="362"/>
      <c r="AZ68" s="193"/>
      <c r="BA68" s="195">
        <f t="shared" si="79"/>
        <v>0</v>
      </c>
      <c r="BB68" s="205">
        <f>IF(BT19=1,AL121/(第4期!AP121/2+AP121),0)</f>
        <v>0</v>
      </c>
      <c r="BC68" s="203"/>
      <c r="BD68" s="194">
        <f t="shared" si="80"/>
        <v>0</v>
      </c>
      <c r="BE68" s="209" t="e">
        <f t="shared" si="81"/>
        <v>#DIV/0!</v>
      </c>
      <c r="BF68" s="209" t="e">
        <f t="shared" si="81"/>
        <v>#DIV/0!</v>
      </c>
      <c r="BG68" s="209" t="e">
        <f t="shared" si="81"/>
        <v>#DIV/0!</v>
      </c>
      <c r="BH68" s="209" t="e">
        <f t="shared" si="81"/>
        <v>#DIV/0!</v>
      </c>
      <c r="BI68" s="203"/>
      <c r="BJ68" s="203"/>
      <c r="BK68" s="203"/>
      <c r="BL68" s="203"/>
      <c r="BM68" s="203"/>
      <c r="BN68" s="203"/>
      <c r="BO68" s="203"/>
      <c r="BP68" s="203"/>
      <c r="BQ68" s="203"/>
      <c r="BR68" s="211"/>
      <c r="BS68" s="211"/>
      <c r="BT68" s="211"/>
      <c r="BU68" s="211"/>
      <c r="BV68" s="211"/>
      <c r="BW68" s="211"/>
      <c r="BX68" s="211"/>
      <c r="BY68" s="211"/>
      <c r="BZ68" s="211"/>
      <c r="CA68" s="211"/>
      <c r="CB68" s="211"/>
      <c r="CC68" s="211"/>
      <c r="CD68" s="211"/>
      <c r="CE68" s="211"/>
      <c r="CF68" s="211"/>
      <c r="CG68" s="211"/>
      <c r="CH68" s="211"/>
      <c r="CI68" s="211"/>
      <c r="CJ68" s="62"/>
    </row>
    <row r="69" s="61" customFormat="1" ht="16" customHeight="1" spans="1:88">
      <c r="A69" s="269" t="s">
        <v>695</v>
      </c>
      <c r="B69" s="77">
        <f>D24</f>
        <v>0</v>
      </c>
      <c r="C69" s="77" t="e">
        <f t="shared" ref="C69:C76" si="89">C68+B69</f>
        <v>#DIV/0!</v>
      </c>
      <c r="D69" s="327"/>
      <c r="E69" s="328" t="s">
        <v>346</v>
      </c>
      <c r="F69" s="235" t="e">
        <f>O49</f>
        <v>#DIV/0!</v>
      </c>
      <c r="G69" s="73"/>
      <c r="H69" s="270" t="str">
        <f>H64</f>
        <v>产品2</v>
      </c>
      <c r="I69" s="77">
        <f t="shared" si="88"/>
        <v>0</v>
      </c>
      <c r="J69" s="77">
        <f t="shared" si="88"/>
        <v>0</v>
      </c>
      <c r="K69" s="77">
        <f t="shared" si="88"/>
        <v>0</v>
      </c>
      <c r="L69" s="77">
        <f t="shared" si="88"/>
        <v>0</v>
      </c>
      <c r="M69" s="333">
        <f>SUM(I64:L64)</f>
        <v>0</v>
      </c>
      <c r="N69" s="117" t="s">
        <v>202</v>
      </c>
      <c r="O69" s="118">
        <f>IF(第4期!$AI$9=0,7,ABS((V24-第4期!V24)/((V18-第4期!V18)-IF(第4期!$J7&gt;0,10,0))))</f>
        <v>7</v>
      </c>
      <c r="P69" s="118">
        <f>IF(第4期!$AI$9=0,7,ABS((W24-第4期!W24)/((W18-第4期!W18)-IF(第4期!$J7&gt;0,10,0))))</f>
        <v>7</v>
      </c>
      <c r="Q69" s="118">
        <f>IF(第4期!$AI$9=0,6,ABS((X24-第4期!X24)/((X18-第4期!X18)-IF(第4期!$J7&gt;0,10,0))))</f>
        <v>6</v>
      </c>
      <c r="R69" s="118">
        <f>IF(第4期!$AI$9=0,6,ABS((Y24-第4期!Y24)/((Y18-第4期!Y18)-IF(第4期!$J7&gt;0,10,0))))</f>
        <v>6</v>
      </c>
      <c r="S69" s="74"/>
      <c r="T69" s="120"/>
      <c r="U69" s="269" t="s">
        <v>524</v>
      </c>
      <c r="V69" s="150">
        <f t="shared" si="87"/>
        <v>0</v>
      </c>
      <c r="W69" s="150">
        <f t="shared" si="86"/>
        <v>0</v>
      </c>
      <c r="X69" s="150">
        <f t="shared" si="86"/>
        <v>0</v>
      </c>
      <c r="Y69" s="150">
        <f t="shared" si="86"/>
        <v>0</v>
      </c>
      <c r="Z69" s="74"/>
      <c r="AA69" s="73"/>
      <c r="AB69" s="74"/>
      <c r="AC69" s="74"/>
      <c r="AD69" s="74"/>
      <c r="AE69" s="74"/>
      <c r="AF69" s="74"/>
      <c r="AG69" s="74"/>
      <c r="AH69" s="73"/>
      <c r="AI69" s="367"/>
      <c r="AJ69" s="362"/>
      <c r="AK69" s="362"/>
      <c r="AL69" s="362"/>
      <c r="AM69" s="362"/>
      <c r="AN69" s="362"/>
      <c r="AO69" s="362"/>
      <c r="AP69" s="362"/>
      <c r="AQ69" s="362"/>
      <c r="AR69" s="362"/>
      <c r="AS69" s="362"/>
      <c r="AT69" s="362"/>
      <c r="AU69" s="362"/>
      <c r="AV69" s="362"/>
      <c r="AW69" s="362"/>
      <c r="AX69" s="362"/>
      <c r="AY69" s="362"/>
      <c r="AZ69" s="193"/>
      <c r="BA69" s="195">
        <f t="shared" si="79"/>
        <v>0</v>
      </c>
      <c r="BB69" s="205">
        <f>IF(BT20=1,AL122/(第4期!AP122/2+AP122),0)</f>
        <v>0</v>
      </c>
      <c r="BC69" s="203"/>
      <c r="BD69" s="194">
        <f t="shared" si="80"/>
        <v>0</v>
      </c>
      <c r="BE69" s="209" t="e">
        <f t="shared" si="81"/>
        <v>#DIV/0!</v>
      </c>
      <c r="BF69" s="209" t="e">
        <f t="shared" si="81"/>
        <v>#DIV/0!</v>
      </c>
      <c r="BG69" s="209" t="e">
        <f t="shared" si="81"/>
        <v>#DIV/0!</v>
      </c>
      <c r="BH69" s="209" t="e">
        <f t="shared" si="81"/>
        <v>#DIV/0!</v>
      </c>
      <c r="BI69" s="203"/>
      <c r="BJ69" s="203"/>
      <c r="BK69" s="203"/>
      <c r="BL69" s="203"/>
      <c r="BM69" s="203"/>
      <c r="BN69" s="203"/>
      <c r="BO69" s="203"/>
      <c r="BP69" s="203"/>
      <c r="BQ69" s="203"/>
      <c r="BR69" s="211"/>
      <c r="BS69" s="211"/>
      <c r="BT69" s="211"/>
      <c r="BU69" s="211"/>
      <c r="BV69" s="211"/>
      <c r="BW69" s="211"/>
      <c r="BX69" s="211"/>
      <c r="BY69" s="211"/>
      <c r="BZ69" s="211"/>
      <c r="CA69" s="211"/>
      <c r="CB69" s="211"/>
      <c r="CC69" s="211"/>
      <c r="CD69" s="211"/>
      <c r="CE69" s="211"/>
      <c r="CF69" s="211"/>
      <c r="CG69" s="211"/>
      <c r="CH69" s="211"/>
      <c r="CI69" s="211"/>
      <c r="CJ69" s="62"/>
    </row>
    <row r="70" s="61" customFormat="1" ht="16" customHeight="1" spans="1:88">
      <c r="A70" s="269" t="s">
        <v>441</v>
      </c>
      <c r="B70" s="77">
        <f>L43</f>
        <v>0</v>
      </c>
      <c r="C70" s="77" t="e">
        <f t="shared" si="89"/>
        <v>#DIV/0!</v>
      </c>
      <c r="D70" s="327"/>
      <c r="E70" s="328" t="s">
        <v>441</v>
      </c>
      <c r="F70" s="236">
        <f>L43</f>
        <v>0</v>
      </c>
      <c r="G70" s="73"/>
      <c r="H70" s="270" t="str">
        <f>H65</f>
        <v>产品3</v>
      </c>
      <c r="I70" s="77">
        <f t="shared" si="88"/>
        <v>0</v>
      </c>
      <c r="J70" s="77">
        <f t="shared" si="88"/>
        <v>0</v>
      </c>
      <c r="K70" s="77">
        <f t="shared" si="88"/>
        <v>0</v>
      </c>
      <c r="L70" s="77">
        <f t="shared" si="88"/>
        <v>0</v>
      </c>
      <c r="M70" s="333">
        <f>SUM(I65:L65)</f>
        <v>0</v>
      </c>
      <c r="N70" s="117" t="s">
        <v>206</v>
      </c>
      <c r="O70" s="118">
        <f>IF(第4期!$AI$9=0,9,ABS((V25-第4期!V25)/((V19-第4期!V19)-IF(第4期!$J8&gt;0,5,0))))</f>
        <v>9</v>
      </c>
      <c r="P70" s="118">
        <f>IF(第4期!$AI$9=0,9,ABS((W25-第4期!W25)/((W19-第4期!W19)-IF(第4期!$J8&gt;0,5,0))))</f>
        <v>9</v>
      </c>
      <c r="Q70" s="118">
        <f>IF(第4期!$AI$9=0,8,ABS((X25-第4期!X25)/((X19-第4期!X19)-IF(第4期!$J8&gt;0,5,0))))</f>
        <v>8</v>
      </c>
      <c r="R70" s="118">
        <f>IF(第4期!$AI$9=0,8,ABS((Y25-第4期!Y25)/((Y19-第4期!Y19)-IF(第4期!$J8&gt;0,5,0))))</f>
        <v>8</v>
      </c>
      <c r="S70" s="74"/>
      <c r="T70" s="120"/>
      <c r="U70" s="74"/>
      <c r="V70" s="74"/>
      <c r="W70" s="74"/>
      <c r="X70" s="74"/>
      <c r="Y70" s="74"/>
      <c r="Z70" s="74"/>
      <c r="AA70" s="73"/>
      <c r="AB70" s="74"/>
      <c r="AC70" s="74"/>
      <c r="AD70" s="74"/>
      <c r="AE70" s="74"/>
      <c r="AF70" s="74"/>
      <c r="AG70" s="74"/>
      <c r="AH70" s="73"/>
      <c r="AI70" s="367"/>
      <c r="AJ70" s="362"/>
      <c r="AK70" s="362"/>
      <c r="AL70" s="362"/>
      <c r="AM70" s="362"/>
      <c r="AN70" s="362"/>
      <c r="AO70" s="362"/>
      <c r="AP70" s="362"/>
      <c r="AQ70" s="362"/>
      <c r="AR70" s="362"/>
      <c r="AS70" s="362"/>
      <c r="AT70" s="362"/>
      <c r="AU70" s="362"/>
      <c r="AV70" s="362"/>
      <c r="AW70" s="362"/>
      <c r="AX70" s="362"/>
      <c r="AY70" s="362"/>
      <c r="AZ70" s="193"/>
      <c r="BA70" s="195">
        <f t="shared" si="79"/>
        <v>0</v>
      </c>
      <c r="BB70" s="205">
        <f>IF(BT21=1,AL123/(第4期!AP123/2+AP123),0)</f>
        <v>0</v>
      </c>
      <c r="BC70" s="203"/>
      <c r="BD70" s="194">
        <f t="shared" si="80"/>
        <v>0</v>
      </c>
      <c r="BE70" s="209" t="e">
        <f t="shared" si="81"/>
        <v>#DIV/0!</v>
      </c>
      <c r="BF70" s="209" t="e">
        <f t="shared" si="81"/>
        <v>#DIV/0!</v>
      </c>
      <c r="BG70" s="209" t="e">
        <f t="shared" si="81"/>
        <v>#DIV/0!</v>
      </c>
      <c r="BH70" s="209" t="e">
        <f t="shared" si="81"/>
        <v>#DIV/0!</v>
      </c>
      <c r="BI70" s="203"/>
      <c r="BJ70" s="203"/>
      <c r="BK70" s="203"/>
      <c r="BL70" s="203"/>
      <c r="BM70" s="203"/>
      <c r="BN70" s="203"/>
      <c r="BO70" s="203"/>
      <c r="BP70" s="203"/>
      <c r="BQ70" s="203"/>
      <c r="BR70" s="211"/>
      <c r="BS70" s="211"/>
      <c r="BT70" s="211"/>
      <c r="BU70" s="211"/>
      <c r="BV70" s="211"/>
      <c r="BW70" s="211"/>
      <c r="BX70" s="211"/>
      <c r="BY70" s="211"/>
      <c r="BZ70" s="211"/>
      <c r="CA70" s="211"/>
      <c r="CB70" s="211"/>
      <c r="CC70" s="211"/>
      <c r="CD70" s="211"/>
      <c r="CE70" s="211"/>
      <c r="CF70" s="211"/>
      <c r="CG70" s="211"/>
      <c r="CH70" s="211"/>
      <c r="CI70" s="211"/>
      <c r="CJ70" s="62"/>
    </row>
    <row r="71" s="61" customFormat="1" ht="16" customHeight="1" spans="1:88">
      <c r="A71" s="269" t="s">
        <v>696</v>
      </c>
      <c r="B71" s="77">
        <f>(SUM(AP9:AP12)+I56)*初始化表!E22</f>
        <v>0</v>
      </c>
      <c r="C71" s="77" t="e">
        <f t="shared" si="89"/>
        <v>#DIV/0!</v>
      </c>
      <c r="D71" s="327"/>
      <c r="E71" s="328" t="s">
        <v>697</v>
      </c>
      <c r="F71" s="236" t="e">
        <f>F64</f>
        <v>#DIV/0!</v>
      </c>
      <c r="G71" s="73"/>
      <c r="H71" s="270" t="str">
        <f>H66</f>
        <v>产品4</v>
      </c>
      <c r="I71" s="77">
        <f t="shared" si="88"/>
        <v>0</v>
      </c>
      <c r="J71" s="77">
        <f t="shared" si="88"/>
        <v>0</v>
      </c>
      <c r="K71" s="77">
        <f t="shared" si="88"/>
        <v>0</v>
      </c>
      <c r="L71" s="77">
        <f t="shared" si="88"/>
        <v>0</v>
      </c>
      <c r="M71" s="333">
        <f>SUM(I66:L66)</f>
        <v>0</v>
      </c>
      <c r="N71" s="117" t="s">
        <v>208</v>
      </c>
      <c r="O71" s="118">
        <f>IF(第4期!$AI$9=0,13,ABS((V26-第4期!V26)/((V20-第4期!V20)-IF(第4期!$J9&gt;0,5,0))))</f>
        <v>13</v>
      </c>
      <c r="P71" s="118">
        <f>IF(第4期!$AI$9=0,13,ABS((W26-第4期!W26)/((W20-第4期!W20)-IF(第4期!$J9&gt;0,5,0))))</f>
        <v>13</v>
      </c>
      <c r="Q71" s="118">
        <f>IF(第4期!$AI$9=0,11,ABS((X26-第4期!X26)/((X20-第4期!X20)-IF(第4期!$J9&gt;0,5,0))))</f>
        <v>11</v>
      </c>
      <c r="R71" s="118">
        <f>IF(第4期!$AI$9=0,11,ABS((Y26-第4期!Y26)/((Y20-第4期!Y20)-IF(第4期!$J9&gt;0,5,0))))</f>
        <v>11</v>
      </c>
      <c r="S71" s="74"/>
      <c r="T71" s="120"/>
      <c r="U71" s="68" t="s">
        <v>656</v>
      </c>
      <c r="V71" s="68" t="s">
        <v>459</v>
      </c>
      <c r="W71" s="68" t="s">
        <v>460</v>
      </c>
      <c r="X71" s="68" t="s">
        <v>461</v>
      </c>
      <c r="Y71" s="68" t="s">
        <v>462</v>
      </c>
      <c r="Z71" s="74"/>
      <c r="AA71" s="73"/>
      <c r="AB71" s="74"/>
      <c r="AC71" s="74"/>
      <c r="AD71" s="74"/>
      <c r="AE71" s="74"/>
      <c r="AF71" s="74"/>
      <c r="AG71" s="74"/>
      <c r="AH71" s="73"/>
      <c r="AI71" s="367"/>
      <c r="AJ71" s="362"/>
      <c r="AK71" s="362"/>
      <c r="AL71" s="362"/>
      <c r="AM71" s="362"/>
      <c r="AN71" s="362"/>
      <c r="AO71" s="362"/>
      <c r="AP71" s="362"/>
      <c r="AQ71" s="362"/>
      <c r="AR71" s="362"/>
      <c r="AS71" s="362"/>
      <c r="AT71" s="362"/>
      <c r="AU71" s="362"/>
      <c r="AV71" s="362"/>
      <c r="AW71" s="362"/>
      <c r="AX71" s="362"/>
      <c r="AY71" s="362"/>
      <c r="AZ71" s="193"/>
      <c r="BA71" s="195">
        <f t="shared" si="79"/>
        <v>0</v>
      </c>
      <c r="BB71" s="205">
        <f>IF(BT22=1,AL124/(第4期!AP124/2+AP124),0)</f>
        <v>0</v>
      </c>
      <c r="BC71" s="203"/>
      <c r="BD71" s="194">
        <f t="shared" si="80"/>
        <v>0</v>
      </c>
      <c r="BE71" s="209" t="e">
        <f t="shared" ref="BE71:BH73" si="90">BB48/$BE$31</f>
        <v>#DIV/0!</v>
      </c>
      <c r="BF71" s="209" t="e">
        <f t="shared" si="90"/>
        <v>#DIV/0!</v>
      </c>
      <c r="BG71" s="209" t="e">
        <f t="shared" si="90"/>
        <v>#DIV/0!</v>
      </c>
      <c r="BH71" s="209" t="e">
        <f t="shared" si="90"/>
        <v>#DIV/0!</v>
      </c>
      <c r="BI71" s="203"/>
      <c r="BJ71" s="203"/>
      <c r="BK71" s="203"/>
      <c r="BL71" s="203"/>
      <c r="BM71" s="203"/>
      <c r="BN71" s="203"/>
      <c r="BO71" s="203"/>
      <c r="BP71" s="203"/>
      <c r="BQ71" s="203"/>
      <c r="BR71" s="211"/>
      <c r="BS71" s="211"/>
      <c r="BT71" s="211"/>
      <c r="BU71" s="211"/>
      <c r="BV71" s="211"/>
      <c r="BW71" s="211"/>
      <c r="BX71" s="211"/>
      <c r="BY71" s="211"/>
      <c r="BZ71" s="211"/>
      <c r="CA71" s="211"/>
      <c r="CB71" s="211"/>
      <c r="CC71" s="211"/>
      <c r="CD71" s="211"/>
      <c r="CE71" s="211"/>
      <c r="CF71" s="211"/>
      <c r="CG71" s="211"/>
      <c r="CH71" s="211"/>
      <c r="CI71" s="211"/>
      <c r="CJ71" s="62"/>
    </row>
    <row r="72" s="61" customFormat="1" ht="16" customHeight="1" spans="1:88">
      <c r="A72" s="269" t="s">
        <v>699</v>
      </c>
      <c r="B72" s="77">
        <f>(SUM(AP13:AP16)+J56)*初始化表!F22</f>
        <v>0</v>
      </c>
      <c r="C72" s="77" t="e">
        <f t="shared" si="89"/>
        <v>#DIV/0!</v>
      </c>
      <c r="D72" s="327"/>
      <c r="E72" s="328" t="s">
        <v>457</v>
      </c>
      <c r="F72" s="236" t="e">
        <f>B77</f>
        <v>#DIV/0!</v>
      </c>
      <c r="G72" s="73"/>
      <c r="H72" s="270" t="str">
        <f t="shared" ref="H72:L76" si="91">U41</f>
        <v>本期待销</v>
      </c>
      <c r="I72" s="270" t="str">
        <f t="shared" si="91"/>
        <v>市场1</v>
      </c>
      <c r="J72" s="270" t="str">
        <f t="shared" si="91"/>
        <v>市场2</v>
      </c>
      <c r="K72" s="270" t="str">
        <f t="shared" si="91"/>
        <v>市场3</v>
      </c>
      <c r="L72" s="270" t="str">
        <f t="shared" si="91"/>
        <v>市场4</v>
      </c>
      <c r="M72" s="410" t="s">
        <v>700</v>
      </c>
      <c r="N72" s="117" t="s">
        <v>720</v>
      </c>
      <c r="O72" s="117" t="s">
        <v>38</v>
      </c>
      <c r="P72" s="117" t="s">
        <v>39</v>
      </c>
      <c r="Q72" s="117" t="s">
        <v>40</v>
      </c>
      <c r="R72" s="117" t="s">
        <v>41</v>
      </c>
      <c r="S72" s="117" t="s">
        <v>721</v>
      </c>
      <c r="T72" s="120"/>
      <c r="U72" s="68" t="s">
        <v>464</v>
      </c>
      <c r="V72" s="248" t="e">
        <f t="shared" ref="V72:Y75" si="92">INT(IF(IF(B6&lt;V23,(1+((V23-B6)/V23+O10)*15)*IF($F17&gt;$L6,1.1,1)*V17,(1+((V23-B6)/V23+O10)*5)*IF($F17&gt;$L6,1.1,1)*V17)&gt;0,IF(B6&lt;V23,(1+((V23-B6)/V23+O10)*15)*IF($F17&gt;$L6,1.1,1)*V17,(1+((V23-B6)/V23+O10)*5)*IF($F17&gt;$L6,1.1,1)*V17),0))</f>
        <v>#DIV/0!</v>
      </c>
      <c r="W72" s="248" t="e">
        <f t="shared" si="92"/>
        <v>#DIV/0!</v>
      </c>
      <c r="X72" s="248" t="e">
        <f t="shared" si="92"/>
        <v>#DIV/0!</v>
      </c>
      <c r="Y72" s="248" t="e">
        <f t="shared" si="92"/>
        <v>#DIV/0!</v>
      </c>
      <c r="Z72" s="249"/>
      <c r="AA72" s="254"/>
      <c r="AB72" s="249"/>
      <c r="AC72" s="68" t="s">
        <v>673</v>
      </c>
      <c r="AD72" s="68" t="s">
        <v>459</v>
      </c>
      <c r="AE72" s="68" t="s">
        <v>460</v>
      </c>
      <c r="AF72" s="68" t="s">
        <v>461</v>
      </c>
      <c r="AG72" s="68" t="s">
        <v>462</v>
      </c>
      <c r="AH72" s="73"/>
      <c r="AI72" s="367"/>
      <c r="AJ72" s="362"/>
      <c r="AK72" s="362"/>
      <c r="AL72" s="362"/>
      <c r="AM72" s="362"/>
      <c r="AN72" s="362"/>
      <c r="AO72" s="362"/>
      <c r="AP72" s="362"/>
      <c r="AQ72" s="362"/>
      <c r="AR72" s="362"/>
      <c r="AS72" s="362"/>
      <c r="AT72" s="362"/>
      <c r="AU72" s="362"/>
      <c r="AV72" s="362"/>
      <c r="AW72" s="362"/>
      <c r="AX72" s="362"/>
      <c r="AY72" s="362"/>
      <c r="AZ72" s="193"/>
      <c r="BA72" s="195">
        <f t="shared" si="79"/>
        <v>0</v>
      </c>
      <c r="BB72" s="205">
        <f>IF(BT23=1,AL125/(第4期!AP125/2+AP125),0)</f>
        <v>0</v>
      </c>
      <c r="BC72" s="203"/>
      <c r="BD72" s="194">
        <f t="shared" si="80"/>
        <v>0</v>
      </c>
      <c r="BE72" s="209" t="e">
        <f t="shared" si="90"/>
        <v>#DIV/0!</v>
      </c>
      <c r="BF72" s="209" t="e">
        <f t="shared" si="90"/>
        <v>#DIV/0!</v>
      </c>
      <c r="BG72" s="209" t="e">
        <f t="shared" si="90"/>
        <v>#DIV/0!</v>
      </c>
      <c r="BH72" s="209" t="e">
        <f t="shared" si="90"/>
        <v>#DIV/0!</v>
      </c>
      <c r="BI72" s="203"/>
      <c r="BJ72" s="203"/>
      <c r="BK72" s="203"/>
      <c r="BL72" s="203"/>
      <c r="BM72" s="203"/>
      <c r="BN72" s="203"/>
      <c r="BO72" s="203"/>
      <c r="BP72" s="203"/>
      <c r="BQ72" s="203"/>
      <c r="BR72" s="211"/>
      <c r="BS72" s="211"/>
      <c r="BT72" s="211"/>
      <c r="BU72" s="211"/>
      <c r="BV72" s="211"/>
      <c r="BW72" s="211"/>
      <c r="BX72" s="211"/>
      <c r="BY72" s="211"/>
      <c r="BZ72" s="211"/>
      <c r="CA72" s="211"/>
      <c r="CB72" s="211"/>
      <c r="CC72" s="211"/>
      <c r="CD72" s="211"/>
      <c r="CE72" s="211"/>
      <c r="CF72" s="211"/>
      <c r="CG72" s="211"/>
      <c r="CH72" s="211"/>
      <c r="CI72" s="211"/>
      <c r="CJ72" s="62"/>
    </row>
    <row r="73" s="61" customFormat="1" ht="16" customHeight="1" spans="1:88">
      <c r="A73" s="269" t="s">
        <v>701</v>
      </c>
      <c r="B73" s="77">
        <f>(SUM(AP17:AP20)+K56)*初始化表!G22</f>
        <v>0</v>
      </c>
      <c r="C73" s="77" t="e">
        <f t="shared" si="89"/>
        <v>#DIV/0!</v>
      </c>
      <c r="D73" s="327"/>
      <c r="E73" s="328" t="s">
        <v>463</v>
      </c>
      <c r="F73" s="236">
        <f>MAX(P33-B24,0)</f>
        <v>0</v>
      </c>
      <c r="G73" s="73"/>
      <c r="H73" s="270" t="str">
        <f t="shared" si="91"/>
        <v>产品1</v>
      </c>
      <c r="I73" s="77">
        <f t="shared" si="91"/>
        <v>0</v>
      </c>
      <c r="J73" s="77">
        <f t="shared" si="91"/>
        <v>0</v>
      </c>
      <c r="K73" s="77">
        <f t="shared" si="91"/>
        <v>0</v>
      </c>
      <c r="L73" s="77">
        <f t="shared" si="91"/>
        <v>0</v>
      </c>
      <c r="M73" s="334" t="e">
        <f>INT((M68-Z5)/初始化表!$B$4)</f>
        <v>#DIV/0!</v>
      </c>
      <c r="N73" s="117" t="s">
        <v>198</v>
      </c>
      <c r="O73" s="244">
        <f>V42-IF(V17=0,第4期!I73,V17)</f>
        <v>0</v>
      </c>
      <c r="P73" s="244">
        <f>W42-IF(W17=0,第4期!J73,W17)</f>
        <v>0</v>
      </c>
      <c r="Q73" s="244">
        <f>X42-IF(X17=0,第4期!K73,X17)</f>
        <v>0</v>
      </c>
      <c r="R73" s="244">
        <f>Y42-IF(Y17=0,第4期!L73,Y17)</f>
        <v>0</v>
      </c>
      <c r="S73" s="244">
        <f>IF(I85=0,0,ABS(P85-O85)/ABS(I85-J85))</f>
        <v>0</v>
      </c>
      <c r="T73" s="120"/>
      <c r="U73" s="68" t="s">
        <v>465</v>
      </c>
      <c r="V73" s="248" t="e">
        <f t="shared" si="92"/>
        <v>#DIV/0!</v>
      </c>
      <c r="W73" s="248" t="e">
        <f t="shared" si="92"/>
        <v>#DIV/0!</v>
      </c>
      <c r="X73" s="248" t="e">
        <f t="shared" si="92"/>
        <v>#DIV/0!</v>
      </c>
      <c r="Y73" s="248" t="e">
        <f t="shared" si="92"/>
        <v>#DIV/0!</v>
      </c>
      <c r="Z73" s="249"/>
      <c r="AA73" s="254"/>
      <c r="AB73" s="249"/>
      <c r="AC73" s="68" t="s">
        <v>464</v>
      </c>
      <c r="AD73" s="248" t="e">
        <f t="shared" ref="AD73:AG76" si="93">IF(V42&gt;V72,V42-V72,0)</f>
        <v>#DIV/0!</v>
      </c>
      <c r="AE73" s="248" t="e">
        <f t="shared" si="93"/>
        <v>#DIV/0!</v>
      </c>
      <c r="AF73" s="248" t="e">
        <f t="shared" si="93"/>
        <v>#DIV/0!</v>
      </c>
      <c r="AG73" s="248" t="e">
        <f t="shared" si="93"/>
        <v>#DIV/0!</v>
      </c>
      <c r="AH73" s="73"/>
      <c r="AI73" s="367"/>
      <c r="AJ73" s="362"/>
      <c r="AK73" s="362"/>
      <c r="AL73" s="362"/>
      <c r="AM73" s="362"/>
      <c r="AN73" s="362"/>
      <c r="AO73" s="362"/>
      <c r="AP73" s="362"/>
      <c r="AQ73" s="362"/>
      <c r="AR73" s="362"/>
      <c r="AS73" s="362"/>
      <c r="AT73" s="362"/>
      <c r="AU73" s="362"/>
      <c r="AV73" s="362"/>
      <c r="AW73" s="362"/>
      <c r="AX73" s="362"/>
      <c r="AY73" s="362"/>
      <c r="AZ73" s="193"/>
      <c r="BA73" s="195">
        <f t="shared" si="79"/>
        <v>0</v>
      </c>
      <c r="BB73" s="205">
        <f>IF(BT24=1,AL126/(第4期!AP126/2+AP126),0)</f>
        <v>0</v>
      </c>
      <c r="BC73" s="203"/>
      <c r="BD73" s="194">
        <f t="shared" si="80"/>
        <v>0</v>
      </c>
      <c r="BE73" s="209" t="e">
        <f t="shared" si="90"/>
        <v>#DIV/0!</v>
      </c>
      <c r="BF73" s="209" t="e">
        <f t="shared" si="90"/>
        <v>#DIV/0!</v>
      </c>
      <c r="BG73" s="209" t="e">
        <f t="shared" si="90"/>
        <v>#DIV/0!</v>
      </c>
      <c r="BH73" s="209" t="e">
        <f t="shared" si="90"/>
        <v>#DIV/0!</v>
      </c>
      <c r="BI73" s="203"/>
      <c r="BJ73" s="203"/>
      <c r="BK73" s="203"/>
      <c r="BL73" s="203"/>
      <c r="BM73" s="203"/>
      <c r="BN73" s="203"/>
      <c r="BO73" s="203"/>
      <c r="BP73" s="203"/>
      <c r="BQ73" s="203"/>
      <c r="BR73" s="211"/>
      <c r="BS73" s="211"/>
      <c r="BT73" s="211"/>
      <c r="BU73" s="211"/>
      <c r="BV73" s="211"/>
      <c r="BW73" s="211"/>
      <c r="BX73" s="211"/>
      <c r="BY73" s="211"/>
      <c r="BZ73" s="211"/>
      <c r="CA73" s="211"/>
      <c r="CB73" s="211"/>
      <c r="CC73" s="211"/>
      <c r="CD73" s="211"/>
      <c r="CE73" s="211"/>
      <c r="CF73" s="211"/>
      <c r="CG73" s="211"/>
      <c r="CH73" s="211"/>
      <c r="CI73" s="211"/>
      <c r="CJ73" s="62"/>
    </row>
    <row r="74" s="61" customFormat="1" ht="16" customHeight="1" spans="1:88">
      <c r="A74" s="269" t="s">
        <v>702</v>
      </c>
      <c r="B74" s="77">
        <f>(SUM(AP21:AP24)+L56)*初始化表!H22</f>
        <v>0</v>
      </c>
      <c r="C74" s="77" t="e">
        <f t="shared" si="89"/>
        <v>#DIV/0!</v>
      </c>
      <c r="D74" s="327"/>
      <c r="E74" s="328" t="s">
        <v>703</v>
      </c>
      <c r="F74" s="236">
        <f>D24</f>
        <v>0</v>
      </c>
      <c r="G74" s="73"/>
      <c r="H74" s="270" t="str">
        <f t="shared" si="91"/>
        <v>产品2</v>
      </c>
      <c r="I74" s="77">
        <f t="shared" si="91"/>
        <v>0</v>
      </c>
      <c r="J74" s="77">
        <f t="shared" si="91"/>
        <v>0</v>
      </c>
      <c r="K74" s="77">
        <f t="shared" si="91"/>
        <v>0</v>
      </c>
      <c r="L74" s="77">
        <f t="shared" si="91"/>
        <v>0</v>
      </c>
      <c r="M74" s="334" t="e">
        <f>INT((M69-Z6)/初始化表!$B$4)</f>
        <v>#DIV/0!</v>
      </c>
      <c r="N74" s="117" t="s">
        <v>202</v>
      </c>
      <c r="O74" s="244">
        <f>V43-IF(V18=0,第4期!I74,V18)</f>
        <v>0</v>
      </c>
      <c r="P74" s="244">
        <f>W43-IF(W18=0,第4期!J74,W18)</f>
        <v>0</v>
      </c>
      <c r="Q74" s="244">
        <f>X43-IF(X18=0,第4期!K74,X18)</f>
        <v>0</v>
      </c>
      <c r="R74" s="244">
        <f>Y43-IF(Y18=0,第4期!L74,Y18)</f>
        <v>0</v>
      </c>
      <c r="S74" s="244">
        <f>IF(I86=0,0,ABS(P86-O86)/ABS(I86-J86))</f>
        <v>0</v>
      </c>
      <c r="T74" s="120"/>
      <c r="U74" s="68" t="s">
        <v>466</v>
      </c>
      <c r="V74" s="248" t="e">
        <f t="shared" si="92"/>
        <v>#DIV/0!</v>
      </c>
      <c r="W74" s="248" t="e">
        <f t="shared" si="92"/>
        <v>#DIV/0!</v>
      </c>
      <c r="X74" s="248" t="e">
        <f t="shared" si="92"/>
        <v>#DIV/0!</v>
      </c>
      <c r="Y74" s="248" t="e">
        <f t="shared" si="92"/>
        <v>#DIV/0!</v>
      </c>
      <c r="Z74" s="249"/>
      <c r="AA74" s="254"/>
      <c r="AB74" s="249"/>
      <c r="AC74" s="68" t="s">
        <v>465</v>
      </c>
      <c r="AD74" s="248" t="e">
        <f t="shared" si="93"/>
        <v>#DIV/0!</v>
      </c>
      <c r="AE74" s="248" t="e">
        <f t="shared" si="93"/>
        <v>#DIV/0!</v>
      </c>
      <c r="AF74" s="248" t="e">
        <f t="shared" si="93"/>
        <v>#DIV/0!</v>
      </c>
      <c r="AG74" s="248" t="e">
        <f t="shared" si="93"/>
        <v>#DIV/0!</v>
      </c>
      <c r="AH74" s="73"/>
      <c r="AI74" s="367"/>
      <c r="AJ74" s="362"/>
      <c r="AK74" s="362"/>
      <c r="AL74" s="362"/>
      <c r="AM74" s="362"/>
      <c r="AN74" s="362"/>
      <c r="AO74" s="362"/>
      <c r="AP74" s="362"/>
      <c r="AQ74" s="362"/>
      <c r="AR74" s="362"/>
      <c r="AS74" s="362"/>
      <c r="AT74" s="362"/>
      <c r="AU74" s="362"/>
      <c r="AV74" s="362"/>
      <c r="AW74" s="362"/>
      <c r="AX74" s="362"/>
      <c r="AY74" s="362"/>
      <c r="AZ74" s="193"/>
      <c r="BA74" s="203"/>
      <c r="BB74" s="203"/>
      <c r="BC74" s="203"/>
      <c r="BD74" s="203"/>
      <c r="BE74" s="203"/>
      <c r="BF74" s="203"/>
      <c r="BG74" s="203"/>
      <c r="BH74" s="203"/>
      <c r="BI74" s="203"/>
      <c r="BJ74" s="203"/>
      <c r="BK74" s="203"/>
      <c r="BL74" s="203"/>
      <c r="BM74" s="203"/>
      <c r="BN74" s="203"/>
      <c r="BO74" s="203"/>
      <c r="BP74" s="203"/>
      <c r="BQ74" s="203"/>
      <c r="BR74" s="211"/>
      <c r="BS74" s="211"/>
      <c r="BT74" s="211"/>
      <c r="BU74" s="211"/>
      <c r="BV74" s="211"/>
      <c r="BW74" s="211"/>
      <c r="BX74" s="211"/>
      <c r="BY74" s="211"/>
      <c r="BZ74" s="211"/>
      <c r="CA74" s="211"/>
      <c r="CB74" s="211"/>
      <c r="CC74" s="211"/>
      <c r="CD74" s="211"/>
      <c r="CE74" s="211"/>
      <c r="CF74" s="211"/>
      <c r="CG74" s="211"/>
      <c r="CH74" s="211"/>
      <c r="CI74" s="211"/>
      <c r="CJ74" s="62"/>
    </row>
    <row r="75" s="61" customFormat="1" ht="16" customHeight="1" spans="1:88">
      <c r="A75" s="269" t="s">
        <v>442</v>
      </c>
      <c r="B75" s="77">
        <f>SUM(F17:F20)/2</f>
        <v>0</v>
      </c>
      <c r="C75" s="77" t="e">
        <f t="shared" si="89"/>
        <v>#DIV/0!</v>
      </c>
      <c r="D75" s="327"/>
      <c r="E75" s="328" t="s">
        <v>704</v>
      </c>
      <c r="F75" s="236">
        <f>B78</f>
        <v>0</v>
      </c>
      <c r="G75" s="73"/>
      <c r="H75" s="270" t="str">
        <f t="shared" si="91"/>
        <v>产品3</v>
      </c>
      <c r="I75" s="77">
        <f t="shared" si="91"/>
        <v>0</v>
      </c>
      <c r="J75" s="77">
        <f t="shared" si="91"/>
        <v>0</v>
      </c>
      <c r="K75" s="77">
        <f t="shared" si="91"/>
        <v>0</v>
      </c>
      <c r="L75" s="77">
        <f t="shared" si="91"/>
        <v>0</v>
      </c>
      <c r="M75" s="334" t="e">
        <f>INT((M70-Z7)/初始化表!$B$4)</f>
        <v>#DIV/0!</v>
      </c>
      <c r="N75" s="117" t="s">
        <v>206</v>
      </c>
      <c r="O75" s="244">
        <f>V44-IF(V19=0,第4期!I75,V19)</f>
        <v>0</v>
      </c>
      <c r="P75" s="244">
        <f>W44-IF(W19=0,第4期!J75,W19)</f>
        <v>0</v>
      </c>
      <c r="Q75" s="244">
        <f>X44-IF(X19=0,第4期!K75,X19)</f>
        <v>0</v>
      </c>
      <c r="R75" s="244">
        <f>Y44-IF(Y19=0,第4期!L75,Y19)</f>
        <v>0</v>
      </c>
      <c r="S75" s="244">
        <f t="shared" ref="S75:S76" si="94">IF(I87=0,0,ABS(P87-O87)/ABS(I87-J87))</f>
        <v>0</v>
      </c>
      <c r="T75" s="120"/>
      <c r="U75" s="68" t="s">
        <v>468</v>
      </c>
      <c r="V75" s="248" t="e">
        <f t="shared" si="92"/>
        <v>#DIV/0!</v>
      </c>
      <c r="W75" s="248" t="e">
        <f t="shared" si="92"/>
        <v>#DIV/0!</v>
      </c>
      <c r="X75" s="248" t="e">
        <f t="shared" si="92"/>
        <v>#DIV/0!</v>
      </c>
      <c r="Y75" s="248" t="e">
        <f t="shared" si="92"/>
        <v>#DIV/0!</v>
      </c>
      <c r="Z75" s="249"/>
      <c r="AA75" s="254"/>
      <c r="AB75" s="249"/>
      <c r="AC75" s="68" t="s">
        <v>466</v>
      </c>
      <c r="AD75" s="248" t="e">
        <f t="shared" si="93"/>
        <v>#DIV/0!</v>
      </c>
      <c r="AE75" s="248" t="e">
        <f t="shared" si="93"/>
        <v>#DIV/0!</v>
      </c>
      <c r="AF75" s="248" t="e">
        <f t="shared" si="93"/>
        <v>#DIV/0!</v>
      </c>
      <c r="AG75" s="248" t="e">
        <f t="shared" si="93"/>
        <v>#DIV/0!</v>
      </c>
      <c r="AH75" s="73"/>
      <c r="AI75" s="367"/>
      <c r="AJ75" s="362"/>
      <c r="AK75" s="362"/>
      <c r="AL75" s="362"/>
      <c r="AM75" s="362"/>
      <c r="AN75" s="362"/>
      <c r="AO75" s="362"/>
      <c r="AP75" s="362"/>
      <c r="AQ75" s="362"/>
      <c r="AR75" s="362"/>
      <c r="AS75" s="362"/>
      <c r="AT75" s="362"/>
      <c r="AU75" s="362"/>
      <c r="AV75" s="362"/>
      <c r="AW75" s="362"/>
      <c r="AX75" s="362"/>
      <c r="AY75" s="362"/>
      <c r="AZ75" s="193"/>
      <c r="BA75" s="203"/>
      <c r="BB75" s="203"/>
      <c r="BC75" s="203"/>
      <c r="BD75" s="203"/>
      <c r="BE75" s="203"/>
      <c r="BF75" s="203"/>
      <c r="BG75" s="203"/>
      <c r="BH75" s="203"/>
      <c r="BI75" s="203"/>
      <c r="BJ75" s="203"/>
      <c r="BK75" s="203"/>
      <c r="BL75" s="203"/>
      <c r="BM75" s="203"/>
      <c r="BN75" s="203"/>
      <c r="BO75" s="203"/>
      <c r="BP75" s="203"/>
      <c r="BQ75" s="203"/>
      <c r="BR75" s="211"/>
      <c r="BS75" s="211"/>
      <c r="BT75" s="211"/>
      <c r="BU75" s="211"/>
      <c r="BV75" s="211"/>
      <c r="BW75" s="211"/>
      <c r="BX75" s="211"/>
      <c r="BY75" s="211"/>
      <c r="BZ75" s="211"/>
      <c r="CA75" s="211"/>
      <c r="CB75" s="211"/>
      <c r="CC75" s="211"/>
      <c r="CD75" s="211"/>
      <c r="CE75" s="211"/>
      <c r="CF75" s="211"/>
      <c r="CG75" s="211"/>
      <c r="CH75" s="211"/>
      <c r="CI75" s="211"/>
      <c r="CJ75" s="62"/>
    </row>
    <row r="76" s="61" customFormat="1" ht="16" customHeight="1" spans="1:88">
      <c r="A76" s="269" t="s">
        <v>443</v>
      </c>
      <c r="B76" s="77" t="e">
        <f>O49*初始化表!B8</f>
        <v>#DIV/0!</v>
      </c>
      <c r="C76" s="77" t="e">
        <f t="shared" si="89"/>
        <v>#DIV/0!</v>
      </c>
      <c r="D76" s="327"/>
      <c r="E76" s="328" t="s">
        <v>467</v>
      </c>
      <c r="F76" s="236">
        <f>SUM(I6:I9,F17:F20)</f>
        <v>0</v>
      </c>
      <c r="G76" s="73"/>
      <c r="H76" s="270" t="str">
        <f t="shared" si="91"/>
        <v>产品4</v>
      </c>
      <c r="I76" s="77">
        <f t="shared" si="91"/>
        <v>0</v>
      </c>
      <c r="J76" s="77">
        <f t="shared" si="91"/>
        <v>0</v>
      </c>
      <c r="K76" s="77">
        <f t="shared" si="91"/>
        <v>0</v>
      </c>
      <c r="L76" s="77">
        <f t="shared" si="91"/>
        <v>0</v>
      </c>
      <c r="M76" s="334" t="e">
        <f>INT((M71-Z8)/初始化表!$B$4)</f>
        <v>#DIV/0!</v>
      </c>
      <c r="N76" s="117" t="s">
        <v>208</v>
      </c>
      <c r="O76" s="244">
        <f>V45-IF(V20=0,第4期!I76,V20)</f>
        <v>0</v>
      </c>
      <c r="P76" s="244">
        <f>W45-IF(W20=0,第4期!J76,W20)</f>
        <v>0</v>
      </c>
      <c r="Q76" s="244">
        <f>X45-IF(X20=0,第4期!K76,X20)</f>
        <v>0</v>
      </c>
      <c r="R76" s="244">
        <f>Y45-IF(Y20=0,第4期!L76,Y20)</f>
        <v>0</v>
      </c>
      <c r="S76" s="244">
        <f t="shared" si="94"/>
        <v>0</v>
      </c>
      <c r="T76" s="120"/>
      <c r="U76" s="249"/>
      <c r="V76" s="249"/>
      <c r="W76" s="249"/>
      <c r="X76" s="249"/>
      <c r="Y76" s="249"/>
      <c r="Z76" s="249"/>
      <c r="AA76" s="254"/>
      <c r="AB76" s="249"/>
      <c r="AC76" s="68" t="s">
        <v>468</v>
      </c>
      <c r="AD76" s="248" t="e">
        <f t="shared" si="93"/>
        <v>#DIV/0!</v>
      </c>
      <c r="AE76" s="248" t="e">
        <f t="shared" si="93"/>
        <v>#DIV/0!</v>
      </c>
      <c r="AF76" s="248" t="e">
        <f t="shared" si="93"/>
        <v>#DIV/0!</v>
      </c>
      <c r="AG76" s="248" t="e">
        <f t="shared" si="93"/>
        <v>#DIV/0!</v>
      </c>
      <c r="AH76" s="73"/>
      <c r="AI76" s="367"/>
      <c r="AJ76" s="362"/>
      <c r="AK76" s="362"/>
      <c r="AL76" s="362"/>
      <c r="AM76" s="362"/>
      <c r="AN76" s="362"/>
      <c r="AO76" s="362"/>
      <c r="AP76" s="362"/>
      <c r="AQ76" s="362"/>
      <c r="AR76" s="362"/>
      <c r="AS76" s="362"/>
      <c r="AT76" s="362"/>
      <c r="AU76" s="362"/>
      <c r="AV76" s="362"/>
      <c r="AW76" s="362"/>
      <c r="AX76" s="362"/>
      <c r="AY76" s="362"/>
      <c r="AZ76" s="193"/>
      <c r="BA76" s="203"/>
      <c r="BB76" s="203"/>
      <c r="BC76" s="203"/>
      <c r="BD76" s="203"/>
      <c r="BE76" s="203"/>
      <c r="BF76" s="203"/>
      <c r="BG76" s="203"/>
      <c r="BH76" s="203"/>
      <c r="BI76" s="203"/>
      <c r="BJ76" s="203"/>
      <c r="BK76" s="203"/>
      <c r="BL76" s="203"/>
      <c r="BM76" s="203"/>
      <c r="BN76" s="203"/>
      <c r="BO76" s="203"/>
      <c r="BP76" s="203"/>
      <c r="BQ76" s="203"/>
      <c r="BR76" s="211"/>
      <c r="BS76" s="211"/>
      <c r="BT76" s="211"/>
      <c r="BU76" s="211"/>
      <c r="BV76" s="211"/>
      <c r="BW76" s="211"/>
      <c r="BX76" s="211"/>
      <c r="BY76" s="211"/>
      <c r="BZ76" s="211"/>
      <c r="CA76" s="211"/>
      <c r="CB76" s="211"/>
      <c r="CC76" s="211"/>
      <c r="CD76" s="211"/>
      <c r="CE76" s="211"/>
      <c r="CF76" s="211"/>
      <c r="CG76" s="211"/>
      <c r="CH76" s="211"/>
      <c r="CI76" s="211"/>
      <c r="CJ76" s="62"/>
    </row>
    <row r="77" s="61" customFormat="1" ht="16" customHeight="1" spans="1:88">
      <c r="A77" s="269" t="s">
        <v>444</v>
      </c>
      <c r="B77" s="77" t="e">
        <f>第4期!B77-C51</f>
        <v>#DIV/0!</v>
      </c>
      <c r="C77" s="77" t="e">
        <f>C76-B77</f>
        <v>#DIV/0!</v>
      </c>
      <c r="D77" s="327"/>
      <c r="E77" s="328" t="s">
        <v>255</v>
      </c>
      <c r="F77" s="408" t="e">
        <f>D56-E60</f>
        <v>#DIV/0!</v>
      </c>
      <c r="G77" s="73"/>
      <c r="H77" s="269" t="s">
        <v>722</v>
      </c>
      <c r="I77" s="269"/>
      <c r="J77" s="269"/>
      <c r="K77" s="269"/>
      <c r="L77" s="269"/>
      <c r="M77" s="289" t="s">
        <v>723</v>
      </c>
      <c r="N77" s="117" t="s">
        <v>730</v>
      </c>
      <c r="O77" s="117" t="s">
        <v>38</v>
      </c>
      <c r="P77" s="117" t="s">
        <v>39</v>
      </c>
      <c r="Q77" s="117" t="s">
        <v>40</v>
      </c>
      <c r="R77" s="117" t="s">
        <v>41</v>
      </c>
      <c r="S77" s="245" t="s">
        <v>747</v>
      </c>
      <c r="T77" s="120"/>
      <c r="U77" s="68" t="s">
        <v>682</v>
      </c>
      <c r="V77" s="68" t="s">
        <v>38</v>
      </c>
      <c r="W77" s="68" t="s">
        <v>39</v>
      </c>
      <c r="X77" s="68" t="s">
        <v>40</v>
      </c>
      <c r="Y77" s="68" t="s">
        <v>41</v>
      </c>
      <c r="Z77" s="249"/>
      <c r="AA77" s="254"/>
      <c r="AB77" s="249"/>
      <c r="AC77" s="249"/>
      <c r="AD77" s="249"/>
      <c r="AE77" s="249"/>
      <c r="AF77" s="249"/>
      <c r="AG77" s="249"/>
      <c r="AH77" s="73"/>
      <c r="AI77" s="367"/>
      <c r="AJ77" s="362"/>
      <c r="AK77" s="362"/>
      <c r="AL77" s="362"/>
      <c r="AM77" s="362"/>
      <c r="AN77" s="362"/>
      <c r="AO77" s="362"/>
      <c r="AP77" s="362"/>
      <c r="AQ77" s="362"/>
      <c r="AR77" s="362"/>
      <c r="AS77" s="362"/>
      <c r="AT77" s="362"/>
      <c r="AU77" s="362"/>
      <c r="AV77" s="362"/>
      <c r="AW77" s="362"/>
      <c r="AX77" s="362"/>
      <c r="AY77" s="362"/>
      <c r="AZ77" s="193"/>
      <c r="BA77" s="203"/>
      <c r="BB77" s="203"/>
      <c r="BC77" s="203"/>
      <c r="BD77" s="203"/>
      <c r="BE77" s="203"/>
      <c r="BF77" s="203"/>
      <c r="BG77" s="203"/>
      <c r="BH77" s="203"/>
      <c r="BI77" s="203"/>
      <c r="BJ77" s="203"/>
      <c r="BK77" s="203"/>
      <c r="BL77" s="203"/>
      <c r="BM77" s="203"/>
      <c r="BN77" s="203"/>
      <c r="BO77" s="203"/>
      <c r="BP77" s="203"/>
      <c r="BQ77" s="203"/>
      <c r="BR77" s="211"/>
      <c r="BS77" s="211"/>
      <c r="BT77" s="211"/>
      <c r="BU77" s="211"/>
      <c r="BV77" s="211"/>
      <c r="BW77" s="203"/>
      <c r="BX77" s="264"/>
      <c r="BY77" s="211"/>
      <c r="BZ77" s="211"/>
      <c r="CA77" s="211"/>
      <c r="CB77" s="211"/>
      <c r="CC77" s="211"/>
      <c r="CD77" s="211"/>
      <c r="CE77" s="211"/>
      <c r="CF77" s="211"/>
      <c r="CG77" s="211"/>
      <c r="CH77" s="211"/>
      <c r="CI77" s="211"/>
      <c r="CJ77" s="62"/>
    </row>
    <row r="78" s="61" customFormat="1" ht="16" customHeight="1" spans="1:88">
      <c r="A78" s="269" t="s">
        <v>310</v>
      </c>
      <c r="B78" s="71">
        <f>O35+C24+C31</f>
        <v>0</v>
      </c>
      <c r="C78" s="71" t="e">
        <f>C77-B78</f>
        <v>#DIV/0!</v>
      </c>
      <c r="D78" s="327"/>
      <c r="E78" s="328" t="s">
        <v>469</v>
      </c>
      <c r="F78" s="236" t="e">
        <f>-C61</f>
        <v>#DIV/0!</v>
      </c>
      <c r="G78" s="73"/>
      <c r="H78" s="269" t="s">
        <v>521</v>
      </c>
      <c r="I78" s="77" t="e">
        <f>第4期!BN42</f>
        <v>#DIV/0!</v>
      </c>
      <c r="J78" s="77" t="e">
        <f>第4期!BO42</f>
        <v>#DIV/0!</v>
      </c>
      <c r="K78" s="77" t="e">
        <f>第4期!BP42</f>
        <v>#DIV/0!</v>
      </c>
      <c r="L78" s="77" t="e">
        <f>第4期!BQ42</f>
        <v>#DIV/0!</v>
      </c>
      <c r="M78" s="334" t="e">
        <f>SUM(I78:L78)</f>
        <v>#DIV/0!</v>
      </c>
      <c r="N78" s="117" t="s">
        <v>198</v>
      </c>
      <c r="O78" s="244" t="e">
        <f>V23-O68*(O73-IF($J6&gt;0,10,0))</f>
        <v>#DIV/0!</v>
      </c>
      <c r="P78" s="244" t="e">
        <f t="shared" ref="P78:R79" si="95">W23-P68*(P73-IF($J6&gt;0,10,0))</f>
        <v>#DIV/0!</v>
      </c>
      <c r="Q78" s="244" t="e">
        <f t="shared" si="95"/>
        <v>#DIV/0!</v>
      </c>
      <c r="R78" s="244" t="e">
        <f t="shared" si="95"/>
        <v>#DIV/0!</v>
      </c>
      <c r="S78" s="380">
        <f>SUM(第4期!AY107:AY126)</f>
        <v>0</v>
      </c>
      <c r="T78" s="120"/>
      <c r="U78" s="68" t="s">
        <v>198</v>
      </c>
      <c r="V78" s="248" t="e">
        <f>IF(V72&gt;V42,INT((V72-V42)*初始化表!E11),0)</f>
        <v>#DIV/0!</v>
      </c>
      <c r="W78" s="248" t="e">
        <f>IF(W72&gt;W42,INT((W72-W42)*初始化表!F11),0)</f>
        <v>#DIV/0!</v>
      </c>
      <c r="X78" s="248" t="e">
        <f>IF(X72&gt;X42,INT((X72-X42)*初始化表!G11),0)</f>
        <v>#DIV/0!</v>
      </c>
      <c r="Y78" s="248" t="e">
        <f>IF(Y72&gt;Y42,INT((Y72-Y42)*初始化表!H11),0)</f>
        <v>#DIV/0!</v>
      </c>
      <c r="Z78" s="249"/>
      <c r="AA78" s="254"/>
      <c r="AB78" s="249"/>
      <c r="AC78" s="249"/>
      <c r="AD78" s="249"/>
      <c r="AE78" s="249"/>
      <c r="AF78" s="249"/>
      <c r="AG78" s="249"/>
      <c r="AH78" s="73"/>
      <c r="AI78" s="367"/>
      <c r="AJ78" s="362"/>
      <c r="AK78" s="362"/>
      <c r="AL78" s="362"/>
      <c r="AM78" s="362"/>
      <c r="AN78" s="362"/>
      <c r="AO78" s="362"/>
      <c r="AP78" s="362"/>
      <c r="AQ78" s="362"/>
      <c r="AR78" s="362"/>
      <c r="AS78" s="362"/>
      <c r="AT78" s="362"/>
      <c r="AU78" s="362"/>
      <c r="AV78" s="362"/>
      <c r="AW78" s="362"/>
      <c r="AX78" s="362"/>
      <c r="AY78" s="362"/>
      <c r="AZ78" s="193"/>
      <c r="BA78" s="203"/>
      <c r="BB78" s="203"/>
      <c r="BC78" s="203"/>
      <c r="BD78" s="203"/>
      <c r="BE78" s="203"/>
      <c r="BF78" s="203"/>
      <c r="BG78" s="203"/>
      <c r="BH78" s="203"/>
      <c r="BI78" s="203"/>
      <c r="BJ78" s="203"/>
      <c r="BK78" s="203"/>
      <c r="BL78" s="203"/>
      <c r="BM78" s="203"/>
      <c r="BN78" s="203"/>
      <c r="BO78" s="203"/>
      <c r="BP78" s="203"/>
      <c r="BQ78" s="203"/>
      <c r="BR78" s="211"/>
      <c r="BS78" s="211"/>
      <c r="BT78" s="211"/>
      <c r="BU78" s="211"/>
      <c r="BV78" s="211"/>
      <c r="BW78" s="211"/>
      <c r="BX78" s="211"/>
      <c r="BY78" s="211"/>
      <c r="BZ78" s="211"/>
      <c r="CA78" s="211"/>
      <c r="CB78" s="211"/>
      <c r="CC78" s="211"/>
      <c r="CD78" s="211"/>
      <c r="CE78" s="211"/>
      <c r="CF78" s="211"/>
      <c r="CG78" s="211"/>
      <c r="CH78" s="211"/>
      <c r="CI78" s="211"/>
      <c r="CJ78" s="62"/>
    </row>
    <row r="79" s="61" customFormat="1" ht="16" customHeight="1" spans="1:88">
      <c r="A79" s="269" t="s">
        <v>446</v>
      </c>
      <c r="B79" s="77">
        <f>-C62</f>
        <v>0</v>
      </c>
      <c r="C79" s="77" t="e">
        <f>C78+B79</f>
        <v>#DIV/0!</v>
      </c>
      <c r="D79" s="327"/>
      <c r="E79" s="328" t="s">
        <v>470</v>
      </c>
      <c r="F79" s="236" t="e">
        <f>第4期!F79*(1+初始化表!B27/4)+F78</f>
        <v>#DIV/0!</v>
      </c>
      <c r="G79" s="73"/>
      <c r="H79" s="269" t="s">
        <v>522</v>
      </c>
      <c r="I79" s="77" t="e">
        <f>第4期!BN43</f>
        <v>#DIV/0!</v>
      </c>
      <c r="J79" s="77" t="e">
        <f>第4期!BO43</f>
        <v>#DIV/0!</v>
      </c>
      <c r="K79" s="77" t="e">
        <f>第4期!BP43</f>
        <v>#DIV/0!</v>
      </c>
      <c r="L79" s="77" t="e">
        <f>第4期!BQ43</f>
        <v>#DIV/0!</v>
      </c>
      <c r="M79" s="334" t="e">
        <f>SUM(I79:L79)</f>
        <v>#DIV/0!</v>
      </c>
      <c r="N79" s="117" t="s">
        <v>202</v>
      </c>
      <c r="O79" s="244" t="e">
        <f t="shared" ref="O79" si="96">V24-O69*(O74-IF($J7&gt;0,10,0))</f>
        <v>#DIV/0!</v>
      </c>
      <c r="P79" s="244" t="e">
        <f t="shared" si="95"/>
        <v>#DIV/0!</v>
      </c>
      <c r="Q79" s="244" t="e">
        <f t="shared" si="95"/>
        <v>#DIV/0!</v>
      </c>
      <c r="R79" s="244" t="e">
        <f t="shared" si="95"/>
        <v>#DIV/0!</v>
      </c>
      <c r="S79" s="74"/>
      <c r="T79" s="120"/>
      <c r="U79" s="68" t="s">
        <v>202</v>
      </c>
      <c r="V79" s="248" t="e">
        <f>IF(V73&gt;V43,INT((V73-V43)*初始化表!E12),0)</f>
        <v>#DIV/0!</v>
      </c>
      <c r="W79" s="248" t="e">
        <f>IF(W73&gt;W43,INT((W73-W43)*初始化表!F12),0)</f>
        <v>#DIV/0!</v>
      </c>
      <c r="X79" s="248" t="e">
        <f>IF(X73&gt;X43,INT((X73-X43)*初始化表!G12),0)</f>
        <v>#DIV/0!</v>
      </c>
      <c r="Y79" s="248" t="e">
        <f>IF(Y73&gt;Y43,INT((Y73-Y43)*初始化表!H12),0)</f>
        <v>#DIV/0!</v>
      </c>
      <c r="Z79" s="249"/>
      <c r="AA79" s="254"/>
      <c r="AB79" s="249"/>
      <c r="AC79" s="249"/>
      <c r="AD79" s="249"/>
      <c r="AE79" s="249"/>
      <c r="AF79" s="249"/>
      <c r="AG79" s="249"/>
      <c r="AH79" s="73"/>
      <c r="AI79" s="367"/>
      <c r="AJ79" s="362"/>
      <c r="AK79" s="362"/>
      <c r="AL79" s="362"/>
      <c r="AM79" s="362"/>
      <c r="AN79" s="362"/>
      <c r="AO79" s="362"/>
      <c r="AP79" s="362"/>
      <c r="AQ79" s="362"/>
      <c r="AR79" s="362"/>
      <c r="AS79" s="362"/>
      <c r="AT79" s="362"/>
      <c r="AU79" s="362"/>
      <c r="AV79" s="362"/>
      <c r="AW79" s="362"/>
      <c r="AX79" s="362"/>
      <c r="AY79" s="362"/>
      <c r="AZ79" s="193"/>
      <c r="BA79" s="203"/>
      <c r="BB79" s="203"/>
      <c r="BC79" s="203"/>
      <c r="BD79" s="203"/>
      <c r="BE79" s="203"/>
      <c r="BF79" s="203"/>
      <c r="BG79" s="203"/>
      <c r="BH79" s="203"/>
      <c r="BI79" s="203"/>
      <c r="BJ79" s="203"/>
      <c r="BK79" s="203"/>
      <c r="BL79" s="203"/>
      <c r="BM79" s="203"/>
      <c r="BN79" s="203"/>
      <c r="BO79" s="203"/>
      <c r="BP79" s="203"/>
      <c r="BQ79" s="203"/>
      <c r="BR79" s="211"/>
      <c r="BS79" s="211"/>
      <c r="BT79" s="211"/>
      <c r="BU79" s="211"/>
      <c r="BV79" s="211"/>
      <c r="BW79" s="211"/>
      <c r="BX79" s="211"/>
      <c r="BY79" s="211"/>
      <c r="BZ79" s="211"/>
      <c r="CA79" s="211"/>
      <c r="CB79" s="211"/>
      <c r="CC79" s="211"/>
      <c r="CD79" s="211"/>
      <c r="CE79" s="211"/>
      <c r="CF79" s="211"/>
      <c r="CG79" s="211"/>
      <c r="CH79" s="211"/>
      <c r="CI79" s="211"/>
      <c r="CJ79" s="62"/>
    </row>
    <row r="80" s="61" customFormat="1" ht="16" customHeight="1" spans="1:88">
      <c r="A80" s="269" t="s">
        <v>705</v>
      </c>
      <c r="B80" s="77" t="e">
        <f>C79</f>
        <v>#DIV/0!</v>
      </c>
      <c r="C80" s="77"/>
      <c r="D80" s="327"/>
      <c r="E80" s="328" t="s">
        <v>471</v>
      </c>
      <c r="F80" s="236" t="e">
        <f>IF(F77&lt;0,F77*初始化表!B26+第4期!F80,IF(F77*初始化表!B25&gt;-第4期!F80,0,第4期!F80+F77*初始化表!B25))</f>
        <v>#DIV/0!</v>
      </c>
      <c r="G80" s="73"/>
      <c r="H80" s="269" t="s">
        <v>523</v>
      </c>
      <c r="I80" s="77" t="e">
        <f>第4期!BN44</f>
        <v>#DIV/0!</v>
      </c>
      <c r="J80" s="77" t="e">
        <f>第4期!BO44</f>
        <v>#DIV/0!</v>
      </c>
      <c r="K80" s="77" t="e">
        <f>第4期!BP44</f>
        <v>#DIV/0!</v>
      </c>
      <c r="L80" s="77" t="e">
        <f>第4期!BQ44</f>
        <v>#DIV/0!</v>
      </c>
      <c r="M80" s="334" t="e">
        <f>SUM(I80:L80)</f>
        <v>#DIV/0!</v>
      </c>
      <c r="N80" s="117" t="s">
        <v>206</v>
      </c>
      <c r="O80" s="244" t="e">
        <f>V25-O70*(O75-IF($J8&gt;0,5,0))</f>
        <v>#DIV/0!</v>
      </c>
      <c r="P80" s="244" t="e">
        <f t="shared" ref="P80:R80" si="97">W25-P70*(P75-IF($J8&gt;0,5,0))</f>
        <v>#DIV/0!</v>
      </c>
      <c r="Q80" s="244" t="e">
        <f t="shared" si="97"/>
        <v>#DIV/0!</v>
      </c>
      <c r="R80" s="244" t="e">
        <f t="shared" si="97"/>
        <v>#DIV/0!</v>
      </c>
      <c r="S80" s="74"/>
      <c r="T80" s="120"/>
      <c r="U80" s="68" t="s">
        <v>206</v>
      </c>
      <c r="V80" s="248" t="e">
        <f>IF(V74&gt;V44,INT((V74-V44)*初始化表!E13),0)</f>
        <v>#DIV/0!</v>
      </c>
      <c r="W80" s="248" t="e">
        <f>IF(W74&gt;W44,INT((W74-W44)*初始化表!F13),0)</f>
        <v>#DIV/0!</v>
      </c>
      <c r="X80" s="248" t="e">
        <f>IF(X74&gt;X44,INT((X74-X44)*初始化表!G13),0)</f>
        <v>#DIV/0!</v>
      </c>
      <c r="Y80" s="248" t="e">
        <f>IF(Y74&gt;Y44,INT((Y74-Y44)*初始化表!H13),0)</f>
        <v>#DIV/0!</v>
      </c>
      <c r="Z80" s="249"/>
      <c r="AA80" s="254"/>
      <c r="AB80" s="249"/>
      <c r="AC80" s="249"/>
      <c r="AD80" s="249"/>
      <c r="AE80" s="249"/>
      <c r="AF80" s="249"/>
      <c r="AG80" s="249"/>
      <c r="AH80" s="73"/>
      <c r="AI80" s="367"/>
      <c r="AJ80" s="362"/>
      <c r="AK80" s="362"/>
      <c r="AL80" s="362"/>
      <c r="AM80" s="362"/>
      <c r="AN80" s="362"/>
      <c r="AO80" s="362"/>
      <c r="AP80" s="362"/>
      <c r="AQ80" s="362"/>
      <c r="AR80" s="362"/>
      <c r="AS80" s="362"/>
      <c r="AT80" s="362"/>
      <c r="AU80" s="362"/>
      <c r="AV80" s="362"/>
      <c r="AW80" s="362"/>
      <c r="AX80" s="362"/>
      <c r="AY80" s="362"/>
      <c r="AZ80" s="193"/>
      <c r="BA80" s="203"/>
      <c r="BB80" s="203"/>
      <c r="BC80" s="203"/>
      <c r="BD80" s="203"/>
      <c r="BE80" s="203"/>
      <c r="BF80" s="203"/>
      <c r="BG80" s="203"/>
      <c r="BH80" s="203"/>
      <c r="BI80" s="203"/>
      <c r="BJ80" s="203"/>
      <c r="BK80" s="203"/>
      <c r="BL80" s="203"/>
      <c r="BM80" s="203"/>
      <c r="BN80" s="203"/>
      <c r="BO80" s="203"/>
      <c r="BP80" s="203"/>
      <c r="BQ80" s="203"/>
      <c r="BR80" s="211"/>
      <c r="BS80" s="211"/>
      <c r="BT80" s="211"/>
      <c r="BU80" s="211"/>
      <c r="BV80" s="211"/>
      <c r="BW80" s="211"/>
      <c r="BX80" s="211"/>
      <c r="BY80" s="211"/>
      <c r="BZ80" s="211"/>
      <c r="CA80" s="211"/>
      <c r="CB80" s="211"/>
      <c r="CC80" s="211"/>
      <c r="CD80" s="211"/>
      <c r="CE80" s="211"/>
      <c r="CF80" s="211"/>
      <c r="CG80" s="211"/>
      <c r="CH80" s="211"/>
      <c r="CI80" s="211"/>
      <c r="CJ80" s="62"/>
    </row>
    <row r="81" s="61" customFormat="1" ht="16" customHeight="1" spans="1:88">
      <c r="A81" s="327"/>
      <c r="B81" s="327"/>
      <c r="C81" s="327"/>
      <c r="D81" s="327"/>
      <c r="E81" s="328" t="s">
        <v>264</v>
      </c>
      <c r="F81" s="236" t="e">
        <f>第4期!F81*(1+初始化表!B27/4)+E24</f>
        <v>#DIV/0!</v>
      </c>
      <c r="G81" s="73"/>
      <c r="H81" s="409" t="s">
        <v>524</v>
      </c>
      <c r="I81" s="335" t="e">
        <f>第4期!BN45</f>
        <v>#DIV/0!</v>
      </c>
      <c r="J81" s="335" t="e">
        <f>第4期!BO45</f>
        <v>#DIV/0!</v>
      </c>
      <c r="K81" s="335" t="e">
        <f>第4期!BP45</f>
        <v>#DIV/0!</v>
      </c>
      <c r="L81" s="335" t="e">
        <f>第4期!BQ45</f>
        <v>#DIV/0!</v>
      </c>
      <c r="M81" s="336" t="e">
        <f>SUM(I81:L81)</f>
        <v>#DIV/0!</v>
      </c>
      <c r="N81" s="117" t="s">
        <v>208</v>
      </c>
      <c r="O81" s="244" t="e">
        <f t="shared" ref="O81:R81" si="98">V26-O71*(O76-IF($J9&gt;0,5,0))</f>
        <v>#DIV/0!</v>
      </c>
      <c r="P81" s="244" t="e">
        <f t="shared" si="98"/>
        <v>#DIV/0!</v>
      </c>
      <c r="Q81" s="244" t="e">
        <f t="shared" si="98"/>
        <v>#DIV/0!</v>
      </c>
      <c r="R81" s="244" t="e">
        <f t="shared" si="98"/>
        <v>#DIV/0!</v>
      </c>
      <c r="S81" s="74"/>
      <c r="T81" s="120"/>
      <c r="U81" s="68" t="s">
        <v>208</v>
      </c>
      <c r="V81" s="248" t="e">
        <f>IF(V75&gt;V45,INT((V75-V45)*初始化表!E14),0)</f>
        <v>#DIV/0!</v>
      </c>
      <c r="W81" s="248" t="e">
        <f>IF(W75&gt;W45,INT((W75-W45)*初始化表!F14),0)</f>
        <v>#DIV/0!</v>
      </c>
      <c r="X81" s="248" t="e">
        <f>IF(X75&gt;X45,INT((X75-X45)*初始化表!G14),0)</f>
        <v>#DIV/0!</v>
      </c>
      <c r="Y81" s="248" t="e">
        <f>IF(Y75&gt;Y45,INT((Y75-Y45)*初始化表!H14),0)</f>
        <v>#DIV/0!</v>
      </c>
      <c r="Z81" s="249"/>
      <c r="AA81" s="254"/>
      <c r="AB81" s="249"/>
      <c r="AC81" s="249"/>
      <c r="AD81" s="249"/>
      <c r="AE81" s="249"/>
      <c r="AF81" s="249"/>
      <c r="AG81" s="249"/>
      <c r="AH81" s="73"/>
      <c r="AZ81" s="193"/>
      <c r="BA81" s="203"/>
      <c r="BB81" s="203"/>
      <c r="BC81" s="203"/>
      <c r="BD81" s="203"/>
      <c r="BE81" s="203"/>
      <c r="BF81" s="203"/>
      <c r="BG81" s="203"/>
      <c r="BH81" s="203"/>
      <c r="BI81" s="203"/>
      <c r="BJ81" s="203"/>
      <c r="BK81" s="203"/>
      <c r="BL81" s="203"/>
      <c r="BM81" s="203"/>
      <c r="BN81" s="203"/>
      <c r="BO81" s="203"/>
      <c r="BP81" s="203"/>
      <c r="BQ81" s="203"/>
      <c r="BR81" s="211"/>
      <c r="BS81" s="211"/>
      <c r="BT81" s="211"/>
      <c r="BU81" s="211"/>
      <c r="BV81" s="211"/>
      <c r="BW81" s="211"/>
      <c r="BX81" s="211"/>
      <c r="BY81" s="211"/>
      <c r="BZ81" s="211"/>
      <c r="CA81" s="211"/>
      <c r="CB81" s="211"/>
      <c r="CC81" s="211"/>
      <c r="CD81" s="211"/>
      <c r="CE81" s="211"/>
      <c r="CF81" s="211"/>
      <c r="CG81" s="211"/>
      <c r="CH81" s="211"/>
      <c r="CI81" s="211"/>
      <c r="CJ81" s="62"/>
    </row>
    <row r="82" s="61" customFormat="1" ht="16" customHeight="1" spans="1:88">
      <c r="A82" s="327"/>
      <c r="B82" s="327"/>
      <c r="C82" s="327"/>
      <c r="D82" s="327"/>
      <c r="E82" s="328" t="s">
        <v>268</v>
      </c>
      <c r="F82" s="236" t="e">
        <f>B80</f>
        <v>#DIV/0!</v>
      </c>
      <c r="G82" s="73"/>
      <c r="H82" s="376" t="s">
        <v>724</v>
      </c>
      <c r="I82" s="377"/>
      <c r="J82" s="377"/>
      <c r="K82" s="377"/>
      <c r="L82" s="377"/>
      <c r="M82" s="377"/>
      <c r="N82" s="377"/>
      <c r="O82" s="377"/>
      <c r="P82" s="377"/>
      <c r="Q82" s="377"/>
      <c r="R82" s="377"/>
      <c r="S82" s="74"/>
      <c r="T82" s="120"/>
      <c r="U82" s="74"/>
      <c r="V82" s="74"/>
      <c r="W82" s="74"/>
      <c r="X82" s="74"/>
      <c r="Y82" s="74"/>
      <c r="Z82" s="249"/>
      <c r="AA82" s="254"/>
      <c r="AB82" s="249"/>
      <c r="AC82" s="249"/>
      <c r="AD82" s="249"/>
      <c r="AE82" s="249"/>
      <c r="AF82" s="249"/>
      <c r="AG82" s="249"/>
      <c r="AH82" s="73"/>
      <c r="AI82" s="68" t="s">
        <v>488</v>
      </c>
      <c r="AJ82" s="69"/>
      <c r="AK82" s="69"/>
      <c r="AL82" s="69"/>
      <c r="AM82" s="69"/>
      <c r="AN82" s="69"/>
      <c r="AO82" s="69"/>
      <c r="AP82" s="69"/>
      <c r="AQ82" s="69"/>
      <c r="AR82" s="69"/>
      <c r="AS82" s="69"/>
      <c r="AT82" s="69"/>
      <c r="AU82" s="69"/>
      <c r="AV82" s="69"/>
      <c r="AZ82" s="193"/>
      <c r="BA82" s="203"/>
      <c r="BB82" s="203"/>
      <c r="BC82" s="203"/>
      <c r="BD82" s="203"/>
      <c r="BE82" s="203"/>
      <c r="BF82" s="203"/>
      <c r="BG82" s="203"/>
      <c r="BH82" s="203"/>
      <c r="BI82" s="203"/>
      <c r="BJ82" s="203"/>
      <c r="BK82" s="203"/>
      <c r="BL82" s="203"/>
      <c r="BM82" s="203"/>
      <c r="BN82" s="203"/>
      <c r="BO82" s="203"/>
      <c r="BP82" s="203"/>
      <c r="BQ82" s="203"/>
      <c r="BR82" s="211"/>
      <c r="BS82" s="211"/>
      <c r="BT82" s="211"/>
      <c r="BU82" s="211"/>
      <c r="BV82" s="211"/>
      <c r="BW82" s="211"/>
      <c r="BX82" s="211"/>
      <c r="BY82" s="211"/>
      <c r="BZ82" s="211"/>
      <c r="CA82" s="211"/>
      <c r="CB82" s="211"/>
      <c r="CC82" s="211"/>
      <c r="CD82" s="211"/>
      <c r="CE82" s="211"/>
      <c r="CF82" s="211"/>
      <c r="CG82" s="211"/>
      <c r="CH82" s="211"/>
      <c r="CI82" s="211"/>
      <c r="CJ82" s="62"/>
    </row>
    <row r="83" s="61" customFormat="1" ht="16" customHeight="1" spans="1:88">
      <c r="A83" s="327"/>
      <c r="B83" s="327"/>
      <c r="C83" s="327"/>
      <c r="D83" s="327"/>
      <c r="E83" s="328" t="s">
        <v>270</v>
      </c>
      <c r="F83" s="236" t="e">
        <f>IF(初始化表!B1=1,F77/(L17+K18),F77/L17)</f>
        <v>#DIV/0!</v>
      </c>
      <c r="G83" s="73"/>
      <c r="H83" s="377"/>
      <c r="I83" s="377"/>
      <c r="J83" s="377"/>
      <c r="K83" s="377"/>
      <c r="L83" s="377"/>
      <c r="M83" s="377"/>
      <c r="N83" s="377"/>
      <c r="O83" s="377"/>
      <c r="P83" s="377"/>
      <c r="Q83" s="377"/>
      <c r="R83" s="377"/>
      <c r="S83" s="74"/>
      <c r="T83" s="120"/>
      <c r="U83" s="269" t="s">
        <v>687</v>
      </c>
      <c r="V83" s="269" t="s">
        <v>513</v>
      </c>
      <c r="W83" s="269" t="s">
        <v>514</v>
      </c>
      <c r="X83" s="269" t="s">
        <v>515</v>
      </c>
      <c r="Y83" s="269" t="s">
        <v>516</v>
      </c>
      <c r="Z83" s="249"/>
      <c r="AA83" s="254"/>
      <c r="AB83" s="249"/>
      <c r="AC83" s="249"/>
      <c r="AD83" s="249"/>
      <c r="AE83" s="249"/>
      <c r="AF83" s="249"/>
      <c r="AG83" s="249"/>
      <c r="AH83" s="73"/>
      <c r="AI83" s="163" t="s">
        <v>37</v>
      </c>
      <c r="AJ83" s="69" t="s">
        <v>343</v>
      </c>
      <c r="AK83" s="69" t="s">
        <v>344</v>
      </c>
      <c r="AL83" s="69" t="s">
        <v>345</v>
      </c>
      <c r="AM83" s="69" t="s">
        <v>346</v>
      </c>
      <c r="AN83" s="69" t="s">
        <v>310</v>
      </c>
      <c r="AO83" s="69" t="s">
        <v>313</v>
      </c>
      <c r="AP83" s="69" t="s">
        <v>347</v>
      </c>
      <c r="AQ83" s="69" t="s">
        <v>264</v>
      </c>
      <c r="AR83" s="69" t="s">
        <v>268</v>
      </c>
      <c r="AS83" s="69" t="s">
        <v>270</v>
      </c>
      <c r="AT83" s="69" t="s">
        <v>272</v>
      </c>
      <c r="AU83" s="69" t="str">
        <f>IF(初始化表!$B1=1,"综合评分","")</f>
        <v/>
      </c>
      <c r="AV83" s="69" t="str">
        <f>IF(初始化表!$B1=1,"总评名次","")</f>
        <v/>
      </c>
      <c r="AZ83" s="193"/>
      <c r="BA83" s="203"/>
      <c r="BB83" s="203"/>
      <c r="BC83" s="203"/>
      <c r="BD83" s="203"/>
      <c r="BE83" s="203"/>
      <c r="BF83" s="203"/>
      <c r="BG83" s="203"/>
      <c r="BH83" s="203"/>
      <c r="BI83" s="203"/>
      <c r="BJ83" s="203"/>
      <c r="BK83" s="203"/>
      <c r="BL83" s="203"/>
      <c r="BM83" s="203"/>
      <c r="BN83" s="203"/>
      <c r="BO83" s="203"/>
      <c r="BP83" s="203"/>
      <c r="BQ83" s="203"/>
      <c r="BR83" s="211"/>
      <c r="BS83" s="211"/>
      <c r="BT83" s="211"/>
      <c r="BU83" s="211"/>
      <c r="BV83" s="211"/>
      <c r="BW83" s="211"/>
      <c r="BX83" s="211"/>
      <c r="BY83" s="211"/>
      <c r="BZ83" s="211"/>
      <c r="CA83" s="211"/>
      <c r="CB83" s="211"/>
      <c r="CC83" s="211"/>
      <c r="CD83" s="211"/>
      <c r="CE83" s="211"/>
      <c r="CF83" s="211"/>
      <c r="CG83" s="211"/>
      <c r="CH83" s="211"/>
      <c r="CI83" s="211"/>
      <c r="CJ83" s="62"/>
    </row>
    <row r="84" s="61" customFormat="1" ht="16" customHeight="1" spans="1:88">
      <c r="A84" s="327"/>
      <c r="B84" s="327"/>
      <c r="C84" s="327"/>
      <c r="D84" s="327"/>
      <c r="E84" s="328" t="s">
        <v>707</v>
      </c>
      <c r="F84" s="239" t="e">
        <f>F77/(F82+F75+C37)</f>
        <v>#DIV/0!</v>
      </c>
      <c r="G84" s="73"/>
      <c r="H84" s="269" t="s">
        <v>548</v>
      </c>
      <c r="I84" s="269" t="s">
        <v>513</v>
      </c>
      <c r="J84" s="269" t="s">
        <v>514</v>
      </c>
      <c r="K84" s="269" t="s">
        <v>515</v>
      </c>
      <c r="L84" s="269" t="s">
        <v>516</v>
      </c>
      <c r="M84" s="269" t="s">
        <v>549</v>
      </c>
      <c r="N84" s="269" t="s">
        <v>561</v>
      </c>
      <c r="O84" s="269" t="s">
        <v>513</v>
      </c>
      <c r="P84" s="269" t="s">
        <v>514</v>
      </c>
      <c r="Q84" s="269" t="s">
        <v>515</v>
      </c>
      <c r="R84" s="269" t="s">
        <v>516</v>
      </c>
      <c r="S84" s="74"/>
      <c r="T84" s="120"/>
      <c r="U84" s="269" t="s">
        <v>521</v>
      </c>
      <c r="V84" s="251">
        <f>INT(B12*(1-$O$43)+0.5)</f>
        <v>0</v>
      </c>
      <c r="W84" s="251">
        <f>INT(C12*(1-$O$43)+0.5)</f>
        <v>0</v>
      </c>
      <c r="X84" s="251">
        <f>INT(D12*(1-$O$43)+0.5)</f>
        <v>0</v>
      </c>
      <c r="Y84" s="251">
        <f>INT(E12*(1-$O$43)+0.5)</f>
        <v>0</v>
      </c>
      <c r="Z84" s="249"/>
      <c r="AA84" s="254"/>
      <c r="AB84" s="249"/>
      <c r="AC84" s="249"/>
      <c r="AD84" s="249"/>
      <c r="AE84" s="249"/>
      <c r="AF84" s="249"/>
      <c r="AG84" s="249"/>
      <c r="AH84" s="73"/>
      <c r="AI84" s="367"/>
      <c r="AJ84" s="360"/>
      <c r="AK84" s="360"/>
      <c r="AL84" s="360"/>
      <c r="AM84" s="360"/>
      <c r="AN84" s="360"/>
      <c r="AO84" s="360"/>
      <c r="AP84" s="360"/>
      <c r="AQ84" s="360"/>
      <c r="AR84" s="360"/>
      <c r="AS84" s="360"/>
      <c r="AT84" s="360"/>
      <c r="AU84" s="261"/>
      <c r="AV84" s="261"/>
      <c r="AZ84" s="193"/>
      <c r="BA84" s="203"/>
      <c r="BB84" s="203"/>
      <c r="BC84" s="203"/>
      <c r="BD84" s="203"/>
      <c r="BE84" s="203"/>
      <c r="BF84" s="203"/>
      <c r="BG84" s="203"/>
      <c r="BH84" s="203"/>
      <c r="BI84" s="203"/>
      <c r="BJ84" s="203"/>
      <c r="BK84" s="203"/>
      <c r="BL84" s="203"/>
      <c r="BM84" s="203"/>
      <c r="BN84" s="203"/>
      <c r="BO84" s="203"/>
      <c r="BP84" s="203"/>
      <c r="BQ84" s="203"/>
      <c r="BR84" s="211"/>
      <c r="BS84" s="211"/>
      <c r="BT84" s="211"/>
      <c r="BU84" s="211"/>
      <c r="BV84" s="211"/>
      <c r="BW84" s="211"/>
      <c r="BX84" s="211"/>
      <c r="BY84" s="211"/>
      <c r="BZ84" s="211"/>
      <c r="CA84" s="211"/>
      <c r="CB84" s="211"/>
      <c r="CC84" s="211"/>
      <c r="CD84" s="211"/>
      <c r="CE84" s="211"/>
      <c r="CF84" s="211"/>
      <c r="CG84" s="211"/>
      <c r="CH84" s="211"/>
      <c r="CI84" s="211"/>
      <c r="CJ84" s="62"/>
    </row>
    <row r="85" s="61" customFormat="1" ht="16" customHeight="1" spans="1:88">
      <c r="A85" s="74"/>
      <c r="B85" s="74"/>
      <c r="C85" s="74"/>
      <c r="D85" s="74"/>
      <c r="E85" s="74"/>
      <c r="F85" s="74"/>
      <c r="G85" s="73"/>
      <c r="H85" s="269" t="s">
        <v>521</v>
      </c>
      <c r="I85" s="115">
        <f>V17</f>
        <v>0</v>
      </c>
      <c r="J85" s="115">
        <f t="shared" ref="J85:L88" si="99">W17</f>
        <v>0</v>
      </c>
      <c r="K85" s="115">
        <f t="shared" si="99"/>
        <v>0</v>
      </c>
      <c r="L85" s="115">
        <f t="shared" si="99"/>
        <v>0</v>
      </c>
      <c r="M85" s="115">
        <f>SUM(I85:L85)</f>
        <v>0</v>
      </c>
      <c r="N85" s="269" t="s">
        <v>521</v>
      </c>
      <c r="O85" s="115" t="e">
        <f>V23</f>
        <v>#DIV/0!</v>
      </c>
      <c r="P85" s="115" t="e">
        <f t="shared" ref="P85:R88" si="100">W23</f>
        <v>#DIV/0!</v>
      </c>
      <c r="Q85" s="115" t="e">
        <f t="shared" si="100"/>
        <v>#DIV/0!</v>
      </c>
      <c r="R85" s="115" t="e">
        <f t="shared" si="100"/>
        <v>#DIV/0!</v>
      </c>
      <c r="S85" s="74"/>
      <c r="T85" s="120"/>
      <c r="U85" s="269" t="s">
        <v>522</v>
      </c>
      <c r="V85" s="251">
        <f>INT(B13*(1-$P$43)+0.5)</f>
        <v>0</v>
      </c>
      <c r="W85" s="251">
        <f>INT(C13*(1-$P$43)+0.5)</f>
        <v>0</v>
      </c>
      <c r="X85" s="251">
        <f>INT(D13*(1-$P$43)+0.5)</f>
        <v>0</v>
      </c>
      <c r="Y85" s="251">
        <f>INT(E13*(1-$P$43)+0.5)</f>
        <v>0</v>
      </c>
      <c r="Z85" s="74"/>
      <c r="AA85" s="73"/>
      <c r="AB85" s="74"/>
      <c r="AC85" s="74"/>
      <c r="AD85" s="74"/>
      <c r="AE85" s="74"/>
      <c r="AF85" s="74"/>
      <c r="AG85" s="74"/>
      <c r="AH85" s="73"/>
      <c r="AI85" s="367"/>
      <c r="AJ85" s="360"/>
      <c r="AK85" s="360"/>
      <c r="AL85" s="360"/>
      <c r="AM85" s="360"/>
      <c r="AN85" s="360"/>
      <c r="AO85" s="360"/>
      <c r="AP85" s="360"/>
      <c r="AQ85" s="360"/>
      <c r="AR85" s="360"/>
      <c r="AS85" s="360"/>
      <c r="AT85" s="360"/>
      <c r="AU85" s="261"/>
      <c r="AV85" s="261"/>
      <c r="AZ85" s="193"/>
      <c r="BA85" s="203"/>
      <c r="BB85" s="203"/>
      <c r="BC85" s="203"/>
      <c r="BD85" s="203"/>
      <c r="BE85" s="203"/>
      <c r="BF85" s="203"/>
      <c r="BG85" s="203"/>
      <c r="BH85" s="203"/>
      <c r="BI85" s="203"/>
      <c r="BJ85" s="203"/>
      <c r="BK85" s="203"/>
      <c r="BL85" s="203"/>
      <c r="BM85" s="203"/>
      <c r="BN85" s="203"/>
      <c r="BO85" s="203"/>
      <c r="BP85" s="203"/>
      <c r="BQ85" s="203"/>
      <c r="BR85" s="211"/>
      <c r="BS85" s="211"/>
      <c r="BT85" s="211"/>
      <c r="BU85" s="211"/>
      <c r="BV85" s="211"/>
      <c r="BW85" s="211"/>
      <c r="BX85" s="211"/>
      <c r="BY85" s="211"/>
      <c r="BZ85" s="211"/>
      <c r="CA85" s="211"/>
      <c r="CB85" s="211"/>
      <c r="CC85" s="211"/>
      <c r="CD85" s="211"/>
      <c r="CE85" s="211"/>
      <c r="CF85" s="211"/>
      <c r="CG85" s="211"/>
      <c r="CH85" s="211"/>
      <c r="CI85" s="211"/>
      <c r="CJ85" s="62"/>
    </row>
    <row r="86" s="61" customFormat="1" ht="16" customHeight="1" spans="1:88">
      <c r="A86" s="74"/>
      <c r="B86" s="74"/>
      <c r="C86" s="74"/>
      <c r="D86" s="74"/>
      <c r="E86" s="74"/>
      <c r="F86" s="74"/>
      <c r="G86" s="73"/>
      <c r="H86" s="269" t="s">
        <v>522</v>
      </c>
      <c r="I86" s="115">
        <f t="shared" ref="I86:I88" si="101">V18</f>
        <v>0</v>
      </c>
      <c r="J86" s="115">
        <f t="shared" si="99"/>
        <v>0</v>
      </c>
      <c r="K86" s="115">
        <f t="shared" si="99"/>
        <v>0</v>
      </c>
      <c r="L86" s="115">
        <f t="shared" si="99"/>
        <v>0</v>
      </c>
      <c r="M86" s="115">
        <f t="shared" ref="M86:M88" si="102">SUM(I86:L86)</f>
        <v>0</v>
      </c>
      <c r="N86" s="269" t="s">
        <v>522</v>
      </c>
      <c r="O86" s="115" t="e">
        <f t="shared" ref="O86:O88" si="103">V24</f>
        <v>#DIV/0!</v>
      </c>
      <c r="P86" s="115" t="e">
        <f t="shared" si="100"/>
        <v>#DIV/0!</v>
      </c>
      <c r="Q86" s="115" t="e">
        <f t="shared" si="100"/>
        <v>#DIV/0!</v>
      </c>
      <c r="R86" s="115" t="e">
        <f t="shared" si="100"/>
        <v>#DIV/0!</v>
      </c>
      <c r="S86" s="74"/>
      <c r="T86" s="120"/>
      <c r="U86" s="269" t="s">
        <v>523</v>
      </c>
      <c r="V86" s="251">
        <f>INT(B14*(1-$Q$43)+0.5)</f>
        <v>0</v>
      </c>
      <c r="W86" s="251">
        <f>INT(C14*(1-$Q$43)+0.5)</f>
        <v>0</v>
      </c>
      <c r="X86" s="251">
        <f>INT(D14*(1-$Q$43)+0.5)</f>
        <v>0</v>
      </c>
      <c r="Y86" s="251">
        <f>INT(E14*(1-$Q$43)+0.5)</f>
        <v>0</v>
      </c>
      <c r="Z86" s="74"/>
      <c r="AA86" s="73"/>
      <c r="AB86" s="74"/>
      <c r="AC86" s="74"/>
      <c r="AD86" s="74"/>
      <c r="AE86" s="74"/>
      <c r="AF86" s="74"/>
      <c r="AG86" s="74"/>
      <c r="AH86" s="73"/>
      <c r="AI86" s="367"/>
      <c r="AJ86" s="360"/>
      <c r="AK86" s="360"/>
      <c r="AL86" s="360"/>
      <c r="AM86" s="360"/>
      <c r="AN86" s="360"/>
      <c r="AO86" s="360"/>
      <c r="AP86" s="360"/>
      <c r="AQ86" s="360"/>
      <c r="AR86" s="360"/>
      <c r="AS86" s="360"/>
      <c r="AT86" s="360"/>
      <c r="AU86" s="261"/>
      <c r="AV86" s="261"/>
      <c r="AZ86" s="193"/>
      <c r="BA86" s="203"/>
      <c r="BB86" s="203"/>
      <c r="BC86" s="203"/>
      <c r="BD86" s="203"/>
      <c r="BE86" s="203"/>
      <c r="BF86" s="203"/>
      <c r="BG86" s="203"/>
      <c r="BH86" s="203"/>
      <c r="BI86" s="203"/>
      <c r="BJ86" s="203"/>
      <c r="BK86" s="203"/>
      <c r="BL86" s="203"/>
      <c r="BM86" s="203"/>
      <c r="BN86" s="203"/>
      <c r="BO86" s="203"/>
      <c r="BP86" s="203"/>
      <c r="BQ86" s="203"/>
      <c r="BR86" s="211"/>
      <c r="BS86" s="211"/>
      <c r="BT86" s="211"/>
      <c r="BU86" s="211"/>
      <c r="BV86" s="211"/>
      <c r="BW86" s="211"/>
      <c r="BX86" s="211"/>
      <c r="BY86" s="211"/>
      <c r="BZ86" s="211"/>
      <c r="CA86" s="211"/>
      <c r="CB86" s="211"/>
      <c r="CC86" s="211"/>
      <c r="CD86" s="211"/>
      <c r="CE86" s="211"/>
      <c r="CF86" s="211"/>
      <c r="CG86" s="211"/>
      <c r="CH86" s="211"/>
      <c r="CI86" s="211"/>
      <c r="CJ86" s="62"/>
    </row>
    <row r="87" s="61" customFormat="1" ht="16" customHeight="1" spans="1:88">
      <c r="A87" s="74"/>
      <c r="B87" s="74"/>
      <c r="C87" s="74"/>
      <c r="D87" s="74"/>
      <c r="E87" s="74"/>
      <c r="F87" s="74"/>
      <c r="G87" s="73"/>
      <c r="H87" s="269" t="s">
        <v>523</v>
      </c>
      <c r="I87" s="115">
        <f t="shared" si="101"/>
        <v>0</v>
      </c>
      <c r="J87" s="115">
        <f t="shared" si="99"/>
        <v>0</v>
      </c>
      <c r="K87" s="115">
        <f t="shared" si="99"/>
        <v>0</v>
      </c>
      <c r="L87" s="115">
        <f t="shared" si="99"/>
        <v>0</v>
      </c>
      <c r="M87" s="115">
        <f t="shared" si="102"/>
        <v>0</v>
      </c>
      <c r="N87" s="269" t="s">
        <v>523</v>
      </c>
      <c r="O87" s="115" t="e">
        <f t="shared" si="103"/>
        <v>#DIV/0!</v>
      </c>
      <c r="P87" s="115" t="e">
        <f t="shared" si="100"/>
        <v>#DIV/0!</v>
      </c>
      <c r="Q87" s="115" t="e">
        <f t="shared" si="100"/>
        <v>#DIV/0!</v>
      </c>
      <c r="R87" s="115" t="e">
        <f t="shared" si="100"/>
        <v>#DIV/0!</v>
      </c>
      <c r="S87" s="74"/>
      <c r="T87" s="120"/>
      <c r="U87" s="269" t="s">
        <v>524</v>
      </c>
      <c r="V87" s="251">
        <f>INT(B15*(1-$R$43)+0.5)</f>
        <v>0</v>
      </c>
      <c r="W87" s="251">
        <f>INT(C15*(1-$R$43)+0.5)</f>
        <v>0</v>
      </c>
      <c r="X87" s="251">
        <f>INT(D15*(1-$R$43)+0.5)</f>
        <v>0</v>
      </c>
      <c r="Y87" s="251">
        <f>INT(E15*(1-$R$43)+0.5)</f>
        <v>0</v>
      </c>
      <c r="Z87" s="74"/>
      <c r="AA87" s="73"/>
      <c r="AB87" s="74"/>
      <c r="AC87" s="74"/>
      <c r="AD87" s="74"/>
      <c r="AE87" s="74"/>
      <c r="AF87" s="74"/>
      <c r="AG87" s="74"/>
      <c r="AH87" s="73"/>
      <c r="AI87" s="367"/>
      <c r="AJ87" s="360"/>
      <c r="AK87" s="360"/>
      <c r="AL87" s="360"/>
      <c r="AM87" s="360"/>
      <c r="AN87" s="360"/>
      <c r="AO87" s="360"/>
      <c r="AP87" s="360"/>
      <c r="AQ87" s="360"/>
      <c r="AR87" s="360"/>
      <c r="AS87" s="360"/>
      <c r="AT87" s="360"/>
      <c r="AU87" s="261"/>
      <c r="AV87" s="261"/>
      <c r="AZ87" s="193"/>
      <c r="BA87" s="203"/>
      <c r="BB87" s="203"/>
      <c r="BC87" s="203"/>
      <c r="BD87" s="203"/>
      <c r="BE87" s="203"/>
      <c r="BF87" s="203"/>
      <c r="BG87" s="203"/>
      <c r="BH87" s="203"/>
      <c r="BI87" s="203"/>
      <c r="BJ87" s="203"/>
      <c r="BK87" s="203"/>
      <c r="BL87" s="203"/>
      <c r="BM87" s="203"/>
      <c r="BN87" s="203"/>
      <c r="BO87" s="203"/>
      <c r="BP87" s="203"/>
      <c r="BQ87" s="203"/>
      <c r="BR87" s="211"/>
      <c r="BS87" s="211"/>
      <c r="BT87" s="211"/>
      <c r="BU87" s="211"/>
      <c r="BV87" s="211"/>
      <c r="BW87" s="211"/>
      <c r="BX87" s="211"/>
      <c r="BY87" s="211"/>
      <c r="BZ87" s="211"/>
      <c r="CA87" s="211"/>
      <c r="CB87" s="211"/>
      <c r="CC87" s="211"/>
      <c r="CD87" s="211"/>
      <c r="CE87" s="211"/>
      <c r="CF87" s="211"/>
      <c r="CG87" s="211"/>
      <c r="CH87" s="211"/>
      <c r="CI87" s="211"/>
      <c r="CJ87" s="62"/>
    </row>
    <row r="88" s="61" customFormat="1" ht="16" customHeight="1" spans="1:88">
      <c r="A88" s="74"/>
      <c r="B88" s="74"/>
      <c r="C88" s="74"/>
      <c r="D88" s="74"/>
      <c r="E88" s="74"/>
      <c r="F88" s="74"/>
      <c r="G88" s="73"/>
      <c r="H88" s="269" t="s">
        <v>524</v>
      </c>
      <c r="I88" s="115">
        <f t="shared" si="101"/>
        <v>0</v>
      </c>
      <c r="J88" s="115">
        <f t="shared" si="99"/>
        <v>0</v>
      </c>
      <c r="K88" s="115">
        <f t="shared" si="99"/>
        <v>0</v>
      </c>
      <c r="L88" s="115">
        <f t="shared" si="99"/>
        <v>0</v>
      </c>
      <c r="M88" s="115">
        <f t="shared" si="102"/>
        <v>0</v>
      </c>
      <c r="N88" s="269" t="s">
        <v>524</v>
      </c>
      <c r="O88" s="115" t="e">
        <f t="shared" si="103"/>
        <v>#DIV/0!</v>
      </c>
      <c r="P88" s="115" t="e">
        <f t="shared" si="100"/>
        <v>#DIV/0!</v>
      </c>
      <c r="Q88" s="115" t="e">
        <f t="shared" si="100"/>
        <v>#DIV/0!</v>
      </c>
      <c r="R88" s="115" t="e">
        <f t="shared" si="100"/>
        <v>#DIV/0!</v>
      </c>
      <c r="S88" s="74"/>
      <c r="T88" s="120"/>
      <c r="U88" s="74"/>
      <c r="V88" s="74"/>
      <c r="W88" s="74"/>
      <c r="X88" s="74"/>
      <c r="Y88" s="74"/>
      <c r="Z88" s="74"/>
      <c r="AA88" s="73"/>
      <c r="AB88" s="74"/>
      <c r="AC88" s="74"/>
      <c r="AD88" s="74"/>
      <c r="AE88" s="74"/>
      <c r="AF88" s="74"/>
      <c r="AG88" s="74"/>
      <c r="AH88" s="73"/>
      <c r="AI88" s="367"/>
      <c r="AJ88" s="360"/>
      <c r="AK88" s="360"/>
      <c r="AL88" s="360"/>
      <c r="AM88" s="360"/>
      <c r="AN88" s="360"/>
      <c r="AO88" s="360"/>
      <c r="AP88" s="360"/>
      <c r="AQ88" s="360"/>
      <c r="AR88" s="360"/>
      <c r="AS88" s="360"/>
      <c r="AT88" s="360"/>
      <c r="AU88" s="261"/>
      <c r="AV88" s="261"/>
      <c r="AZ88" s="193"/>
      <c r="BA88" s="203"/>
      <c r="BB88" s="203"/>
      <c r="BC88" s="203"/>
      <c r="BD88" s="203"/>
      <c r="BE88" s="203"/>
      <c r="BF88" s="203"/>
      <c r="BG88" s="203"/>
      <c r="BH88" s="203"/>
      <c r="BI88" s="203"/>
      <c r="BJ88" s="203"/>
      <c r="BK88" s="203"/>
      <c r="BL88" s="203"/>
      <c r="BM88" s="203"/>
      <c r="BN88" s="203"/>
      <c r="BO88" s="203"/>
      <c r="BP88" s="203"/>
      <c r="BQ88" s="203"/>
      <c r="BR88" s="211"/>
      <c r="BS88" s="211"/>
      <c r="BT88" s="211"/>
      <c r="BU88" s="211"/>
      <c r="BV88" s="211"/>
      <c r="BW88" s="211"/>
      <c r="BX88" s="211"/>
      <c r="BY88" s="211"/>
      <c r="BZ88" s="211"/>
      <c r="CA88" s="211"/>
      <c r="CB88" s="211"/>
      <c r="CC88" s="211"/>
      <c r="CD88" s="211"/>
      <c r="CE88" s="211"/>
      <c r="CF88" s="211"/>
      <c r="CG88" s="211"/>
      <c r="CH88" s="211"/>
      <c r="CI88" s="211"/>
      <c r="CJ88" s="62"/>
    </row>
    <row r="89" s="61" customFormat="1" ht="16" customHeight="1" spans="1:88">
      <c r="A89" s="74"/>
      <c r="B89" s="74"/>
      <c r="C89" s="74"/>
      <c r="D89" s="74"/>
      <c r="E89" s="74"/>
      <c r="F89" s="74"/>
      <c r="G89" s="73"/>
      <c r="H89" s="90"/>
      <c r="I89" s="90"/>
      <c r="J89" s="90"/>
      <c r="K89" s="90"/>
      <c r="L89" s="90"/>
      <c r="M89" s="338"/>
      <c r="N89" s="90"/>
      <c r="O89" s="90"/>
      <c r="P89" s="90"/>
      <c r="Q89" s="90"/>
      <c r="R89" s="90"/>
      <c r="S89" s="74"/>
      <c r="T89" s="120"/>
      <c r="U89" s="74"/>
      <c r="V89" s="74"/>
      <c r="W89" s="74"/>
      <c r="X89" s="74"/>
      <c r="Y89" s="74"/>
      <c r="Z89" s="74"/>
      <c r="AA89" s="73"/>
      <c r="AB89" s="74"/>
      <c r="AC89" s="74"/>
      <c r="AD89" s="74"/>
      <c r="AE89" s="74"/>
      <c r="AF89" s="74"/>
      <c r="AG89" s="74"/>
      <c r="AH89" s="73"/>
      <c r="AI89" s="367"/>
      <c r="AJ89" s="360"/>
      <c r="AK89" s="360"/>
      <c r="AL89" s="360"/>
      <c r="AM89" s="360"/>
      <c r="AN89" s="360"/>
      <c r="AO89" s="360"/>
      <c r="AP89" s="360"/>
      <c r="AQ89" s="360"/>
      <c r="AR89" s="360"/>
      <c r="AS89" s="360"/>
      <c r="AT89" s="360"/>
      <c r="AU89" s="261"/>
      <c r="AV89" s="261"/>
      <c r="AZ89" s="193"/>
      <c r="BA89" s="203"/>
      <c r="BB89" s="203"/>
      <c r="BC89" s="203"/>
      <c r="BD89" s="203"/>
      <c r="BE89" s="203"/>
      <c r="BF89" s="203"/>
      <c r="BG89" s="203"/>
      <c r="BH89" s="203"/>
      <c r="BI89" s="203"/>
      <c r="BJ89" s="203"/>
      <c r="BK89" s="203"/>
      <c r="BL89" s="203"/>
      <c r="BM89" s="203"/>
      <c r="BN89" s="203"/>
      <c r="BO89" s="203"/>
      <c r="BP89" s="203"/>
      <c r="BQ89" s="203"/>
      <c r="BR89" s="211"/>
      <c r="BS89" s="211"/>
      <c r="BT89" s="211"/>
      <c r="BU89" s="211"/>
      <c r="BV89" s="211"/>
      <c r="BW89" s="211"/>
      <c r="BX89" s="211"/>
      <c r="BY89" s="211"/>
      <c r="BZ89" s="211"/>
      <c r="CA89" s="211"/>
      <c r="CB89" s="211"/>
      <c r="CC89" s="211"/>
      <c r="CD89" s="211"/>
      <c r="CE89" s="211"/>
      <c r="CF89" s="211"/>
      <c r="CG89" s="211"/>
      <c r="CH89" s="211"/>
      <c r="CI89" s="211"/>
      <c r="CJ89" s="62"/>
    </row>
    <row r="90" s="61" customFormat="1" ht="16" customHeight="1" spans="1:88">
      <c r="A90" s="74"/>
      <c r="B90" s="74"/>
      <c r="C90" s="74"/>
      <c r="D90" s="74"/>
      <c r="E90" s="74"/>
      <c r="F90" s="74"/>
      <c r="G90" s="73"/>
      <c r="H90" s="269" t="s">
        <v>731</v>
      </c>
      <c r="I90" s="339" t="s">
        <v>513</v>
      </c>
      <c r="J90" s="339" t="s">
        <v>514</v>
      </c>
      <c r="K90" s="339" t="s">
        <v>515</v>
      </c>
      <c r="L90" s="339" t="s">
        <v>516</v>
      </c>
      <c r="M90" s="340" t="s">
        <v>748</v>
      </c>
      <c r="N90" s="151" t="s">
        <v>562</v>
      </c>
      <c r="O90" s="151" t="s">
        <v>459</v>
      </c>
      <c r="P90" s="151" t="s">
        <v>460</v>
      </c>
      <c r="Q90" s="151" t="s">
        <v>461</v>
      </c>
      <c r="R90" s="151" t="s">
        <v>462</v>
      </c>
      <c r="S90" s="74"/>
      <c r="T90" s="120"/>
      <c r="U90" s="74"/>
      <c r="V90" s="74"/>
      <c r="W90" s="74"/>
      <c r="X90" s="74"/>
      <c r="Y90" s="74"/>
      <c r="Z90" s="74"/>
      <c r="AA90" s="73"/>
      <c r="AB90" s="74"/>
      <c r="AC90" s="74"/>
      <c r="AD90" s="74"/>
      <c r="AE90" s="74"/>
      <c r="AF90" s="74"/>
      <c r="AG90" s="74"/>
      <c r="AH90" s="73"/>
      <c r="AI90" s="367"/>
      <c r="AJ90" s="360"/>
      <c r="AK90" s="360"/>
      <c r="AL90" s="360"/>
      <c r="AM90" s="360"/>
      <c r="AN90" s="360"/>
      <c r="AO90" s="360"/>
      <c r="AP90" s="360"/>
      <c r="AQ90" s="360"/>
      <c r="AR90" s="360"/>
      <c r="AS90" s="360"/>
      <c r="AT90" s="360"/>
      <c r="AU90" s="261"/>
      <c r="AV90" s="261"/>
      <c r="AZ90" s="193"/>
      <c r="BA90" s="203"/>
      <c r="BB90" s="203"/>
      <c r="BC90" s="203"/>
      <c r="BD90" s="203"/>
      <c r="BE90" s="203"/>
      <c r="BF90" s="203"/>
      <c r="BG90" s="203"/>
      <c r="BH90" s="203"/>
      <c r="BI90" s="203"/>
      <c r="BJ90" s="203"/>
      <c r="BK90" s="203"/>
      <c r="BL90" s="203"/>
      <c r="BM90" s="203"/>
      <c r="BN90" s="203"/>
      <c r="BO90" s="203"/>
      <c r="BP90" s="203"/>
      <c r="BQ90" s="203"/>
      <c r="BR90" s="211"/>
      <c r="BS90" s="211"/>
      <c r="BT90" s="211"/>
      <c r="BU90" s="211"/>
      <c r="BV90" s="211"/>
      <c r="BW90" s="211"/>
      <c r="BX90" s="211"/>
      <c r="BY90" s="211"/>
      <c r="BZ90" s="211"/>
      <c r="CA90" s="211"/>
      <c r="CB90" s="211"/>
      <c r="CC90" s="211"/>
      <c r="CD90" s="211"/>
      <c r="CE90" s="211"/>
      <c r="CF90" s="211"/>
      <c r="CG90" s="211"/>
      <c r="CH90" s="211"/>
      <c r="CI90" s="211"/>
      <c r="CJ90" s="62"/>
    </row>
    <row r="91" s="61" customFormat="1" ht="16" customHeight="1" spans="1:88">
      <c r="A91" s="74"/>
      <c r="B91" s="74"/>
      <c r="C91" s="74"/>
      <c r="D91" s="74"/>
      <c r="E91" s="74"/>
      <c r="F91" s="74"/>
      <c r="G91" s="73"/>
      <c r="H91" s="269" t="s">
        <v>521</v>
      </c>
      <c r="I91" s="146">
        <f>V54</f>
        <v>0</v>
      </c>
      <c r="J91" s="146">
        <f t="shared" ref="J91:L94" si="104">W54</f>
        <v>0</v>
      </c>
      <c r="K91" s="146">
        <f t="shared" si="104"/>
        <v>0</v>
      </c>
      <c r="L91" s="146">
        <f t="shared" si="104"/>
        <v>0</v>
      </c>
      <c r="M91" s="246" t="str">
        <f>IF((IF(I91&lt;1.1,1,0)+IF(J91&lt;1.1,1,0)+IF(K91&lt;1.1,1,0)+IF(L91&lt;1.1,1,0))&gt;=1,"市场异常","市场正常")</f>
        <v>市场异常</v>
      </c>
      <c r="N91" s="151" t="s">
        <v>464</v>
      </c>
      <c r="O91" s="157" t="e">
        <f>IF(O20="","",AC23)</f>
        <v>#DIV/0!</v>
      </c>
      <c r="P91" s="157" t="e">
        <f t="shared" ref="P91:R94" si="105">IF(P20="","",AD23)</f>
        <v>#DIV/0!</v>
      </c>
      <c r="Q91" s="157" t="e">
        <f t="shared" si="105"/>
        <v>#DIV/0!</v>
      </c>
      <c r="R91" s="157" t="e">
        <f t="shared" si="105"/>
        <v>#DIV/0!</v>
      </c>
      <c r="S91" s="74"/>
      <c r="T91" s="120"/>
      <c r="U91" s="74"/>
      <c r="V91" s="74"/>
      <c r="W91" s="74"/>
      <c r="X91" s="74"/>
      <c r="Y91" s="74"/>
      <c r="Z91" s="74"/>
      <c r="AA91" s="73"/>
      <c r="AB91" s="74"/>
      <c r="AC91" s="74"/>
      <c r="AD91" s="74"/>
      <c r="AE91" s="74"/>
      <c r="AF91" s="74"/>
      <c r="AG91" s="74"/>
      <c r="AH91" s="73"/>
      <c r="AI91" s="367"/>
      <c r="AJ91" s="360"/>
      <c r="AK91" s="360"/>
      <c r="AL91" s="360"/>
      <c r="AM91" s="360"/>
      <c r="AN91" s="360"/>
      <c r="AO91" s="360"/>
      <c r="AP91" s="360"/>
      <c r="AQ91" s="360"/>
      <c r="AR91" s="360"/>
      <c r="AS91" s="360"/>
      <c r="AT91" s="360"/>
      <c r="AU91" s="261"/>
      <c r="AV91" s="261"/>
      <c r="AZ91" s="193"/>
      <c r="BA91" s="203"/>
      <c r="BB91" s="203"/>
      <c r="BC91" s="203"/>
      <c r="BD91" s="203"/>
      <c r="BE91" s="203"/>
      <c r="BF91" s="203"/>
      <c r="BG91" s="203"/>
      <c r="BH91" s="203"/>
      <c r="BI91" s="203"/>
      <c r="BJ91" s="203"/>
      <c r="BK91" s="203"/>
      <c r="BL91" s="203"/>
      <c r="BM91" s="203"/>
      <c r="BN91" s="203"/>
      <c r="BO91" s="203"/>
      <c r="BP91" s="203"/>
      <c r="BQ91" s="203"/>
      <c r="BR91" s="211"/>
      <c r="BS91" s="211"/>
      <c r="BT91" s="211"/>
      <c r="BU91" s="211"/>
      <c r="BV91" s="211"/>
      <c r="BW91" s="211"/>
      <c r="BX91" s="211"/>
      <c r="BY91" s="211"/>
      <c r="BZ91" s="211"/>
      <c r="CA91" s="211"/>
      <c r="CB91" s="211"/>
      <c r="CC91" s="211"/>
      <c r="CD91" s="211"/>
      <c r="CE91" s="211"/>
      <c r="CF91" s="211"/>
      <c r="CG91" s="211"/>
      <c r="CH91" s="211"/>
      <c r="CI91" s="211"/>
      <c r="CJ91" s="62"/>
    </row>
    <row r="92" s="61" customFormat="1" ht="16" customHeight="1" spans="1:88">
      <c r="A92" s="74"/>
      <c r="B92" s="74"/>
      <c r="C92" s="74"/>
      <c r="D92" s="74"/>
      <c r="E92" s="74"/>
      <c r="F92" s="74"/>
      <c r="G92" s="73"/>
      <c r="H92" s="269" t="s">
        <v>522</v>
      </c>
      <c r="I92" s="146">
        <f t="shared" ref="I92:I94" si="106">V55</f>
        <v>0</v>
      </c>
      <c r="J92" s="146">
        <f t="shared" si="104"/>
        <v>0</v>
      </c>
      <c r="K92" s="146">
        <f t="shared" si="104"/>
        <v>0</v>
      </c>
      <c r="L92" s="146">
        <f t="shared" si="104"/>
        <v>0</v>
      </c>
      <c r="M92" s="246" t="str">
        <f t="shared" ref="M92:M94" si="107">IF((IF(I92&lt;1.1,1,0)+IF(J92&lt;1.1,1,0)+IF(K92&lt;1.1,1,0)+IF(L92&lt;1.1,1,0))&gt;=1,"市场异常","市场正常")</f>
        <v>市场异常</v>
      </c>
      <c r="N92" s="151" t="s">
        <v>465</v>
      </c>
      <c r="O92" s="157" t="e">
        <f t="shared" ref="O92:O94" si="108">IF(O21="","",AC24)</f>
        <v>#DIV/0!</v>
      </c>
      <c r="P92" s="157" t="e">
        <f t="shared" si="105"/>
        <v>#DIV/0!</v>
      </c>
      <c r="Q92" s="157" t="e">
        <f t="shared" si="105"/>
        <v>#DIV/0!</v>
      </c>
      <c r="R92" s="157" t="e">
        <f t="shared" si="105"/>
        <v>#DIV/0!</v>
      </c>
      <c r="S92" s="74"/>
      <c r="T92" s="120"/>
      <c r="U92" s="74"/>
      <c r="V92" s="74"/>
      <c r="W92" s="74"/>
      <c r="X92" s="74"/>
      <c r="Y92" s="74"/>
      <c r="Z92" s="74"/>
      <c r="AA92" s="73"/>
      <c r="AB92" s="74"/>
      <c r="AC92" s="74"/>
      <c r="AD92" s="74"/>
      <c r="AE92" s="74"/>
      <c r="AF92" s="74"/>
      <c r="AG92" s="74"/>
      <c r="AH92" s="73"/>
      <c r="AI92" s="367"/>
      <c r="AJ92" s="360"/>
      <c r="AK92" s="360"/>
      <c r="AL92" s="360"/>
      <c r="AM92" s="360"/>
      <c r="AN92" s="360"/>
      <c r="AO92" s="360"/>
      <c r="AP92" s="360"/>
      <c r="AQ92" s="360"/>
      <c r="AR92" s="360"/>
      <c r="AS92" s="360"/>
      <c r="AT92" s="360"/>
      <c r="AU92" s="261"/>
      <c r="AV92" s="261"/>
      <c r="AZ92" s="193"/>
      <c r="BA92" s="203"/>
      <c r="BB92" s="203"/>
      <c r="BC92" s="203"/>
      <c r="BD92" s="203"/>
      <c r="BE92" s="203"/>
      <c r="BF92" s="203"/>
      <c r="BG92" s="203"/>
      <c r="BH92" s="203"/>
      <c r="BI92" s="203"/>
      <c r="BJ92" s="203"/>
      <c r="BK92" s="203"/>
      <c r="BL92" s="203"/>
      <c r="BM92" s="203"/>
      <c r="BN92" s="203"/>
      <c r="BO92" s="203"/>
      <c r="BP92" s="203"/>
      <c r="BQ92" s="203"/>
      <c r="BR92" s="211"/>
      <c r="BS92" s="211"/>
      <c r="BT92" s="211"/>
      <c r="BU92" s="211"/>
      <c r="BV92" s="211"/>
      <c r="BW92" s="211"/>
      <c r="BX92" s="211"/>
      <c r="BY92" s="211"/>
      <c r="BZ92" s="211"/>
      <c r="CA92" s="211"/>
      <c r="CB92" s="211"/>
      <c r="CC92" s="211"/>
      <c r="CD92" s="211"/>
      <c r="CE92" s="211"/>
      <c r="CF92" s="211"/>
      <c r="CG92" s="211"/>
      <c r="CH92" s="211"/>
      <c r="CI92" s="211"/>
      <c r="CJ92" s="62"/>
    </row>
    <row r="93" s="61" customFormat="1" ht="16" customHeight="1" spans="1:88">
      <c r="A93" s="74"/>
      <c r="B93" s="74"/>
      <c r="C93" s="74"/>
      <c r="D93" s="74"/>
      <c r="E93" s="74"/>
      <c r="F93" s="74"/>
      <c r="G93" s="73"/>
      <c r="H93" s="269" t="s">
        <v>523</v>
      </c>
      <c r="I93" s="146">
        <f t="shared" si="106"/>
        <v>0</v>
      </c>
      <c r="J93" s="146">
        <f t="shared" si="104"/>
        <v>0</v>
      </c>
      <c r="K93" s="146">
        <f t="shared" si="104"/>
        <v>0</v>
      </c>
      <c r="L93" s="146">
        <f t="shared" si="104"/>
        <v>0</v>
      </c>
      <c r="M93" s="246" t="str">
        <f t="shared" si="107"/>
        <v>市场异常</v>
      </c>
      <c r="N93" s="151" t="s">
        <v>466</v>
      </c>
      <c r="O93" s="157" t="e">
        <f t="shared" si="108"/>
        <v>#DIV/0!</v>
      </c>
      <c r="P93" s="157" t="e">
        <f t="shared" si="105"/>
        <v>#DIV/0!</v>
      </c>
      <c r="Q93" s="157" t="e">
        <f t="shared" si="105"/>
        <v>#DIV/0!</v>
      </c>
      <c r="R93" s="157" t="e">
        <f t="shared" si="105"/>
        <v>#DIV/0!</v>
      </c>
      <c r="S93" s="74"/>
      <c r="T93" s="120"/>
      <c r="U93" s="74"/>
      <c r="V93" s="74"/>
      <c r="W93" s="74"/>
      <c r="X93" s="74"/>
      <c r="Y93" s="74"/>
      <c r="Z93" s="74"/>
      <c r="AA93" s="73"/>
      <c r="AB93" s="74"/>
      <c r="AC93" s="74"/>
      <c r="AD93" s="74"/>
      <c r="AE93" s="74"/>
      <c r="AF93" s="74"/>
      <c r="AG93" s="74"/>
      <c r="AH93" s="73"/>
      <c r="AI93" s="367"/>
      <c r="AJ93" s="360"/>
      <c r="AK93" s="360"/>
      <c r="AL93" s="360"/>
      <c r="AM93" s="360"/>
      <c r="AN93" s="360"/>
      <c r="AO93" s="360"/>
      <c r="AP93" s="360"/>
      <c r="AQ93" s="360"/>
      <c r="AR93" s="360"/>
      <c r="AS93" s="360"/>
      <c r="AT93" s="360"/>
      <c r="AU93" s="261"/>
      <c r="AV93" s="261"/>
      <c r="AZ93" s="193"/>
      <c r="BA93" s="203"/>
      <c r="BB93" s="203"/>
      <c r="BC93" s="203"/>
      <c r="BD93" s="203"/>
      <c r="BE93" s="203"/>
      <c r="BF93" s="203"/>
      <c r="BG93" s="203"/>
      <c r="BH93" s="203"/>
      <c r="BI93" s="203"/>
      <c r="BJ93" s="203"/>
      <c r="BK93" s="203"/>
      <c r="BL93" s="203"/>
      <c r="BM93" s="203"/>
      <c r="BN93" s="203"/>
      <c r="BO93" s="203"/>
      <c r="BP93" s="203"/>
      <c r="BQ93" s="203"/>
      <c r="BR93" s="211"/>
      <c r="BS93" s="211"/>
      <c r="BT93" s="211"/>
      <c r="BU93" s="211"/>
      <c r="BV93" s="211"/>
      <c r="BW93" s="211"/>
      <c r="BX93" s="211"/>
      <c r="BY93" s="211"/>
      <c r="BZ93" s="211"/>
      <c r="CA93" s="211"/>
      <c r="CB93" s="211"/>
      <c r="CC93" s="211"/>
      <c r="CD93" s="211"/>
      <c r="CE93" s="211"/>
      <c r="CF93" s="211"/>
      <c r="CG93" s="211"/>
      <c r="CH93" s="211"/>
      <c r="CI93" s="211"/>
      <c r="CJ93" s="62"/>
    </row>
    <row r="94" s="61" customFormat="1" ht="16" customHeight="1" spans="1:88">
      <c r="A94" s="74"/>
      <c r="B94" s="74"/>
      <c r="C94" s="74"/>
      <c r="D94" s="74"/>
      <c r="E94" s="74"/>
      <c r="F94" s="74"/>
      <c r="G94" s="73"/>
      <c r="H94" s="269" t="s">
        <v>524</v>
      </c>
      <c r="I94" s="146">
        <f t="shared" si="106"/>
        <v>0</v>
      </c>
      <c r="J94" s="146">
        <f t="shared" si="104"/>
        <v>0</v>
      </c>
      <c r="K94" s="146">
        <f t="shared" si="104"/>
        <v>0</v>
      </c>
      <c r="L94" s="146">
        <f t="shared" si="104"/>
        <v>0</v>
      </c>
      <c r="M94" s="246" t="str">
        <f t="shared" si="107"/>
        <v>市场异常</v>
      </c>
      <c r="N94" s="151" t="s">
        <v>468</v>
      </c>
      <c r="O94" s="157" t="e">
        <f t="shared" si="108"/>
        <v>#DIV/0!</v>
      </c>
      <c r="P94" s="157" t="e">
        <f t="shared" si="105"/>
        <v>#DIV/0!</v>
      </c>
      <c r="Q94" s="157" t="e">
        <f t="shared" si="105"/>
        <v>#DIV/0!</v>
      </c>
      <c r="R94" s="157" t="e">
        <f t="shared" si="105"/>
        <v>#DIV/0!</v>
      </c>
      <c r="S94" s="74"/>
      <c r="T94" s="120"/>
      <c r="U94" s="74"/>
      <c r="V94" s="74"/>
      <c r="W94" s="74"/>
      <c r="X94" s="74"/>
      <c r="Y94" s="74"/>
      <c r="Z94" s="74"/>
      <c r="AA94" s="73"/>
      <c r="AB94" s="74"/>
      <c r="AC94" s="74"/>
      <c r="AD94" s="74"/>
      <c r="AE94" s="74"/>
      <c r="AF94" s="74"/>
      <c r="AG94" s="74"/>
      <c r="AH94" s="73"/>
      <c r="AI94" s="367"/>
      <c r="AJ94" s="360"/>
      <c r="AK94" s="360"/>
      <c r="AL94" s="360"/>
      <c r="AM94" s="360"/>
      <c r="AN94" s="360"/>
      <c r="AO94" s="360"/>
      <c r="AP94" s="360"/>
      <c r="AQ94" s="360"/>
      <c r="AR94" s="360"/>
      <c r="AS94" s="360"/>
      <c r="AT94" s="360"/>
      <c r="AU94" s="261"/>
      <c r="AV94" s="261"/>
      <c r="AZ94" s="193"/>
      <c r="BA94" s="203"/>
      <c r="BB94" s="203"/>
      <c r="BC94" s="203"/>
      <c r="BD94" s="203"/>
      <c r="BE94" s="203"/>
      <c r="BF94" s="203"/>
      <c r="BG94" s="203"/>
      <c r="BH94" s="203"/>
      <c r="BI94" s="203"/>
      <c r="BJ94" s="203"/>
      <c r="BK94" s="203"/>
      <c r="BL94" s="203"/>
      <c r="BM94" s="203"/>
      <c r="BN94" s="203"/>
      <c r="BO94" s="203"/>
      <c r="BP94" s="203"/>
      <c r="BQ94" s="203"/>
      <c r="BR94" s="211"/>
      <c r="BS94" s="211"/>
      <c r="BT94" s="211"/>
      <c r="BU94" s="211"/>
      <c r="BV94" s="211"/>
      <c r="BW94" s="211"/>
      <c r="BX94" s="211"/>
      <c r="BY94" s="211"/>
      <c r="BZ94" s="211"/>
      <c r="CA94" s="211"/>
      <c r="CB94" s="211"/>
      <c r="CC94" s="211"/>
      <c r="CD94" s="211"/>
      <c r="CE94" s="211"/>
      <c r="CF94" s="211"/>
      <c r="CG94" s="211"/>
      <c r="CH94" s="211"/>
      <c r="CI94" s="211"/>
      <c r="CJ94" s="62"/>
    </row>
    <row r="95" s="61" customFormat="1" ht="16" customHeight="1" spans="1:88">
      <c r="A95" s="74"/>
      <c r="B95" s="74"/>
      <c r="C95" s="74"/>
      <c r="D95" s="74"/>
      <c r="E95" s="74"/>
      <c r="F95" s="74"/>
      <c r="G95" s="331" t="s">
        <v>757</v>
      </c>
      <c r="H95" s="74"/>
      <c r="I95" s="74"/>
      <c r="J95" s="74"/>
      <c r="K95" s="74"/>
      <c r="L95" s="74"/>
      <c r="M95" s="85"/>
      <c r="N95" s="74"/>
      <c r="O95" s="74"/>
      <c r="P95" s="74"/>
      <c r="Q95" s="74"/>
      <c r="R95" s="74"/>
      <c r="S95" s="74"/>
      <c r="T95" s="120"/>
      <c r="U95" s="74"/>
      <c r="V95" s="74"/>
      <c r="W95" s="74"/>
      <c r="X95" s="74"/>
      <c r="Y95" s="74"/>
      <c r="Z95" s="74"/>
      <c r="AA95" s="73"/>
      <c r="AB95" s="74"/>
      <c r="AC95" s="74"/>
      <c r="AD95" s="74"/>
      <c r="AE95" s="74"/>
      <c r="AF95" s="74"/>
      <c r="AG95" s="74"/>
      <c r="AH95" s="73"/>
      <c r="AI95" s="367"/>
      <c r="AJ95" s="360"/>
      <c r="AK95" s="360"/>
      <c r="AL95" s="360"/>
      <c r="AM95" s="360"/>
      <c r="AN95" s="360"/>
      <c r="AO95" s="360"/>
      <c r="AP95" s="360"/>
      <c r="AQ95" s="360"/>
      <c r="AR95" s="360"/>
      <c r="AS95" s="360"/>
      <c r="AT95" s="360"/>
      <c r="AU95" s="261"/>
      <c r="AV95" s="261"/>
      <c r="AZ95" s="193"/>
      <c r="BA95" s="203"/>
      <c r="BB95" s="203"/>
      <c r="BC95" s="203"/>
      <c r="BD95" s="203"/>
      <c r="BE95" s="203"/>
      <c r="BF95" s="203"/>
      <c r="BG95" s="203"/>
      <c r="BH95" s="203"/>
      <c r="BI95" s="203"/>
      <c r="BJ95" s="203"/>
      <c r="BK95" s="203"/>
      <c r="BL95" s="203"/>
      <c r="BM95" s="203"/>
      <c r="BN95" s="203"/>
      <c r="BO95" s="203"/>
      <c r="BP95" s="203"/>
      <c r="BQ95" s="203"/>
      <c r="BR95" s="211"/>
      <c r="BS95" s="211"/>
      <c r="BT95" s="211"/>
      <c r="BU95" s="211"/>
      <c r="BV95" s="211"/>
      <c r="BW95" s="211"/>
      <c r="BX95" s="211"/>
      <c r="BY95" s="211"/>
      <c r="BZ95" s="211"/>
      <c r="CA95" s="211"/>
      <c r="CB95" s="211"/>
      <c r="CC95" s="211"/>
      <c r="CD95" s="211"/>
      <c r="CE95" s="211"/>
      <c r="CF95" s="211"/>
      <c r="CG95" s="211"/>
      <c r="CH95" s="211"/>
      <c r="CI95" s="211"/>
      <c r="CJ95" s="62"/>
    </row>
    <row r="96" s="61" customFormat="1" ht="16" customHeight="1" spans="1:88">
      <c r="A96" s="74"/>
      <c r="B96" s="74"/>
      <c r="C96" s="74"/>
      <c r="D96" s="74"/>
      <c r="E96" s="74"/>
      <c r="F96" s="74"/>
      <c r="G96" s="73"/>
      <c r="H96" s="269" t="s">
        <v>732</v>
      </c>
      <c r="I96" s="269" t="s">
        <v>513</v>
      </c>
      <c r="J96" s="269" t="s">
        <v>514</v>
      </c>
      <c r="K96" s="269" t="s">
        <v>515</v>
      </c>
      <c r="L96" s="269" t="s">
        <v>516</v>
      </c>
      <c r="M96" s="85"/>
      <c r="N96" s="269" t="s">
        <v>733</v>
      </c>
      <c r="O96" s="269" t="s">
        <v>513</v>
      </c>
      <c r="P96" s="269" t="s">
        <v>514</v>
      </c>
      <c r="Q96" s="269" t="s">
        <v>515</v>
      </c>
      <c r="R96" s="269" t="s">
        <v>516</v>
      </c>
      <c r="S96" s="252" t="s">
        <v>734</v>
      </c>
      <c r="T96" s="252" t="s">
        <v>749</v>
      </c>
      <c r="U96" s="74"/>
      <c r="V96" s="74"/>
      <c r="W96" s="74"/>
      <c r="X96" s="74"/>
      <c r="Y96" s="74"/>
      <c r="Z96" s="74"/>
      <c r="AA96" s="73"/>
      <c r="AB96" s="74"/>
      <c r="AC96" s="74"/>
      <c r="AD96" s="74"/>
      <c r="AE96" s="74"/>
      <c r="AF96" s="74"/>
      <c r="AG96" s="74"/>
      <c r="AH96" s="73"/>
      <c r="AI96" s="367"/>
      <c r="AJ96" s="360"/>
      <c r="AK96" s="360"/>
      <c r="AL96" s="360"/>
      <c r="AM96" s="360"/>
      <c r="AN96" s="360"/>
      <c r="AO96" s="360"/>
      <c r="AP96" s="360"/>
      <c r="AQ96" s="360"/>
      <c r="AR96" s="360"/>
      <c r="AS96" s="360"/>
      <c r="AT96" s="360"/>
      <c r="AU96" s="261"/>
      <c r="AV96" s="261"/>
      <c r="AZ96" s="193"/>
      <c r="BA96" s="203"/>
      <c r="BB96" s="203"/>
      <c r="BC96" s="203"/>
      <c r="BD96" s="203"/>
      <c r="BE96" s="203"/>
      <c r="BF96" s="203"/>
      <c r="BG96" s="203"/>
      <c r="BH96" s="203"/>
      <c r="BI96" s="203"/>
      <c r="BJ96" s="203"/>
      <c r="BK96" s="203"/>
      <c r="BL96" s="203"/>
      <c r="BM96" s="203"/>
      <c r="BN96" s="203"/>
      <c r="BO96" s="203"/>
      <c r="BP96" s="203"/>
      <c r="BQ96" s="203"/>
      <c r="BR96" s="211"/>
      <c r="BS96" s="211"/>
      <c r="BT96" s="211"/>
      <c r="BU96" s="211"/>
      <c r="BV96" s="211"/>
      <c r="BW96" s="211"/>
      <c r="BX96" s="211"/>
      <c r="BY96" s="211"/>
      <c r="BZ96" s="211"/>
      <c r="CA96" s="211"/>
      <c r="CB96" s="211"/>
      <c r="CC96" s="211"/>
      <c r="CD96" s="211"/>
      <c r="CE96" s="211"/>
      <c r="CF96" s="211"/>
      <c r="CG96" s="211"/>
      <c r="CH96" s="211"/>
      <c r="CI96" s="211"/>
      <c r="CJ96" s="62"/>
    </row>
    <row r="97" s="61" customFormat="1" ht="16" customHeight="1" spans="1:88">
      <c r="A97" s="74"/>
      <c r="B97" s="74"/>
      <c r="C97" s="74"/>
      <c r="D97" s="74"/>
      <c r="E97" s="74"/>
      <c r="F97" s="74"/>
      <c r="G97" s="73"/>
      <c r="H97" s="269" t="s">
        <v>521</v>
      </c>
      <c r="I97" s="115" t="e">
        <f>第4期!O20-第3期!O20</f>
        <v>#DIV/0!</v>
      </c>
      <c r="J97" s="115" t="e">
        <f>第4期!P20-第3期!P20</f>
        <v>#DIV/0!</v>
      </c>
      <c r="K97" s="115" t="e">
        <f>第4期!Q20-第3期!Q20</f>
        <v>#DIV/0!</v>
      </c>
      <c r="L97" s="115" t="e">
        <f>第4期!R20-第3期!R20</f>
        <v>#DIV/0!</v>
      </c>
      <c r="M97" s="85"/>
      <c r="N97" s="269" t="s">
        <v>521</v>
      </c>
      <c r="O97" s="115">
        <f>V17-第4期!V17</f>
        <v>0</v>
      </c>
      <c r="P97" s="115">
        <f>W17-第4期!W17</f>
        <v>0</v>
      </c>
      <c r="Q97" s="115">
        <f>X17-第4期!X17</f>
        <v>0</v>
      </c>
      <c r="R97" s="115">
        <f>Y17-第4期!Y17</f>
        <v>0</v>
      </c>
      <c r="S97" s="253" t="e">
        <f>(I97+J97)/2+(O97+P97)/2*S73</f>
        <v>#DIV/0!</v>
      </c>
      <c r="T97" s="253" t="e">
        <f>S97-第4期!S97</f>
        <v>#DIV/0!</v>
      </c>
      <c r="U97" s="74"/>
      <c r="V97" s="74"/>
      <c r="W97" s="74"/>
      <c r="X97" s="74"/>
      <c r="Y97" s="74"/>
      <c r="Z97" s="74"/>
      <c r="AA97" s="73"/>
      <c r="AB97" s="74"/>
      <c r="AC97" s="74"/>
      <c r="AD97" s="74"/>
      <c r="AE97" s="74"/>
      <c r="AF97" s="74"/>
      <c r="AG97" s="74"/>
      <c r="AH97" s="73"/>
      <c r="AI97" s="367"/>
      <c r="AJ97" s="360"/>
      <c r="AK97" s="360"/>
      <c r="AL97" s="360"/>
      <c r="AM97" s="360"/>
      <c r="AN97" s="360"/>
      <c r="AO97" s="360"/>
      <c r="AP97" s="360"/>
      <c r="AQ97" s="360"/>
      <c r="AR97" s="360"/>
      <c r="AS97" s="360"/>
      <c r="AT97" s="360"/>
      <c r="AU97" s="261"/>
      <c r="AV97" s="261"/>
      <c r="AZ97" s="193"/>
      <c r="BA97" s="203"/>
      <c r="BB97" s="203"/>
      <c r="BC97" s="203"/>
      <c r="BD97" s="203"/>
      <c r="BE97" s="203"/>
      <c r="BF97" s="203"/>
      <c r="BG97" s="203"/>
      <c r="BH97" s="203"/>
      <c r="BI97" s="203"/>
      <c r="BJ97" s="203"/>
      <c r="BK97" s="203"/>
      <c r="BL97" s="203"/>
      <c r="BM97" s="203"/>
      <c r="BN97" s="203"/>
      <c r="BO97" s="203"/>
      <c r="BP97" s="203"/>
      <c r="BQ97" s="203"/>
      <c r="BR97" s="211"/>
      <c r="BS97" s="211"/>
      <c r="BT97" s="211"/>
      <c r="BU97" s="211"/>
      <c r="BV97" s="211"/>
      <c r="BW97" s="211"/>
      <c r="BX97" s="211"/>
      <c r="BY97" s="211"/>
      <c r="BZ97" s="211"/>
      <c r="CA97" s="211"/>
      <c r="CB97" s="211"/>
      <c r="CC97" s="211"/>
      <c r="CD97" s="211"/>
      <c r="CE97" s="211"/>
      <c r="CF97" s="211"/>
      <c r="CG97" s="211"/>
      <c r="CH97" s="211"/>
      <c r="CI97" s="211"/>
      <c r="CJ97" s="62"/>
    </row>
    <row r="98" s="61" customFormat="1" ht="16" customHeight="1" spans="1:88">
      <c r="A98" s="74"/>
      <c r="B98" s="74"/>
      <c r="C98" s="74"/>
      <c r="D98" s="74"/>
      <c r="E98" s="74"/>
      <c r="F98" s="74"/>
      <c r="G98" s="73"/>
      <c r="H98" s="269" t="s">
        <v>522</v>
      </c>
      <c r="I98" s="115" t="e">
        <f>第4期!O21-第3期!O21</f>
        <v>#DIV/0!</v>
      </c>
      <c r="J98" s="115" t="e">
        <f>第4期!P21-第3期!P21</f>
        <v>#DIV/0!</v>
      </c>
      <c r="K98" s="115" t="e">
        <f>第4期!Q21-第3期!Q21</f>
        <v>#DIV/0!</v>
      </c>
      <c r="L98" s="115" t="e">
        <f>第4期!R21-第3期!R21</f>
        <v>#DIV/0!</v>
      </c>
      <c r="M98" s="85"/>
      <c r="N98" s="269" t="s">
        <v>522</v>
      </c>
      <c r="O98" s="115">
        <f>V18-第4期!V18</f>
        <v>0</v>
      </c>
      <c r="P98" s="115">
        <f>W18-第4期!W18</f>
        <v>0</v>
      </c>
      <c r="Q98" s="115">
        <f>X18-第4期!X18</f>
        <v>0</v>
      </c>
      <c r="R98" s="115">
        <f>Y18-第4期!Y18</f>
        <v>0</v>
      </c>
      <c r="S98" s="253" t="e">
        <f t="shared" ref="S98:S100" si="109">(I98+J98)/2+(O98+P98)/2*S74</f>
        <v>#DIV/0!</v>
      </c>
      <c r="T98" s="253" t="e">
        <f>S98-第4期!S98</f>
        <v>#DIV/0!</v>
      </c>
      <c r="U98" s="74"/>
      <c r="V98" s="74"/>
      <c r="W98" s="74"/>
      <c r="X98" s="74"/>
      <c r="Y98" s="74"/>
      <c r="Z98" s="74"/>
      <c r="AA98" s="73"/>
      <c r="AB98" s="74"/>
      <c r="AC98" s="74"/>
      <c r="AD98" s="74"/>
      <c r="AE98" s="74"/>
      <c r="AF98" s="74"/>
      <c r="AG98" s="74"/>
      <c r="AH98" s="73"/>
      <c r="AI98" s="367"/>
      <c r="AJ98" s="360"/>
      <c r="AK98" s="360"/>
      <c r="AL98" s="360"/>
      <c r="AM98" s="360"/>
      <c r="AN98" s="360"/>
      <c r="AO98" s="360"/>
      <c r="AP98" s="360"/>
      <c r="AQ98" s="360"/>
      <c r="AR98" s="360"/>
      <c r="AS98" s="360"/>
      <c r="AT98" s="360"/>
      <c r="AU98" s="261"/>
      <c r="AV98" s="261"/>
      <c r="AZ98" s="193"/>
      <c r="BA98" s="203"/>
      <c r="BB98" s="203"/>
      <c r="BC98" s="203"/>
      <c r="BD98" s="203"/>
      <c r="BE98" s="203"/>
      <c r="BF98" s="203"/>
      <c r="BG98" s="203"/>
      <c r="BH98" s="203"/>
      <c r="BI98" s="203"/>
      <c r="BJ98" s="203"/>
      <c r="BK98" s="203"/>
      <c r="BL98" s="203"/>
      <c r="BM98" s="203"/>
      <c r="BN98" s="203"/>
      <c r="BO98" s="203"/>
      <c r="BP98" s="203"/>
      <c r="BQ98" s="203"/>
      <c r="BR98" s="211"/>
      <c r="BS98" s="211"/>
      <c r="BT98" s="211"/>
      <c r="BU98" s="211"/>
      <c r="BV98" s="211"/>
      <c r="BW98" s="211"/>
      <c r="BX98" s="211"/>
      <c r="BY98" s="211"/>
      <c r="BZ98" s="211"/>
      <c r="CA98" s="211"/>
      <c r="CB98" s="211"/>
      <c r="CC98" s="211"/>
      <c r="CD98" s="211"/>
      <c r="CE98" s="211"/>
      <c r="CF98" s="211"/>
      <c r="CG98" s="211"/>
      <c r="CH98" s="211"/>
      <c r="CI98" s="211"/>
      <c r="CJ98" s="62"/>
    </row>
    <row r="99" s="61" customFormat="1" ht="16" customHeight="1" spans="1:88">
      <c r="A99" s="74"/>
      <c r="B99" s="74"/>
      <c r="C99" s="74"/>
      <c r="D99" s="74"/>
      <c r="E99" s="74"/>
      <c r="F99" s="74"/>
      <c r="G99" s="73"/>
      <c r="H99" s="269" t="s">
        <v>523</v>
      </c>
      <c r="I99" s="115" t="e">
        <f>第4期!O22-第3期!O22</f>
        <v>#DIV/0!</v>
      </c>
      <c r="J99" s="115" t="e">
        <f>第4期!P22-第3期!P22</f>
        <v>#DIV/0!</v>
      </c>
      <c r="K99" s="115" t="e">
        <f>第4期!Q22-第3期!Q22</f>
        <v>#DIV/0!</v>
      </c>
      <c r="L99" s="115" t="e">
        <f>第4期!R22-第3期!R22</f>
        <v>#DIV/0!</v>
      </c>
      <c r="M99" s="85"/>
      <c r="N99" s="269" t="s">
        <v>523</v>
      </c>
      <c r="O99" s="115">
        <f>V19-第4期!V19</f>
        <v>0</v>
      </c>
      <c r="P99" s="115">
        <f>W19-第4期!W19</f>
        <v>0</v>
      </c>
      <c r="Q99" s="115">
        <f>X19-第4期!X19</f>
        <v>0</v>
      </c>
      <c r="R99" s="115">
        <f>Y19-第4期!Y19</f>
        <v>0</v>
      </c>
      <c r="S99" s="253" t="e">
        <f t="shared" si="109"/>
        <v>#DIV/0!</v>
      </c>
      <c r="T99" s="253" t="e">
        <f>S99-第4期!S99</f>
        <v>#DIV/0!</v>
      </c>
      <c r="U99" s="74"/>
      <c r="V99" s="74"/>
      <c r="W99" s="74"/>
      <c r="X99" s="74"/>
      <c r="Y99" s="74"/>
      <c r="Z99" s="74"/>
      <c r="AA99" s="73"/>
      <c r="AB99" s="74"/>
      <c r="AC99" s="74"/>
      <c r="AD99" s="74"/>
      <c r="AE99" s="74"/>
      <c r="AF99" s="74"/>
      <c r="AG99" s="74"/>
      <c r="AH99" s="73"/>
      <c r="AI99" s="367"/>
      <c r="AJ99" s="360"/>
      <c r="AK99" s="360"/>
      <c r="AL99" s="360"/>
      <c r="AM99" s="360"/>
      <c r="AN99" s="360"/>
      <c r="AO99" s="360"/>
      <c r="AP99" s="360"/>
      <c r="AQ99" s="360"/>
      <c r="AR99" s="360"/>
      <c r="AS99" s="360"/>
      <c r="AT99" s="360"/>
      <c r="AU99" s="261"/>
      <c r="AV99" s="261"/>
      <c r="AZ99" s="193"/>
      <c r="BA99" s="203"/>
      <c r="BB99" s="203"/>
      <c r="BC99" s="203"/>
      <c r="BD99" s="203"/>
      <c r="BE99" s="203"/>
      <c r="BF99" s="203"/>
      <c r="BG99" s="203"/>
      <c r="BH99" s="203"/>
      <c r="BI99" s="203"/>
      <c r="BJ99" s="203"/>
      <c r="BK99" s="203"/>
      <c r="BL99" s="203"/>
      <c r="BM99" s="203"/>
      <c r="BN99" s="203"/>
      <c r="BO99" s="203"/>
      <c r="BP99" s="203"/>
      <c r="BQ99" s="203"/>
      <c r="BR99" s="211"/>
      <c r="BS99" s="211"/>
      <c r="BT99" s="211"/>
      <c r="BU99" s="211"/>
      <c r="BV99" s="211"/>
      <c r="BW99" s="211"/>
      <c r="BX99" s="211"/>
      <c r="BY99" s="211"/>
      <c r="BZ99" s="211"/>
      <c r="CA99" s="211"/>
      <c r="CB99" s="211"/>
      <c r="CC99" s="211"/>
      <c r="CD99" s="211"/>
      <c r="CE99" s="211"/>
      <c r="CF99" s="211"/>
      <c r="CG99" s="211"/>
      <c r="CH99" s="211"/>
      <c r="CI99" s="211"/>
      <c r="CJ99" s="62"/>
    </row>
    <row r="100" s="61" customFormat="1" ht="16" customHeight="1" spans="1:88">
      <c r="A100" s="74"/>
      <c r="B100" s="74"/>
      <c r="C100" s="74"/>
      <c r="D100" s="74"/>
      <c r="E100" s="74"/>
      <c r="F100" s="74"/>
      <c r="G100" s="73"/>
      <c r="H100" s="269" t="s">
        <v>524</v>
      </c>
      <c r="I100" s="115" t="e">
        <f>第4期!O23-第3期!O23</f>
        <v>#DIV/0!</v>
      </c>
      <c r="J100" s="115" t="e">
        <f>第4期!P23-第3期!P23</f>
        <v>#DIV/0!</v>
      </c>
      <c r="K100" s="115" t="e">
        <f>第4期!Q23-第3期!Q23</f>
        <v>#DIV/0!</v>
      </c>
      <c r="L100" s="115" t="e">
        <f>第4期!R23-第3期!R23</f>
        <v>#DIV/0!</v>
      </c>
      <c r="M100" s="85"/>
      <c r="N100" s="269" t="s">
        <v>524</v>
      </c>
      <c r="O100" s="115">
        <f>V20-第4期!V20</f>
        <v>0</v>
      </c>
      <c r="P100" s="115">
        <f>W20-第4期!W20</f>
        <v>0</v>
      </c>
      <c r="Q100" s="115">
        <f>X20-第4期!X20</f>
        <v>0</v>
      </c>
      <c r="R100" s="115">
        <f>Y20-第4期!Y20</f>
        <v>0</v>
      </c>
      <c r="S100" s="253" t="e">
        <f t="shared" si="109"/>
        <v>#DIV/0!</v>
      </c>
      <c r="T100" s="253" t="e">
        <f>S100-第4期!S100</f>
        <v>#DIV/0!</v>
      </c>
      <c r="U100" s="74"/>
      <c r="V100" s="74"/>
      <c r="W100" s="74"/>
      <c r="X100" s="74"/>
      <c r="Y100" s="74"/>
      <c r="Z100" s="74"/>
      <c r="AA100" s="73"/>
      <c r="AB100" s="74"/>
      <c r="AC100" s="74"/>
      <c r="AD100" s="74"/>
      <c r="AE100" s="74"/>
      <c r="AF100" s="74"/>
      <c r="AG100" s="74"/>
      <c r="AH100" s="73"/>
      <c r="AI100" s="367"/>
      <c r="AJ100" s="360"/>
      <c r="AK100" s="360"/>
      <c r="AL100" s="360"/>
      <c r="AM100" s="360"/>
      <c r="AN100" s="360"/>
      <c r="AO100" s="360"/>
      <c r="AP100" s="360"/>
      <c r="AQ100" s="360"/>
      <c r="AR100" s="360"/>
      <c r="AS100" s="360"/>
      <c r="AT100" s="360"/>
      <c r="AU100" s="261"/>
      <c r="AV100" s="261"/>
      <c r="AZ100" s="193"/>
      <c r="BA100" s="203"/>
      <c r="BB100" s="203"/>
      <c r="BC100" s="203"/>
      <c r="BD100" s="203"/>
      <c r="BE100" s="203"/>
      <c r="BF100" s="203"/>
      <c r="BG100" s="203"/>
      <c r="BH100" s="203"/>
      <c r="BI100" s="203"/>
      <c r="BJ100" s="203"/>
      <c r="BK100" s="203"/>
      <c r="BL100" s="203"/>
      <c r="BM100" s="203"/>
      <c r="BN100" s="203"/>
      <c r="BO100" s="203"/>
      <c r="BP100" s="203"/>
      <c r="BQ100" s="203"/>
      <c r="BR100" s="211"/>
      <c r="BS100" s="211"/>
      <c r="BT100" s="211"/>
      <c r="BU100" s="211"/>
      <c r="BV100" s="211"/>
      <c r="BW100" s="211"/>
      <c r="BX100" s="211"/>
      <c r="BY100" s="211"/>
      <c r="BZ100" s="211"/>
      <c r="CA100" s="211"/>
      <c r="CB100" s="211"/>
      <c r="CC100" s="211"/>
      <c r="CD100" s="211"/>
      <c r="CE100" s="211"/>
      <c r="CF100" s="211"/>
      <c r="CG100" s="211"/>
      <c r="CH100" s="211"/>
      <c r="CI100" s="211"/>
      <c r="CJ100" s="62"/>
    </row>
    <row r="101" s="61" customFormat="1" ht="16" customHeight="1" spans="7:88">
      <c r="G101" s="63"/>
      <c r="M101" s="247"/>
      <c r="T101" s="64"/>
      <c r="AA101" s="63"/>
      <c r="AH101" s="63"/>
      <c r="AI101" s="367"/>
      <c r="AJ101" s="360"/>
      <c r="AK101" s="360"/>
      <c r="AL101" s="360"/>
      <c r="AM101" s="360"/>
      <c r="AN101" s="360"/>
      <c r="AO101" s="360"/>
      <c r="AP101" s="360"/>
      <c r="AQ101" s="360"/>
      <c r="AR101" s="360"/>
      <c r="AS101" s="360"/>
      <c r="AT101" s="360"/>
      <c r="AU101" s="261"/>
      <c r="AV101" s="261"/>
      <c r="AZ101" s="193"/>
      <c r="BA101" s="203"/>
      <c r="BB101" s="203"/>
      <c r="BC101" s="203"/>
      <c r="BD101" s="203"/>
      <c r="BE101" s="203"/>
      <c r="BF101" s="203"/>
      <c r="BG101" s="203"/>
      <c r="BH101" s="203"/>
      <c r="BI101" s="203"/>
      <c r="BJ101" s="203"/>
      <c r="BK101" s="203"/>
      <c r="BL101" s="203"/>
      <c r="BM101" s="203"/>
      <c r="BN101" s="203"/>
      <c r="BO101" s="203"/>
      <c r="BP101" s="203"/>
      <c r="BQ101" s="203"/>
      <c r="BR101" s="211"/>
      <c r="BS101" s="211"/>
      <c r="BT101" s="211"/>
      <c r="BU101" s="211"/>
      <c r="BV101" s="211"/>
      <c r="BW101" s="211"/>
      <c r="BX101" s="211"/>
      <c r="BY101" s="211"/>
      <c r="BZ101" s="211"/>
      <c r="CA101" s="211"/>
      <c r="CB101" s="211"/>
      <c r="CC101" s="211"/>
      <c r="CD101" s="211"/>
      <c r="CE101" s="211"/>
      <c r="CF101" s="211"/>
      <c r="CG101" s="211"/>
      <c r="CH101" s="211"/>
      <c r="CI101" s="211"/>
      <c r="CJ101" s="62"/>
    </row>
    <row r="102" s="61" customFormat="1" ht="16" customHeight="1" spans="7:88">
      <c r="G102" s="63"/>
      <c r="M102" s="247"/>
      <c r="T102" s="64"/>
      <c r="AA102" s="63"/>
      <c r="AH102" s="63"/>
      <c r="AI102" s="367"/>
      <c r="AJ102" s="360"/>
      <c r="AK102" s="360"/>
      <c r="AL102" s="360"/>
      <c r="AM102" s="360"/>
      <c r="AN102" s="360"/>
      <c r="AO102" s="360"/>
      <c r="AP102" s="360"/>
      <c r="AQ102" s="360"/>
      <c r="AR102" s="360"/>
      <c r="AS102" s="360"/>
      <c r="AT102" s="360"/>
      <c r="AU102" s="261"/>
      <c r="AV102" s="261"/>
      <c r="AZ102" s="193"/>
      <c r="BA102" s="203"/>
      <c r="BB102" s="203"/>
      <c r="BC102" s="203"/>
      <c r="BD102" s="203"/>
      <c r="BE102" s="203"/>
      <c r="BF102" s="203"/>
      <c r="BG102" s="203"/>
      <c r="BH102" s="203"/>
      <c r="BI102" s="203"/>
      <c r="BJ102" s="203"/>
      <c r="BK102" s="203"/>
      <c r="BL102" s="203"/>
      <c r="BM102" s="203"/>
      <c r="BN102" s="203"/>
      <c r="BO102" s="203"/>
      <c r="BP102" s="203"/>
      <c r="BQ102" s="203"/>
      <c r="BR102" s="211"/>
      <c r="BS102" s="211"/>
      <c r="BT102" s="211"/>
      <c r="BU102" s="211"/>
      <c r="BV102" s="211"/>
      <c r="BW102" s="211"/>
      <c r="BX102" s="211"/>
      <c r="BY102" s="211"/>
      <c r="BZ102" s="211"/>
      <c r="CA102" s="211"/>
      <c r="CB102" s="211"/>
      <c r="CC102" s="211"/>
      <c r="CD102" s="211"/>
      <c r="CE102" s="211"/>
      <c r="CF102" s="211"/>
      <c r="CG102" s="211"/>
      <c r="CH102" s="211"/>
      <c r="CI102" s="211"/>
      <c r="CJ102" s="62"/>
    </row>
    <row r="103" s="61" customFormat="1" ht="16" customHeight="1" spans="7:88">
      <c r="G103" s="63"/>
      <c r="M103" s="247"/>
      <c r="T103" s="64"/>
      <c r="AA103" s="63"/>
      <c r="AH103" s="63"/>
      <c r="AI103" s="367"/>
      <c r="AJ103" s="360"/>
      <c r="AK103" s="360"/>
      <c r="AL103" s="360"/>
      <c r="AM103" s="360"/>
      <c r="AN103" s="360"/>
      <c r="AO103" s="360"/>
      <c r="AP103" s="360"/>
      <c r="AQ103" s="360"/>
      <c r="AR103" s="360"/>
      <c r="AS103" s="360"/>
      <c r="AT103" s="360"/>
      <c r="AU103" s="261"/>
      <c r="AV103" s="261"/>
      <c r="AZ103" s="193"/>
      <c r="BA103" s="203"/>
      <c r="BB103" s="203"/>
      <c r="BC103" s="203"/>
      <c r="BD103" s="203"/>
      <c r="BE103" s="203"/>
      <c r="BF103" s="203"/>
      <c r="BG103" s="203"/>
      <c r="BH103" s="203"/>
      <c r="BI103" s="203"/>
      <c r="BJ103" s="203"/>
      <c r="BK103" s="203"/>
      <c r="BL103" s="203"/>
      <c r="BM103" s="203"/>
      <c r="BN103" s="203"/>
      <c r="BO103" s="203"/>
      <c r="BP103" s="203"/>
      <c r="BQ103" s="203"/>
      <c r="BR103" s="211"/>
      <c r="BS103" s="211"/>
      <c r="BT103" s="211"/>
      <c r="BU103" s="211"/>
      <c r="BV103" s="211"/>
      <c r="BW103" s="211"/>
      <c r="BX103" s="211"/>
      <c r="BY103" s="211"/>
      <c r="BZ103" s="211"/>
      <c r="CA103" s="211"/>
      <c r="CB103" s="211"/>
      <c r="CC103" s="211"/>
      <c r="CD103" s="211"/>
      <c r="CE103" s="211"/>
      <c r="CF103" s="211"/>
      <c r="CG103" s="211"/>
      <c r="CH103" s="211"/>
      <c r="CI103" s="211"/>
      <c r="CJ103" s="62"/>
    </row>
    <row r="104" s="61" customFormat="1" ht="16" customHeight="1" spans="7:88">
      <c r="G104" s="63"/>
      <c r="M104" s="247"/>
      <c r="T104" s="64"/>
      <c r="AA104" s="63"/>
      <c r="AH104" s="63"/>
      <c r="AZ104" s="193"/>
      <c r="BA104" s="203"/>
      <c r="BB104" s="203"/>
      <c r="BC104" s="203"/>
      <c r="BD104" s="203"/>
      <c r="BE104" s="203"/>
      <c r="BF104" s="203"/>
      <c r="BG104" s="203"/>
      <c r="BH104" s="203"/>
      <c r="BI104" s="203"/>
      <c r="BJ104" s="203"/>
      <c r="BK104" s="203"/>
      <c r="BL104" s="203"/>
      <c r="BM104" s="203"/>
      <c r="BN104" s="203"/>
      <c r="BO104" s="203"/>
      <c r="BP104" s="203"/>
      <c r="BQ104" s="203"/>
      <c r="BR104" s="211"/>
      <c r="BS104" s="211"/>
      <c r="BT104" s="211"/>
      <c r="BU104" s="211"/>
      <c r="BV104" s="211"/>
      <c r="BW104" s="211"/>
      <c r="BX104" s="211"/>
      <c r="BY104" s="211"/>
      <c r="BZ104" s="211"/>
      <c r="CA104" s="211"/>
      <c r="CB104" s="211"/>
      <c r="CC104" s="211"/>
      <c r="CD104" s="211"/>
      <c r="CE104" s="211"/>
      <c r="CF104" s="211"/>
      <c r="CG104" s="211"/>
      <c r="CH104" s="211"/>
      <c r="CI104" s="211"/>
      <c r="CJ104" s="62"/>
    </row>
    <row r="105" s="61" customFormat="1" ht="16" customHeight="1" spans="7:88">
      <c r="G105" s="63"/>
      <c r="M105" s="247"/>
      <c r="T105" s="64"/>
      <c r="AA105" s="63"/>
      <c r="AH105" s="63"/>
      <c r="AZ105" s="193"/>
      <c r="BA105" s="203"/>
      <c r="BB105" s="203"/>
      <c r="BC105" s="203"/>
      <c r="BD105" s="203"/>
      <c r="BE105" s="203"/>
      <c r="BF105" s="203"/>
      <c r="BG105" s="203"/>
      <c r="BH105" s="203"/>
      <c r="BI105" s="203"/>
      <c r="BJ105" s="203"/>
      <c r="BK105" s="203"/>
      <c r="BL105" s="203"/>
      <c r="BM105" s="203"/>
      <c r="BN105" s="203"/>
      <c r="BO105" s="203"/>
      <c r="BP105" s="203"/>
      <c r="BQ105" s="203"/>
      <c r="BR105" s="211"/>
      <c r="BS105" s="211"/>
      <c r="BT105" s="211"/>
      <c r="BU105" s="211"/>
      <c r="BV105" s="211"/>
      <c r="BW105" s="211"/>
      <c r="BX105" s="211"/>
      <c r="BY105" s="211"/>
      <c r="BZ105" s="211"/>
      <c r="CA105" s="211"/>
      <c r="CB105" s="211"/>
      <c r="CC105" s="211"/>
      <c r="CD105" s="211"/>
      <c r="CE105" s="211"/>
      <c r="CF105" s="211"/>
      <c r="CG105" s="211"/>
      <c r="CH105" s="211"/>
      <c r="CI105" s="211"/>
      <c r="CJ105" s="62"/>
    </row>
    <row r="106" s="61" customFormat="1" ht="16" customHeight="1" spans="7:88">
      <c r="G106" s="63"/>
      <c r="M106" s="247"/>
      <c r="T106" s="64"/>
      <c r="AA106" s="63"/>
      <c r="AH106" s="63"/>
      <c r="AI106" s="68" t="s">
        <v>37</v>
      </c>
      <c r="AJ106" s="68" t="s">
        <v>348</v>
      </c>
      <c r="AK106" s="68" t="s">
        <v>349</v>
      </c>
      <c r="AL106" s="68" t="s">
        <v>350</v>
      </c>
      <c r="AM106" s="68" t="s">
        <v>351</v>
      </c>
      <c r="AN106" s="68" t="s">
        <v>352</v>
      </c>
      <c r="AO106" s="68" t="s">
        <v>353</v>
      </c>
      <c r="AP106" s="68" t="s">
        <v>354</v>
      </c>
      <c r="AQ106" s="68" t="s">
        <v>355</v>
      </c>
      <c r="AR106" s="241" t="s">
        <v>708</v>
      </c>
      <c r="AS106" s="68" t="s">
        <v>709</v>
      </c>
      <c r="AT106" s="68" t="s">
        <v>710</v>
      </c>
      <c r="AU106" s="241" t="s">
        <v>711</v>
      </c>
      <c r="AV106" s="68" t="s">
        <v>712</v>
      </c>
      <c r="AW106" s="384" t="s">
        <v>713</v>
      </c>
      <c r="AX106" s="68" t="s">
        <v>714</v>
      </c>
      <c r="AY106" s="68" t="s">
        <v>735</v>
      </c>
      <c r="AZ106" s="193"/>
      <c r="BA106" s="203"/>
      <c r="BB106" s="203"/>
      <c r="BC106" s="203"/>
      <c r="BD106" s="203"/>
      <c r="BE106" s="203"/>
      <c r="BF106" s="203"/>
      <c r="BG106" s="203"/>
      <c r="BH106" s="203"/>
      <c r="BI106" s="203"/>
      <c r="BJ106" s="203"/>
      <c r="BK106" s="203"/>
      <c r="BL106" s="203"/>
      <c r="BM106" s="203"/>
      <c r="BN106" s="203"/>
      <c r="BO106" s="203"/>
      <c r="BP106" s="203"/>
      <c r="BQ106" s="203"/>
      <c r="BR106" s="211"/>
      <c r="BS106" s="211"/>
      <c r="BT106" s="211"/>
      <c r="BU106" s="211"/>
      <c r="BV106" s="211"/>
      <c r="BW106" s="211"/>
      <c r="BX106" s="211"/>
      <c r="BY106" s="211"/>
      <c r="BZ106" s="211"/>
      <c r="CA106" s="211"/>
      <c r="CB106" s="211"/>
      <c r="CC106" s="211"/>
      <c r="CD106" s="211"/>
      <c r="CE106" s="211"/>
      <c r="CF106" s="211"/>
      <c r="CG106" s="211"/>
      <c r="CH106" s="211"/>
      <c r="CI106" s="211"/>
      <c r="CJ106" s="62"/>
    </row>
    <row r="107" s="61" customFormat="1" ht="16" customHeight="1" spans="7:88">
      <c r="G107" s="63"/>
      <c r="M107" s="247"/>
      <c r="T107" s="64"/>
      <c r="AA107" s="63"/>
      <c r="AH107" s="63"/>
      <c r="AI107" s="367"/>
      <c r="AJ107" s="364"/>
      <c r="AK107" s="364"/>
      <c r="AL107" s="364"/>
      <c r="AM107" s="364"/>
      <c r="AN107" s="364"/>
      <c r="AO107" s="364"/>
      <c r="AP107" s="364"/>
      <c r="AQ107" s="360"/>
      <c r="AR107" s="262">
        <f>-AT107*5%</f>
        <v>0</v>
      </c>
      <c r="AS107" s="262">
        <f>第4期!AS107+第4期!AR107+第4期!AU107</f>
        <v>0</v>
      </c>
      <c r="AT107" s="411">
        <f>第4期!AU107+第4期!AT107</f>
        <v>0</v>
      </c>
      <c r="AU107" s="262">
        <f>0.5*第4期!AP107-AS107</f>
        <v>0</v>
      </c>
      <c r="AV107" s="262">
        <f>AU107+AS107+AR107</f>
        <v>0</v>
      </c>
      <c r="AW107" s="412" t="e">
        <f>AL107/(AP107+AV107)</f>
        <v>#DIV/0!</v>
      </c>
      <c r="AX107" s="386">
        <f>MAX(AK107,第4期!AO107)</f>
        <v>0</v>
      </c>
      <c r="AY107" s="327">
        <f>IF(AI107="",0,IF(AL107&lt;MAX(AL107:AL126)/3,1,0))</f>
        <v>0</v>
      </c>
      <c r="AZ107" s="413"/>
      <c r="BA107" s="203"/>
      <c r="BB107" s="203"/>
      <c r="BC107" s="203"/>
      <c r="BD107" s="203"/>
      <c r="BE107" s="203"/>
      <c r="BF107" s="203"/>
      <c r="BG107" s="203"/>
      <c r="BH107" s="203"/>
      <c r="BI107" s="203"/>
      <c r="BJ107" s="203"/>
      <c r="BK107" s="203"/>
      <c r="BL107" s="203"/>
      <c r="BM107" s="203"/>
      <c r="BN107" s="203"/>
      <c r="BO107" s="203"/>
      <c r="BP107" s="203"/>
      <c r="BQ107" s="203"/>
      <c r="BR107" s="211"/>
      <c r="BS107" s="211"/>
      <c r="BT107" s="211"/>
      <c r="BU107" s="211"/>
      <c r="BV107" s="211"/>
      <c r="BW107" s="211"/>
      <c r="BX107" s="211"/>
      <c r="BY107" s="211"/>
      <c r="BZ107" s="211"/>
      <c r="CA107" s="211"/>
      <c r="CB107" s="211"/>
      <c r="CC107" s="211"/>
      <c r="CD107" s="211"/>
      <c r="CE107" s="211"/>
      <c r="CF107" s="211"/>
      <c r="CG107" s="211"/>
      <c r="CH107" s="211"/>
      <c r="CI107" s="211"/>
      <c r="CJ107" s="62"/>
    </row>
    <row r="108" s="61" customFormat="1" ht="16" customHeight="1" spans="7:88">
      <c r="G108" s="63"/>
      <c r="M108" s="247"/>
      <c r="T108" s="64"/>
      <c r="AA108" s="63"/>
      <c r="AH108" s="63"/>
      <c r="AI108" s="367"/>
      <c r="AJ108" s="364"/>
      <c r="AK108" s="364"/>
      <c r="AL108" s="364"/>
      <c r="AM108" s="364"/>
      <c r="AN108" s="364"/>
      <c r="AO108" s="364"/>
      <c r="AP108" s="364"/>
      <c r="AQ108" s="360"/>
      <c r="AR108" s="262">
        <f t="shared" ref="AR108:AR126" si="110">-AT108*5%</f>
        <v>0</v>
      </c>
      <c r="AS108" s="262">
        <f>第4期!AS108+第4期!AR108+第4期!AU108</f>
        <v>0</v>
      </c>
      <c r="AT108" s="411">
        <f>第4期!AU108+第4期!AT108</f>
        <v>0</v>
      </c>
      <c r="AU108" s="262">
        <f>0.5*第4期!AP108-AS108</f>
        <v>0</v>
      </c>
      <c r="AV108" s="262">
        <f t="shared" ref="AV108:AV126" si="111">AU108+AS108+AR108</f>
        <v>0</v>
      </c>
      <c r="AW108" s="412" t="e">
        <f t="shared" ref="AW108:AW126" si="112">AL108/(AP108+AV108)</f>
        <v>#DIV/0!</v>
      </c>
      <c r="AX108" s="386">
        <f>MAX(AK108,第4期!AO108)</f>
        <v>0</v>
      </c>
      <c r="AY108" s="327">
        <f t="shared" ref="AY108:AY126" si="113">IF(AI108="",0,IF(AL108&lt;MAX(AL108:AL127)/3,1,0))</f>
        <v>0</v>
      </c>
      <c r="AZ108" s="193"/>
      <c r="BA108" s="203"/>
      <c r="BB108" s="203"/>
      <c r="BC108" s="203"/>
      <c r="BD108" s="203"/>
      <c r="BE108" s="203"/>
      <c r="BF108" s="203"/>
      <c r="BG108" s="203"/>
      <c r="BH108" s="203"/>
      <c r="BI108" s="203"/>
      <c r="BJ108" s="203"/>
      <c r="BK108" s="203"/>
      <c r="BL108" s="203"/>
      <c r="BM108" s="203"/>
      <c r="BN108" s="203"/>
      <c r="BO108" s="203"/>
      <c r="BP108" s="203"/>
      <c r="BQ108" s="203"/>
      <c r="BR108" s="211"/>
      <c r="BS108" s="211"/>
      <c r="BT108" s="211"/>
      <c r="BU108" s="211"/>
      <c r="BV108" s="211"/>
      <c r="BW108" s="211"/>
      <c r="BX108" s="211"/>
      <c r="BY108" s="211"/>
      <c r="BZ108" s="211"/>
      <c r="CA108" s="211"/>
      <c r="CB108" s="211"/>
      <c r="CC108" s="211"/>
      <c r="CD108" s="211"/>
      <c r="CE108" s="211"/>
      <c r="CF108" s="211"/>
      <c r="CG108" s="211"/>
      <c r="CH108" s="211"/>
      <c r="CI108" s="211"/>
      <c r="CJ108" s="62"/>
    </row>
    <row r="109" s="61" customFormat="1" ht="16" customHeight="1" spans="7:88">
      <c r="G109" s="63"/>
      <c r="M109" s="247"/>
      <c r="T109" s="64"/>
      <c r="AA109" s="63"/>
      <c r="AH109" s="63"/>
      <c r="AI109" s="367"/>
      <c r="AJ109" s="364"/>
      <c r="AK109" s="364"/>
      <c r="AL109" s="364"/>
      <c r="AM109" s="364"/>
      <c r="AN109" s="364"/>
      <c r="AO109" s="364"/>
      <c r="AP109" s="364"/>
      <c r="AQ109" s="360"/>
      <c r="AR109" s="262">
        <f t="shared" si="110"/>
        <v>0</v>
      </c>
      <c r="AS109" s="262">
        <f>第4期!AS109+第4期!AR109+第4期!AU109</f>
        <v>0</v>
      </c>
      <c r="AT109" s="411">
        <f>第4期!AU109+第4期!AT109</f>
        <v>0</v>
      </c>
      <c r="AU109" s="262">
        <f>0.5*第4期!AP109-AS109</f>
        <v>0</v>
      </c>
      <c r="AV109" s="262">
        <f t="shared" si="111"/>
        <v>0</v>
      </c>
      <c r="AW109" s="412" t="e">
        <f t="shared" si="112"/>
        <v>#DIV/0!</v>
      </c>
      <c r="AX109" s="386">
        <f>MAX(AK109,第4期!AO109)</f>
        <v>0</v>
      </c>
      <c r="AY109" s="327">
        <f t="shared" si="113"/>
        <v>0</v>
      </c>
      <c r="AZ109" s="193"/>
      <c r="BA109" s="203"/>
      <c r="BB109" s="203"/>
      <c r="BC109" s="203"/>
      <c r="BD109" s="203"/>
      <c r="BE109" s="203"/>
      <c r="BF109" s="203"/>
      <c r="BG109" s="203"/>
      <c r="BH109" s="203"/>
      <c r="BI109" s="203"/>
      <c r="BJ109" s="203"/>
      <c r="BK109" s="203"/>
      <c r="BL109" s="203"/>
      <c r="BM109" s="203"/>
      <c r="BN109" s="203"/>
      <c r="BO109" s="203"/>
      <c r="BP109" s="203"/>
      <c r="BQ109" s="203"/>
      <c r="BR109" s="211"/>
      <c r="BS109" s="211"/>
      <c r="BT109" s="211"/>
      <c r="BU109" s="211"/>
      <c r="BV109" s="211"/>
      <c r="BW109" s="211"/>
      <c r="BX109" s="211"/>
      <c r="BY109" s="211"/>
      <c r="BZ109" s="211"/>
      <c r="CA109" s="211"/>
      <c r="CB109" s="211"/>
      <c r="CC109" s="211"/>
      <c r="CD109" s="211"/>
      <c r="CE109" s="211"/>
      <c r="CF109" s="211"/>
      <c r="CG109" s="211"/>
      <c r="CH109" s="211"/>
      <c r="CI109" s="211"/>
      <c r="CJ109" s="62"/>
    </row>
    <row r="110" s="61" customFormat="1" ht="16" customHeight="1" spans="7:88">
      <c r="G110" s="63"/>
      <c r="M110" s="247"/>
      <c r="T110" s="64"/>
      <c r="AA110" s="63"/>
      <c r="AH110" s="63"/>
      <c r="AI110" s="367"/>
      <c r="AJ110" s="364"/>
      <c r="AK110" s="364"/>
      <c r="AL110" s="364"/>
      <c r="AM110" s="364"/>
      <c r="AN110" s="364"/>
      <c r="AO110" s="364"/>
      <c r="AP110" s="364"/>
      <c r="AQ110" s="360"/>
      <c r="AR110" s="262">
        <f t="shared" si="110"/>
        <v>0</v>
      </c>
      <c r="AS110" s="262">
        <f>第4期!AS110+第4期!AR110+第4期!AU110</f>
        <v>0</v>
      </c>
      <c r="AT110" s="411">
        <f>第4期!AU110+第4期!AT110</f>
        <v>0</v>
      </c>
      <c r="AU110" s="262">
        <f>0.5*第4期!AP110-AS110</f>
        <v>0</v>
      </c>
      <c r="AV110" s="262">
        <f t="shared" si="111"/>
        <v>0</v>
      </c>
      <c r="AW110" s="412" t="e">
        <f t="shared" si="112"/>
        <v>#DIV/0!</v>
      </c>
      <c r="AX110" s="386">
        <f>MAX(AK110,第4期!AO110)</f>
        <v>0</v>
      </c>
      <c r="AY110" s="327">
        <f t="shared" si="113"/>
        <v>0</v>
      </c>
      <c r="AZ110" s="193"/>
      <c r="BA110" s="203"/>
      <c r="BB110" s="203"/>
      <c r="BC110" s="203"/>
      <c r="BD110" s="203"/>
      <c r="BE110" s="203"/>
      <c r="BF110" s="203"/>
      <c r="BG110" s="203"/>
      <c r="BH110" s="203"/>
      <c r="BI110" s="203"/>
      <c r="BJ110" s="203"/>
      <c r="BK110" s="203"/>
      <c r="BL110" s="203"/>
      <c r="BM110" s="203"/>
      <c r="BN110" s="203"/>
      <c r="BO110" s="203"/>
      <c r="BP110" s="203"/>
      <c r="BQ110" s="203"/>
      <c r="BR110" s="211"/>
      <c r="BS110" s="211"/>
      <c r="BT110" s="211"/>
      <c r="BU110" s="211"/>
      <c r="BV110" s="211"/>
      <c r="BW110" s="211"/>
      <c r="BX110" s="211"/>
      <c r="BY110" s="211"/>
      <c r="BZ110" s="211"/>
      <c r="CA110" s="211"/>
      <c r="CB110" s="211"/>
      <c r="CC110" s="211"/>
      <c r="CD110" s="211"/>
      <c r="CE110" s="211"/>
      <c r="CF110" s="211"/>
      <c r="CG110" s="211"/>
      <c r="CH110" s="211"/>
      <c r="CI110" s="211"/>
      <c r="CJ110" s="62"/>
    </row>
    <row r="111" s="61" customFormat="1" ht="16" customHeight="1" spans="7:88">
      <c r="G111" s="63"/>
      <c r="M111" s="247"/>
      <c r="T111" s="64"/>
      <c r="AA111" s="63"/>
      <c r="AH111" s="63"/>
      <c r="AI111" s="367"/>
      <c r="AJ111" s="364"/>
      <c r="AK111" s="364"/>
      <c r="AL111" s="364"/>
      <c r="AM111" s="364"/>
      <c r="AN111" s="364"/>
      <c r="AO111" s="364"/>
      <c r="AP111" s="364"/>
      <c r="AQ111" s="360"/>
      <c r="AR111" s="262">
        <f t="shared" si="110"/>
        <v>0</v>
      </c>
      <c r="AS111" s="262">
        <f>第4期!AS111+第4期!AR111+第4期!AU111</f>
        <v>0</v>
      </c>
      <c r="AT111" s="411">
        <f>第4期!AU111+第4期!AT111</f>
        <v>0</v>
      </c>
      <c r="AU111" s="262">
        <f>0.5*第4期!AP111-AS111</f>
        <v>0</v>
      </c>
      <c r="AV111" s="262">
        <f t="shared" si="111"/>
        <v>0</v>
      </c>
      <c r="AW111" s="412" t="e">
        <f t="shared" si="112"/>
        <v>#DIV/0!</v>
      </c>
      <c r="AX111" s="386">
        <f>MAX(AK111,第4期!AO111)</f>
        <v>0</v>
      </c>
      <c r="AY111" s="327">
        <f t="shared" si="113"/>
        <v>0</v>
      </c>
      <c r="AZ111" s="193"/>
      <c r="BA111" s="203"/>
      <c r="BB111" s="203"/>
      <c r="BC111" s="203"/>
      <c r="BD111" s="203"/>
      <c r="BE111" s="203"/>
      <c r="BF111" s="203"/>
      <c r="BG111" s="203"/>
      <c r="BH111" s="203"/>
      <c r="BI111" s="203"/>
      <c r="BJ111" s="203"/>
      <c r="BK111" s="203"/>
      <c r="BL111" s="203"/>
      <c r="BM111" s="203"/>
      <c r="BN111" s="203"/>
      <c r="BO111" s="203"/>
      <c r="BP111" s="203"/>
      <c r="BQ111" s="203"/>
      <c r="BR111" s="211"/>
      <c r="BS111" s="211"/>
      <c r="BT111" s="211"/>
      <c r="BU111" s="211"/>
      <c r="BV111" s="211"/>
      <c r="BW111" s="211"/>
      <c r="BX111" s="211"/>
      <c r="BY111" s="211"/>
      <c r="BZ111" s="211"/>
      <c r="CA111" s="211"/>
      <c r="CB111" s="211"/>
      <c r="CC111" s="211"/>
      <c r="CD111" s="211"/>
      <c r="CE111" s="211"/>
      <c r="CF111" s="211"/>
      <c r="CG111" s="211"/>
      <c r="CH111" s="211"/>
      <c r="CI111" s="211"/>
      <c r="CJ111" s="62"/>
    </row>
    <row r="112" s="61" customFormat="1" ht="16" customHeight="1" spans="7:88">
      <c r="G112" s="63"/>
      <c r="M112" s="247"/>
      <c r="T112" s="64"/>
      <c r="AA112" s="63"/>
      <c r="AH112" s="63"/>
      <c r="AI112" s="367"/>
      <c r="AJ112" s="364"/>
      <c r="AK112" s="364"/>
      <c r="AL112" s="364"/>
      <c r="AM112" s="364"/>
      <c r="AN112" s="364"/>
      <c r="AO112" s="364"/>
      <c r="AP112" s="364"/>
      <c r="AQ112" s="360"/>
      <c r="AR112" s="262">
        <f t="shared" si="110"/>
        <v>0</v>
      </c>
      <c r="AS112" s="262">
        <f>第4期!AS112+第4期!AR112+第4期!AU112</f>
        <v>0</v>
      </c>
      <c r="AT112" s="411">
        <f>第4期!AU112+第4期!AT112</f>
        <v>0</v>
      </c>
      <c r="AU112" s="262">
        <f>0.5*第4期!AP112-AS112</f>
        <v>0</v>
      </c>
      <c r="AV112" s="262">
        <f t="shared" si="111"/>
        <v>0</v>
      </c>
      <c r="AW112" s="412" t="e">
        <f t="shared" si="112"/>
        <v>#DIV/0!</v>
      </c>
      <c r="AX112" s="386">
        <f>MAX(AK112,第4期!AO112)</f>
        <v>0</v>
      </c>
      <c r="AY112" s="327">
        <f t="shared" si="113"/>
        <v>0</v>
      </c>
      <c r="AZ112" s="193"/>
      <c r="BA112" s="203"/>
      <c r="BB112" s="203"/>
      <c r="BC112" s="203"/>
      <c r="BD112" s="203"/>
      <c r="BE112" s="203"/>
      <c r="BF112" s="203"/>
      <c r="BG112" s="203"/>
      <c r="BH112" s="203"/>
      <c r="BI112" s="203"/>
      <c r="BJ112" s="203"/>
      <c r="BK112" s="203"/>
      <c r="BL112" s="203"/>
      <c r="BM112" s="203"/>
      <c r="BN112" s="203"/>
      <c r="BO112" s="203"/>
      <c r="BP112" s="203"/>
      <c r="BQ112" s="203"/>
      <c r="BR112" s="211"/>
      <c r="BS112" s="211"/>
      <c r="BT112" s="211"/>
      <c r="BU112" s="211"/>
      <c r="BV112" s="211"/>
      <c r="BW112" s="211"/>
      <c r="BX112" s="211"/>
      <c r="BY112" s="211"/>
      <c r="BZ112" s="211"/>
      <c r="CA112" s="211"/>
      <c r="CB112" s="211"/>
      <c r="CC112" s="211"/>
      <c r="CD112" s="211"/>
      <c r="CE112" s="211"/>
      <c r="CF112" s="211"/>
      <c r="CG112" s="211"/>
      <c r="CH112" s="211"/>
      <c r="CI112" s="211"/>
      <c r="CJ112" s="62"/>
    </row>
    <row r="113" s="61" customFormat="1" ht="16" customHeight="1" spans="7:88">
      <c r="G113" s="63"/>
      <c r="M113" s="247"/>
      <c r="T113" s="64"/>
      <c r="AA113" s="63"/>
      <c r="AH113" s="63"/>
      <c r="AI113" s="367"/>
      <c r="AJ113" s="364"/>
      <c r="AK113" s="364"/>
      <c r="AL113" s="364"/>
      <c r="AM113" s="364"/>
      <c r="AN113" s="364"/>
      <c r="AO113" s="364"/>
      <c r="AP113" s="364"/>
      <c r="AQ113" s="360"/>
      <c r="AR113" s="262">
        <f t="shared" si="110"/>
        <v>0</v>
      </c>
      <c r="AS113" s="262">
        <f>第4期!AS113+第4期!AR113+第4期!AU113</f>
        <v>0</v>
      </c>
      <c r="AT113" s="411">
        <f>第4期!AU113+第4期!AT113</f>
        <v>0</v>
      </c>
      <c r="AU113" s="262">
        <f>0.5*第4期!AP113-AS113</f>
        <v>0</v>
      </c>
      <c r="AV113" s="262">
        <f t="shared" si="111"/>
        <v>0</v>
      </c>
      <c r="AW113" s="412" t="e">
        <f t="shared" si="112"/>
        <v>#DIV/0!</v>
      </c>
      <c r="AX113" s="386">
        <f>MAX(AK113,第4期!AO113)</f>
        <v>0</v>
      </c>
      <c r="AY113" s="327">
        <f t="shared" si="113"/>
        <v>0</v>
      </c>
      <c r="AZ113" s="193"/>
      <c r="BA113" s="203"/>
      <c r="BB113" s="203"/>
      <c r="BC113" s="203"/>
      <c r="BD113" s="203"/>
      <c r="BE113" s="203"/>
      <c r="BF113" s="203"/>
      <c r="BG113" s="203"/>
      <c r="BH113" s="203"/>
      <c r="BI113" s="203"/>
      <c r="BJ113" s="203"/>
      <c r="BK113" s="203"/>
      <c r="BL113" s="203"/>
      <c r="BM113" s="203"/>
      <c r="BN113" s="203"/>
      <c r="BO113" s="203"/>
      <c r="BP113" s="203"/>
      <c r="BQ113" s="203"/>
      <c r="BR113" s="211"/>
      <c r="BS113" s="211"/>
      <c r="BT113" s="211"/>
      <c r="BU113" s="211"/>
      <c r="BV113" s="211"/>
      <c r="BW113" s="211"/>
      <c r="BX113" s="211"/>
      <c r="BY113" s="211"/>
      <c r="BZ113" s="211"/>
      <c r="CA113" s="211"/>
      <c r="CB113" s="211"/>
      <c r="CC113" s="211"/>
      <c r="CD113" s="211"/>
      <c r="CE113" s="211"/>
      <c r="CF113" s="211"/>
      <c r="CG113" s="211"/>
      <c r="CH113" s="211"/>
      <c r="CI113" s="211"/>
      <c r="CJ113" s="62"/>
    </row>
    <row r="114" s="61" customFormat="1" ht="16" customHeight="1" spans="7:88">
      <c r="G114" s="63"/>
      <c r="M114" s="247"/>
      <c r="T114" s="64"/>
      <c r="AA114" s="63"/>
      <c r="AH114" s="63"/>
      <c r="AI114" s="367"/>
      <c r="AJ114" s="364"/>
      <c r="AK114" s="364"/>
      <c r="AL114" s="364"/>
      <c r="AM114" s="364"/>
      <c r="AN114" s="364"/>
      <c r="AO114" s="364"/>
      <c r="AP114" s="364"/>
      <c r="AQ114" s="360"/>
      <c r="AR114" s="262">
        <f t="shared" si="110"/>
        <v>0</v>
      </c>
      <c r="AS114" s="262">
        <f>第4期!AS114+第4期!AR114+第4期!AU114</f>
        <v>0</v>
      </c>
      <c r="AT114" s="411">
        <f>第4期!AU114+第4期!AT114</f>
        <v>0</v>
      </c>
      <c r="AU114" s="262">
        <f>0.5*第4期!AP114-AS114</f>
        <v>0</v>
      </c>
      <c r="AV114" s="262">
        <f t="shared" si="111"/>
        <v>0</v>
      </c>
      <c r="AW114" s="412" t="e">
        <f t="shared" si="112"/>
        <v>#DIV/0!</v>
      </c>
      <c r="AX114" s="386">
        <f>MAX(AK114,第4期!AO114)</f>
        <v>0</v>
      </c>
      <c r="AY114" s="327">
        <f t="shared" si="113"/>
        <v>0</v>
      </c>
      <c r="AZ114" s="193"/>
      <c r="BA114" s="203"/>
      <c r="BB114" s="203"/>
      <c r="BC114" s="203"/>
      <c r="BD114" s="203"/>
      <c r="BE114" s="203"/>
      <c r="BF114" s="203"/>
      <c r="BG114" s="203"/>
      <c r="BH114" s="203"/>
      <c r="BI114" s="203"/>
      <c r="BJ114" s="203"/>
      <c r="BK114" s="203"/>
      <c r="BL114" s="203"/>
      <c r="BM114" s="203"/>
      <c r="BN114" s="203"/>
      <c r="BO114" s="203"/>
      <c r="BP114" s="203"/>
      <c r="BQ114" s="203"/>
      <c r="BR114" s="211"/>
      <c r="BS114" s="211"/>
      <c r="BT114" s="211"/>
      <c r="BU114" s="211"/>
      <c r="BV114" s="211"/>
      <c r="BW114" s="211"/>
      <c r="BX114" s="211"/>
      <c r="BY114" s="211"/>
      <c r="BZ114" s="211"/>
      <c r="CA114" s="211"/>
      <c r="CB114" s="211"/>
      <c r="CC114" s="211"/>
      <c r="CD114" s="211"/>
      <c r="CE114" s="211"/>
      <c r="CF114" s="211"/>
      <c r="CG114" s="211"/>
      <c r="CH114" s="211"/>
      <c r="CI114" s="211"/>
      <c r="CJ114" s="62"/>
    </row>
    <row r="115" s="61" customFormat="1" ht="16" customHeight="1" spans="7:88">
      <c r="G115" s="63"/>
      <c r="M115" s="247"/>
      <c r="T115" s="64"/>
      <c r="AA115" s="63"/>
      <c r="AH115" s="63"/>
      <c r="AI115" s="367"/>
      <c r="AJ115" s="364"/>
      <c r="AK115" s="364"/>
      <c r="AL115" s="364"/>
      <c r="AM115" s="364"/>
      <c r="AN115" s="364"/>
      <c r="AO115" s="364"/>
      <c r="AP115" s="364"/>
      <c r="AQ115" s="360"/>
      <c r="AR115" s="262">
        <f t="shared" si="110"/>
        <v>0</v>
      </c>
      <c r="AS115" s="262">
        <f>第4期!AS115+第4期!AR115+第4期!AU115</f>
        <v>0</v>
      </c>
      <c r="AT115" s="411">
        <f>第4期!AU115+第4期!AT115</f>
        <v>0</v>
      </c>
      <c r="AU115" s="262">
        <f>0.5*第4期!AP115-AS115</f>
        <v>0</v>
      </c>
      <c r="AV115" s="262">
        <f t="shared" si="111"/>
        <v>0</v>
      </c>
      <c r="AW115" s="412" t="e">
        <f t="shared" si="112"/>
        <v>#DIV/0!</v>
      </c>
      <c r="AX115" s="386">
        <f>MAX(AK115,第4期!AO115)</f>
        <v>0</v>
      </c>
      <c r="AY115" s="327">
        <f t="shared" si="113"/>
        <v>0</v>
      </c>
      <c r="AZ115" s="193"/>
      <c r="BA115" s="203"/>
      <c r="BB115" s="203"/>
      <c r="BC115" s="203"/>
      <c r="BD115" s="203"/>
      <c r="BE115" s="203"/>
      <c r="BF115" s="203"/>
      <c r="BG115" s="203"/>
      <c r="BH115" s="203"/>
      <c r="BI115" s="203"/>
      <c r="BJ115" s="203"/>
      <c r="BK115" s="203"/>
      <c r="BL115" s="203"/>
      <c r="BM115" s="203"/>
      <c r="BN115" s="203"/>
      <c r="BO115" s="203"/>
      <c r="BP115" s="203"/>
      <c r="BQ115" s="203"/>
      <c r="BR115" s="211"/>
      <c r="BS115" s="211"/>
      <c r="BT115" s="211"/>
      <c r="BU115" s="211"/>
      <c r="BV115" s="211"/>
      <c r="BW115" s="211"/>
      <c r="BX115" s="211"/>
      <c r="BY115" s="211"/>
      <c r="BZ115" s="211"/>
      <c r="CA115" s="211"/>
      <c r="CB115" s="211"/>
      <c r="CC115" s="211"/>
      <c r="CD115" s="211"/>
      <c r="CE115" s="211"/>
      <c r="CF115" s="211"/>
      <c r="CG115" s="211"/>
      <c r="CH115" s="211"/>
      <c r="CI115" s="211"/>
      <c r="CJ115" s="62"/>
    </row>
    <row r="116" s="61" customFormat="1" ht="16" customHeight="1" spans="7:88">
      <c r="G116" s="63"/>
      <c r="M116" s="247"/>
      <c r="T116" s="64"/>
      <c r="AA116" s="63"/>
      <c r="AH116" s="63"/>
      <c r="AI116" s="367"/>
      <c r="AJ116" s="364"/>
      <c r="AK116" s="364"/>
      <c r="AL116" s="364"/>
      <c r="AM116" s="364"/>
      <c r="AN116" s="364"/>
      <c r="AO116" s="364"/>
      <c r="AP116" s="364"/>
      <c r="AQ116" s="360"/>
      <c r="AR116" s="262">
        <f t="shared" si="110"/>
        <v>0</v>
      </c>
      <c r="AS116" s="262">
        <f>第4期!AS116+第4期!AR116+第4期!AU116</f>
        <v>0</v>
      </c>
      <c r="AT116" s="411">
        <f>第4期!AU116+第4期!AT116</f>
        <v>0</v>
      </c>
      <c r="AU116" s="262">
        <f>0.5*第4期!AP116-AS116</f>
        <v>0</v>
      </c>
      <c r="AV116" s="262">
        <f t="shared" si="111"/>
        <v>0</v>
      </c>
      <c r="AW116" s="412" t="e">
        <f t="shared" si="112"/>
        <v>#DIV/0!</v>
      </c>
      <c r="AX116" s="386">
        <f>MAX(AK116,第4期!AO116)</f>
        <v>0</v>
      </c>
      <c r="AY116" s="327">
        <f t="shared" si="113"/>
        <v>0</v>
      </c>
      <c r="AZ116" s="193"/>
      <c r="BA116" s="203"/>
      <c r="BB116" s="203"/>
      <c r="BC116" s="203"/>
      <c r="BD116" s="203"/>
      <c r="BE116" s="203"/>
      <c r="BF116" s="203"/>
      <c r="BG116" s="203"/>
      <c r="BH116" s="203"/>
      <c r="BI116" s="203"/>
      <c r="BJ116" s="203"/>
      <c r="BK116" s="203"/>
      <c r="BL116" s="203"/>
      <c r="BM116" s="203"/>
      <c r="BN116" s="203"/>
      <c r="BO116" s="203"/>
      <c r="BP116" s="203"/>
      <c r="BQ116" s="203"/>
      <c r="BR116" s="211"/>
      <c r="BS116" s="211"/>
      <c r="BT116" s="211"/>
      <c r="BU116" s="211"/>
      <c r="BV116" s="211"/>
      <c r="BW116" s="211"/>
      <c r="BX116" s="211"/>
      <c r="BY116" s="211"/>
      <c r="BZ116" s="211"/>
      <c r="CA116" s="211"/>
      <c r="CB116" s="211"/>
      <c r="CC116" s="211"/>
      <c r="CD116" s="211"/>
      <c r="CE116" s="211"/>
      <c r="CF116" s="211"/>
      <c r="CG116" s="211"/>
      <c r="CH116" s="211"/>
      <c r="CI116" s="211"/>
      <c r="CJ116" s="62"/>
    </row>
    <row r="117" s="61" customFormat="1" ht="16" customHeight="1" spans="7:88">
      <c r="G117" s="63"/>
      <c r="M117" s="247"/>
      <c r="T117" s="64"/>
      <c r="AA117" s="63"/>
      <c r="AH117" s="63"/>
      <c r="AI117" s="367"/>
      <c r="AJ117" s="364"/>
      <c r="AK117" s="364"/>
      <c r="AL117" s="364"/>
      <c r="AM117" s="364"/>
      <c r="AN117" s="364"/>
      <c r="AO117" s="364"/>
      <c r="AP117" s="364"/>
      <c r="AQ117" s="360"/>
      <c r="AR117" s="262">
        <f t="shared" si="110"/>
        <v>0</v>
      </c>
      <c r="AS117" s="262">
        <f>第4期!AS117+第4期!AR117+第4期!AU117</f>
        <v>0</v>
      </c>
      <c r="AT117" s="411">
        <f>第4期!AU117+第4期!AT117</f>
        <v>0</v>
      </c>
      <c r="AU117" s="262">
        <f>0.5*第4期!AP117-AS117</f>
        <v>0</v>
      </c>
      <c r="AV117" s="262">
        <f t="shared" si="111"/>
        <v>0</v>
      </c>
      <c r="AW117" s="412" t="e">
        <f t="shared" si="112"/>
        <v>#DIV/0!</v>
      </c>
      <c r="AX117" s="386">
        <f>MAX(AK117,第4期!AO117)</f>
        <v>0</v>
      </c>
      <c r="AY117" s="327">
        <f t="shared" si="113"/>
        <v>0</v>
      </c>
      <c r="AZ117" s="193"/>
      <c r="BA117" s="203"/>
      <c r="BB117" s="203"/>
      <c r="BC117" s="203"/>
      <c r="BD117" s="203"/>
      <c r="BE117" s="203"/>
      <c r="BF117" s="203"/>
      <c r="BG117" s="203"/>
      <c r="BH117" s="203"/>
      <c r="BI117" s="203"/>
      <c r="BJ117" s="203"/>
      <c r="BK117" s="203"/>
      <c r="BL117" s="203"/>
      <c r="BM117" s="203"/>
      <c r="BN117" s="203"/>
      <c r="BO117" s="203"/>
      <c r="BP117" s="203"/>
      <c r="BQ117" s="203"/>
      <c r="BR117" s="211"/>
      <c r="BS117" s="211"/>
      <c r="BT117" s="211"/>
      <c r="BU117" s="211"/>
      <c r="BV117" s="211"/>
      <c r="BW117" s="211"/>
      <c r="BX117" s="211"/>
      <c r="BY117" s="211"/>
      <c r="BZ117" s="211"/>
      <c r="CA117" s="211"/>
      <c r="CB117" s="211"/>
      <c r="CC117" s="211"/>
      <c r="CD117" s="211"/>
      <c r="CE117" s="211"/>
      <c r="CF117" s="211"/>
      <c r="CG117" s="211"/>
      <c r="CH117" s="211"/>
      <c r="CI117" s="211"/>
      <c r="CJ117" s="62"/>
    </row>
    <row r="118" s="61" customFormat="1" ht="16" customHeight="1" spans="7:88">
      <c r="G118" s="63"/>
      <c r="M118" s="247"/>
      <c r="T118" s="64"/>
      <c r="AA118" s="63"/>
      <c r="AH118" s="63"/>
      <c r="AI118" s="367"/>
      <c r="AJ118" s="364"/>
      <c r="AK118" s="364"/>
      <c r="AL118" s="364"/>
      <c r="AM118" s="364"/>
      <c r="AN118" s="364"/>
      <c r="AO118" s="364"/>
      <c r="AP118" s="364"/>
      <c r="AQ118" s="360"/>
      <c r="AR118" s="262">
        <f t="shared" si="110"/>
        <v>0</v>
      </c>
      <c r="AS118" s="262">
        <f>第4期!AS118+第4期!AR118+第4期!AU118</f>
        <v>0</v>
      </c>
      <c r="AT118" s="411">
        <f>第4期!AU118+第4期!AT118</f>
        <v>0</v>
      </c>
      <c r="AU118" s="262">
        <f>0.5*第4期!AP118-AS118</f>
        <v>0</v>
      </c>
      <c r="AV118" s="262">
        <f t="shared" si="111"/>
        <v>0</v>
      </c>
      <c r="AW118" s="412" t="e">
        <f t="shared" si="112"/>
        <v>#DIV/0!</v>
      </c>
      <c r="AX118" s="386">
        <f>MAX(AK118,第4期!AO118)</f>
        <v>0</v>
      </c>
      <c r="AY118" s="327">
        <f t="shared" si="113"/>
        <v>0</v>
      </c>
      <c r="AZ118" s="193"/>
      <c r="BA118" s="203"/>
      <c r="BB118" s="203"/>
      <c r="BC118" s="203"/>
      <c r="BD118" s="203"/>
      <c r="BE118" s="203"/>
      <c r="BF118" s="203"/>
      <c r="BG118" s="203"/>
      <c r="BH118" s="203"/>
      <c r="BI118" s="203"/>
      <c r="BJ118" s="203"/>
      <c r="BK118" s="203"/>
      <c r="BL118" s="203"/>
      <c r="BM118" s="203"/>
      <c r="BN118" s="203"/>
      <c r="BO118" s="203"/>
      <c r="BP118" s="203"/>
      <c r="BQ118" s="203"/>
      <c r="BR118" s="211"/>
      <c r="BS118" s="211"/>
      <c r="BT118" s="211"/>
      <c r="BU118" s="211"/>
      <c r="BV118" s="211"/>
      <c r="BW118" s="211"/>
      <c r="BX118" s="211"/>
      <c r="BY118" s="211"/>
      <c r="BZ118" s="211"/>
      <c r="CA118" s="211"/>
      <c r="CB118" s="211"/>
      <c r="CC118" s="211"/>
      <c r="CD118" s="211"/>
      <c r="CE118" s="211"/>
      <c r="CF118" s="211"/>
      <c r="CG118" s="211"/>
      <c r="CH118" s="211"/>
      <c r="CI118" s="211"/>
      <c r="CJ118" s="62"/>
    </row>
    <row r="119" s="61" customFormat="1" ht="16" customHeight="1" spans="7:88">
      <c r="G119" s="63"/>
      <c r="M119" s="247"/>
      <c r="T119" s="64"/>
      <c r="AA119" s="63"/>
      <c r="AH119" s="63"/>
      <c r="AI119" s="367"/>
      <c r="AJ119" s="364"/>
      <c r="AK119" s="364"/>
      <c r="AL119" s="364"/>
      <c r="AM119" s="364"/>
      <c r="AN119" s="364"/>
      <c r="AO119" s="364"/>
      <c r="AP119" s="364"/>
      <c r="AQ119" s="360"/>
      <c r="AR119" s="262">
        <f t="shared" si="110"/>
        <v>0</v>
      </c>
      <c r="AS119" s="262">
        <f>第4期!AS119+第4期!AR119+第4期!AU119</f>
        <v>0</v>
      </c>
      <c r="AT119" s="411">
        <f>第4期!AU119+第4期!AT119</f>
        <v>0</v>
      </c>
      <c r="AU119" s="262">
        <f>0.5*第4期!AP119-AS119</f>
        <v>0</v>
      </c>
      <c r="AV119" s="262">
        <f t="shared" si="111"/>
        <v>0</v>
      </c>
      <c r="AW119" s="412" t="e">
        <f t="shared" si="112"/>
        <v>#DIV/0!</v>
      </c>
      <c r="AX119" s="386">
        <f>MAX(AK119,第4期!AO119)</f>
        <v>0</v>
      </c>
      <c r="AY119" s="327">
        <f t="shared" si="113"/>
        <v>0</v>
      </c>
      <c r="AZ119" s="63"/>
      <c r="BR119" s="62"/>
      <c r="BS119" s="62"/>
      <c r="BT119" s="62"/>
      <c r="BU119" s="62"/>
      <c r="BV119" s="62"/>
      <c r="BW119" s="62"/>
      <c r="BX119" s="62"/>
      <c r="BY119" s="62"/>
      <c r="BZ119" s="62"/>
      <c r="CA119" s="62"/>
      <c r="CB119" s="62"/>
      <c r="CC119" s="62"/>
      <c r="CD119" s="62"/>
      <c r="CE119" s="62"/>
      <c r="CF119" s="62"/>
      <c r="CG119" s="62"/>
      <c r="CH119" s="62"/>
      <c r="CI119" s="62"/>
      <c r="CJ119" s="62"/>
    </row>
    <row r="120" s="61" customFormat="1" ht="16" customHeight="1" spans="7:88">
      <c r="G120" s="63"/>
      <c r="M120" s="247"/>
      <c r="T120" s="64"/>
      <c r="AA120" s="63"/>
      <c r="AH120" s="63"/>
      <c r="AI120" s="367"/>
      <c r="AJ120" s="364"/>
      <c r="AK120" s="364"/>
      <c r="AL120" s="364"/>
      <c r="AM120" s="364"/>
      <c r="AN120" s="364"/>
      <c r="AO120" s="364"/>
      <c r="AP120" s="364"/>
      <c r="AQ120" s="360"/>
      <c r="AR120" s="262">
        <f t="shared" si="110"/>
        <v>0</v>
      </c>
      <c r="AS120" s="262">
        <f>第4期!AS120+第4期!AR120+第4期!AU120</f>
        <v>0</v>
      </c>
      <c r="AT120" s="411">
        <f>第4期!AU120+第4期!AT120</f>
        <v>0</v>
      </c>
      <c r="AU120" s="262">
        <f>0.5*第4期!AP120-AS120</f>
        <v>0</v>
      </c>
      <c r="AV120" s="262">
        <f t="shared" si="111"/>
        <v>0</v>
      </c>
      <c r="AW120" s="412" t="e">
        <f t="shared" si="112"/>
        <v>#DIV/0!</v>
      </c>
      <c r="AX120" s="386">
        <f>MAX(AK120,第4期!AO120)</f>
        <v>0</v>
      </c>
      <c r="AY120" s="327">
        <f t="shared" si="113"/>
        <v>0</v>
      </c>
      <c r="AZ120" s="63"/>
      <c r="BR120" s="62"/>
      <c r="BS120" s="62"/>
      <c r="BT120" s="62"/>
      <c r="BU120" s="62"/>
      <c r="BV120" s="62"/>
      <c r="BW120" s="62"/>
      <c r="BX120" s="62"/>
      <c r="BY120" s="62"/>
      <c r="BZ120" s="62"/>
      <c r="CA120" s="62"/>
      <c r="CB120" s="62"/>
      <c r="CC120" s="62"/>
      <c r="CD120" s="62"/>
      <c r="CE120" s="62"/>
      <c r="CF120" s="62"/>
      <c r="CG120" s="62"/>
      <c r="CH120" s="62"/>
      <c r="CI120" s="62"/>
      <c r="CJ120" s="62"/>
    </row>
    <row r="121" s="61" customFormat="1" ht="16" customHeight="1" spans="7:88">
      <c r="G121" s="63"/>
      <c r="M121" s="247"/>
      <c r="T121" s="64"/>
      <c r="AA121" s="63"/>
      <c r="AH121" s="63"/>
      <c r="AI121" s="367"/>
      <c r="AJ121" s="364"/>
      <c r="AK121" s="364"/>
      <c r="AL121" s="364"/>
      <c r="AM121" s="364"/>
      <c r="AN121" s="364"/>
      <c r="AO121" s="364"/>
      <c r="AP121" s="364"/>
      <c r="AQ121" s="360"/>
      <c r="AR121" s="262">
        <f t="shared" si="110"/>
        <v>0</v>
      </c>
      <c r="AS121" s="262">
        <f>第4期!AS121+第4期!AR121+第4期!AU121</f>
        <v>0</v>
      </c>
      <c r="AT121" s="411">
        <f>第4期!AU121+第4期!AT121</f>
        <v>0</v>
      </c>
      <c r="AU121" s="262">
        <f>0.5*第4期!AP121-AS121</f>
        <v>0</v>
      </c>
      <c r="AV121" s="262">
        <f t="shared" si="111"/>
        <v>0</v>
      </c>
      <c r="AW121" s="412" t="e">
        <f t="shared" si="112"/>
        <v>#DIV/0!</v>
      </c>
      <c r="AX121" s="386">
        <f>MAX(AK121,第4期!AO121)</f>
        <v>0</v>
      </c>
      <c r="AY121" s="327">
        <f t="shared" si="113"/>
        <v>0</v>
      </c>
      <c r="AZ121" s="63"/>
      <c r="BR121" s="62"/>
      <c r="BS121" s="62"/>
      <c r="BT121" s="62"/>
      <c r="BU121" s="62"/>
      <c r="BV121" s="62"/>
      <c r="BW121" s="62"/>
      <c r="BX121" s="62"/>
      <c r="BY121" s="62"/>
      <c r="BZ121" s="62"/>
      <c r="CA121" s="62"/>
      <c r="CB121" s="62"/>
      <c r="CC121" s="62"/>
      <c r="CD121" s="62"/>
      <c r="CE121" s="62"/>
      <c r="CF121" s="62"/>
      <c r="CG121" s="62"/>
      <c r="CH121" s="62"/>
      <c r="CI121" s="62"/>
      <c r="CJ121" s="62"/>
    </row>
    <row r="122" s="61" customFormat="1" ht="16" customHeight="1" spans="7:88">
      <c r="G122" s="63"/>
      <c r="M122" s="247"/>
      <c r="T122" s="64"/>
      <c r="AA122" s="63"/>
      <c r="AH122" s="63"/>
      <c r="AI122" s="367"/>
      <c r="AJ122" s="364"/>
      <c r="AK122" s="364"/>
      <c r="AL122" s="364"/>
      <c r="AM122" s="364"/>
      <c r="AN122" s="364"/>
      <c r="AO122" s="364"/>
      <c r="AP122" s="364"/>
      <c r="AQ122" s="360"/>
      <c r="AR122" s="262">
        <f t="shared" si="110"/>
        <v>0</v>
      </c>
      <c r="AS122" s="262">
        <f>第4期!AS122+第4期!AR122+第4期!AU122</f>
        <v>0</v>
      </c>
      <c r="AT122" s="411">
        <f>第4期!AU122+第4期!AT122</f>
        <v>0</v>
      </c>
      <c r="AU122" s="262">
        <f>0.5*第4期!AP122-AS122</f>
        <v>0</v>
      </c>
      <c r="AV122" s="262">
        <f t="shared" si="111"/>
        <v>0</v>
      </c>
      <c r="AW122" s="412" t="e">
        <f t="shared" si="112"/>
        <v>#DIV/0!</v>
      </c>
      <c r="AX122" s="386">
        <f>MAX(AK122,第4期!AO122)</f>
        <v>0</v>
      </c>
      <c r="AY122" s="327">
        <f t="shared" si="113"/>
        <v>0</v>
      </c>
      <c r="AZ122" s="63"/>
      <c r="BR122" s="62"/>
      <c r="BS122" s="62"/>
      <c r="BT122" s="62"/>
      <c r="BU122" s="62"/>
      <c r="BV122" s="62"/>
      <c r="BW122" s="62"/>
      <c r="BX122" s="62"/>
      <c r="BY122" s="62"/>
      <c r="BZ122" s="62"/>
      <c r="CA122" s="62"/>
      <c r="CB122" s="62"/>
      <c r="CC122" s="62"/>
      <c r="CD122" s="62"/>
      <c r="CE122" s="62"/>
      <c r="CF122" s="62"/>
      <c r="CG122" s="62"/>
      <c r="CH122" s="62"/>
      <c r="CI122" s="62"/>
      <c r="CJ122" s="62"/>
    </row>
    <row r="123" s="61" customFormat="1" ht="16" customHeight="1" spans="7:88">
      <c r="G123" s="63"/>
      <c r="M123" s="247"/>
      <c r="T123" s="64"/>
      <c r="AA123" s="63"/>
      <c r="AH123" s="63"/>
      <c r="AI123" s="367"/>
      <c r="AJ123" s="364"/>
      <c r="AK123" s="364"/>
      <c r="AL123" s="364"/>
      <c r="AM123" s="364"/>
      <c r="AN123" s="364"/>
      <c r="AO123" s="364"/>
      <c r="AP123" s="364"/>
      <c r="AQ123" s="360"/>
      <c r="AR123" s="262">
        <f t="shared" si="110"/>
        <v>0</v>
      </c>
      <c r="AS123" s="262">
        <f>第4期!AS123+第4期!AR123+第4期!AU123</f>
        <v>0</v>
      </c>
      <c r="AT123" s="411">
        <f>第4期!AU123+第4期!AT123</f>
        <v>0</v>
      </c>
      <c r="AU123" s="262">
        <f>0.5*第4期!AP123-AS123</f>
        <v>0</v>
      </c>
      <c r="AV123" s="262">
        <f t="shared" si="111"/>
        <v>0</v>
      </c>
      <c r="AW123" s="412" t="e">
        <f t="shared" si="112"/>
        <v>#DIV/0!</v>
      </c>
      <c r="AX123" s="386">
        <f>MAX(AK123,第4期!AO123)</f>
        <v>0</v>
      </c>
      <c r="AY123" s="327">
        <f t="shared" si="113"/>
        <v>0</v>
      </c>
      <c r="AZ123" s="63"/>
      <c r="BR123" s="62"/>
      <c r="BS123" s="62"/>
      <c r="BT123" s="62"/>
      <c r="BU123" s="62"/>
      <c r="BV123" s="62"/>
      <c r="BW123" s="62"/>
      <c r="BX123" s="62"/>
      <c r="BY123" s="62"/>
      <c r="BZ123" s="62"/>
      <c r="CA123" s="62"/>
      <c r="CB123" s="62"/>
      <c r="CC123" s="62"/>
      <c r="CD123" s="62"/>
      <c r="CE123" s="62"/>
      <c r="CF123" s="62"/>
      <c r="CG123" s="62"/>
      <c r="CH123" s="62"/>
      <c r="CI123" s="62"/>
      <c r="CJ123" s="62"/>
    </row>
    <row r="124" s="61" customFormat="1" ht="16" customHeight="1" spans="7:88">
      <c r="G124" s="63"/>
      <c r="M124" s="247"/>
      <c r="T124" s="64"/>
      <c r="AA124" s="63"/>
      <c r="AH124" s="63"/>
      <c r="AI124" s="367"/>
      <c r="AJ124" s="364"/>
      <c r="AK124" s="364"/>
      <c r="AL124" s="364"/>
      <c r="AM124" s="364"/>
      <c r="AN124" s="364"/>
      <c r="AO124" s="364"/>
      <c r="AP124" s="364"/>
      <c r="AQ124" s="360"/>
      <c r="AR124" s="262">
        <f t="shared" si="110"/>
        <v>0</v>
      </c>
      <c r="AS124" s="262">
        <f>第4期!AS124+第4期!AR124+第4期!AU124</f>
        <v>0</v>
      </c>
      <c r="AT124" s="411">
        <f>第4期!AU124+第4期!AT124</f>
        <v>0</v>
      </c>
      <c r="AU124" s="262">
        <f>0.5*第4期!AP124-AS124</f>
        <v>0</v>
      </c>
      <c r="AV124" s="262">
        <f t="shared" si="111"/>
        <v>0</v>
      </c>
      <c r="AW124" s="412" t="e">
        <f t="shared" si="112"/>
        <v>#DIV/0!</v>
      </c>
      <c r="AX124" s="386">
        <f>MAX(AK124,第4期!AO124)</f>
        <v>0</v>
      </c>
      <c r="AY124" s="327">
        <f t="shared" si="113"/>
        <v>0</v>
      </c>
      <c r="AZ124" s="63"/>
      <c r="BR124" s="62"/>
      <c r="BS124" s="62"/>
      <c r="BT124" s="62"/>
      <c r="BU124" s="62"/>
      <c r="BV124" s="62"/>
      <c r="BW124" s="62"/>
      <c r="BX124" s="62"/>
      <c r="BY124" s="62"/>
      <c r="BZ124" s="62"/>
      <c r="CA124" s="62"/>
      <c r="CB124" s="62"/>
      <c r="CC124" s="62"/>
      <c r="CD124" s="62"/>
      <c r="CE124" s="62"/>
      <c r="CF124" s="62"/>
      <c r="CG124" s="62"/>
      <c r="CH124" s="62"/>
      <c r="CI124" s="62"/>
      <c r="CJ124" s="62"/>
    </row>
    <row r="125" s="61" customFormat="1" ht="16" customHeight="1" spans="7:88">
      <c r="G125" s="63"/>
      <c r="M125" s="247"/>
      <c r="T125" s="64"/>
      <c r="AA125" s="63"/>
      <c r="AH125" s="63"/>
      <c r="AI125" s="367"/>
      <c r="AJ125" s="364"/>
      <c r="AK125" s="364"/>
      <c r="AL125" s="364"/>
      <c r="AM125" s="364"/>
      <c r="AN125" s="364"/>
      <c r="AO125" s="364"/>
      <c r="AP125" s="364"/>
      <c r="AQ125" s="360"/>
      <c r="AR125" s="262">
        <f t="shared" si="110"/>
        <v>0</v>
      </c>
      <c r="AS125" s="262">
        <f>第4期!AS125+第4期!AR125+第4期!AU125</f>
        <v>0</v>
      </c>
      <c r="AT125" s="411">
        <f>第4期!AU125+第4期!AT125</f>
        <v>0</v>
      </c>
      <c r="AU125" s="262">
        <f>0.5*第4期!AP125-AS125</f>
        <v>0</v>
      </c>
      <c r="AV125" s="262">
        <f t="shared" si="111"/>
        <v>0</v>
      </c>
      <c r="AW125" s="412" t="e">
        <f t="shared" si="112"/>
        <v>#DIV/0!</v>
      </c>
      <c r="AX125" s="386">
        <f>MAX(AK125,第4期!AO125)</f>
        <v>0</v>
      </c>
      <c r="AY125" s="327">
        <f t="shared" si="113"/>
        <v>0</v>
      </c>
      <c r="AZ125" s="63"/>
      <c r="BR125" s="62"/>
      <c r="BS125" s="62"/>
      <c r="BT125" s="62"/>
      <c r="BU125" s="62"/>
      <c r="BV125" s="62"/>
      <c r="BW125" s="62"/>
      <c r="BX125" s="62"/>
      <c r="BY125" s="62"/>
      <c r="BZ125" s="62"/>
      <c r="CA125" s="62"/>
      <c r="CB125" s="62"/>
      <c r="CC125" s="62"/>
      <c r="CD125" s="62"/>
      <c r="CE125" s="62"/>
      <c r="CF125" s="62"/>
      <c r="CG125" s="62"/>
      <c r="CH125" s="62"/>
      <c r="CI125" s="62"/>
      <c r="CJ125" s="62"/>
    </row>
    <row r="126" s="61" customFormat="1" ht="16" customHeight="1" spans="7:88">
      <c r="G126" s="63"/>
      <c r="M126" s="247"/>
      <c r="T126" s="64"/>
      <c r="AA126" s="63"/>
      <c r="AH126" s="63"/>
      <c r="AI126" s="367"/>
      <c r="AJ126" s="364"/>
      <c r="AK126" s="364"/>
      <c r="AL126" s="364"/>
      <c r="AM126" s="364"/>
      <c r="AN126" s="364"/>
      <c r="AO126" s="364"/>
      <c r="AP126" s="364"/>
      <c r="AQ126" s="360"/>
      <c r="AR126" s="262">
        <f t="shared" si="110"/>
        <v>0</v>
      </c>
      <c r="AS126" s="262">
        <f>第4期!AS126+第4期!AR126+第4期!AU126</f>
        <v>0</v>
      </c>
      <c r="AT126" s="411">
        <f>第4期!AU126+第4期!AT126</f>
        <v>0</v>
      </c>
      <c r="AU126" s="262">
        <f>0.5*第4期!AP126-AS126</f>
        <v>0</v>
      </c>
      <c r="AV126" s="262">
        <f t="shared" si="111"/>
        <v>0</v>
      </c>
      <c r="AW126" s="412" t="e">
        <f t="shared" si="112"/>
        <v>#DIV/0!</v>
      </c>
      <c r="AX126" s="386">
        <f>MAX(AK126,第4期!AO126)</f>
        <v>0</v>
      </c>
      <c r="AY126" s="327">
        <f t="shared" si="113"/>
        <v>0</v>
      </c>
      <c r="AZ126" s="63"/>
      <c r="BR126" s="62"/>
      <c r="BS126" s="62"/>
      <c r="BT126" s="62"/>
      <c r="BU126" s="62"/>
      <c r="BV126" s="62"/>
      <c r="BW126" s="62"/>
      <c r="BX126" s="62"/>
      <c r="BY126" s="62"/>
      <c r="BZ126" s="62"/>
      <c r="CA126" s="62"/>
      <c r="CB126" s="62"/>
      <c r="CC126" s="62"/>
      <c r="CD126" s="62"/>
      <c r="CE126" s="62"/>
      <c r="CF126" s="62"/>
      <c r="CG126" s="62"/>
      <c r="CH126" s="62"/>
      <c r="CI126" s="62"/>
      <c r="CJ126" s="62"/>
    </row>
    <row r="127" s="61" customFormat="1" ht="16" customHeight="1" spans="7:88">
      <c r="G127" s="63"/>
      <c r="M127" s="247"/>
      <c r="T127" s="64"/>
      <c r="AA127" s="63"/>
      <c r="AH127" s="63"/>
      <c r="AZ127" s="63"/>
      <c r="BR127" s="62"/>
      <c r="BS127" s="62"/>
      <c r="BT127" s="62"/>
      <c r="BU127" s="62"/>
      <c r="BV127" s="62"/>
      <c r="BW127" s="62"/>
      <c r="BX127" s="62"/>
      <c r="BY127" s="62"/>
      <c r="BZ127" s="62"/>
      <c r="CA127" s="62"/>
      <c r="CB127" s="62"/>
      <c r="CC127" s="62"/>
      <c r="CD127" s="62"/>
      <c r="CE127" s="62"/>
      <c r="CF127" s="62"/>
      <c r="CG127" s="62"/>
      <c r="CH127" s="62"/>
      <c r="CI127" s="62"/>
      <c r="CJ127" s="62"/>
    </row>
    <row r="128" s="61" customFormat="1" ht="16" customHeight="1" spans="7:88">
      <c r="G128" s="63"/>
      <c r="M128" s="247"/>
      <c r="T128" s="64"/>
      <c r="AA128" s="63"/>
      <c r="AH128" s="63"/>
      <c r="AZ128" s="63"/>
      <c r="BR128" s="62"/>
      <c r="BS128" s="62"/>
      <c r="BT128" s="62"/>
      <c r="BU128" s="62"/>
      <c r="BV128" s="62"/>
      <c r="BW128" s="62"/>
      <c r="BX128" s="62"/>
      <c r="BY128" s="62"/>
      <c r="BZ128" s="62"/>
      <c r="CA128" s="62"/>
      <c r="CB128" s="62"/>
      <c r="CC128" s="62"/>
      <c r="CD128" s="62"/>
      <c r="CE128" s="62"/>
      <c r="CF128" s="62"/>
      <c r="CG128" s="62"/>
      <c r="CH128" s="62"/>
      <c r="CI128" s="62"/>
      <c r="CJ128" s="62"/>
    </row>
    <row r="129" s="61" customFormat="1" ht="16" customHeight="1" spans="7:88">
      <c r="G129" s="63"/>
      <c r="M129" s="247"/>
      <c r="T129" s="64"/>
      <c r="AA129" s="63"/>
      <c r="AH129" s="63"/>
      <c r="AZ129" s="63"/>
      <c r="BR129" s="62"/>
      <c r="BS129" s="62"/>
      <c r="BT129" s="62"/>
      <c r="BU129" s="62"/>
      <c r="BV129" s="62"/>
      <c r="BW129" s="62"/>
      <c r="BX129" s="62"/>
      <c r="BY129" s="62"/>
      <c r="BZ129" s="62"/>
      <c r="CA129" s="62"/>
      <c r="CB129" s="62"/>
      <c r="CC129" s="62"/>
      <c r="CD129" s="62"/>
      <c r="CE129" s="62"/>
      <c r="CF129" s="62"/>
      <c r="CG129" s="62"/>
      <c r="CH129" s="62"/>
      <c r="CI129" s="62"/>
      <c r="CJ129" s="62"/>
    </row>
    <row r="130" s="61" customFormat="1" ht="16" customHeight="1" spans="7:88">
      <c r="G130" s="63"/>
      <c r="M130" s="247"/>
      <c r="T130" s="64"/>
      <c r="AA130" s="63"/>
      <c r="AH130" s="63"/>
      <c r="AZ130" s="63"/>
      <c r="BR130" s="62"/>
      <c r="BS130" s="62"/>
      <c r="BT130" s="62"/>
      <c r="BU130" s="62"/>
      <c r="BV130" s="62"/>
      <c r="BW130" s="62"/>
      <c r="BX130" s="62"/>
      <c r="BY130" s="62"/>
      <c r="BZ130" s="62"/>
      <c r="CA130" s="62"/>
      <c r="CB130" s="62"/>
      <c r="CC130" s="62"/>
      <c r="CD130" s="62"/>
      <c r="CE130" s="62"/>
      <c r="CF130" s="62"/>
      <c r="CG130" s="62"/>
      <c r="CH130" s="62"/>
      <c r="CI130" s="62"/>
      <c r="CJ130" s="62"/>
    </row>
    <row r="131" s="61" customFormat="1" ht="16" customHeight="1" spans="7:88">
      <c r="G131" s="63"/>
      <c r="M131" s="247"/>
      <c r="T131" s="64"/>
      <c r="AA131" s="63"/>
      <c r="AH131" s="63"/>
      <c r="AZ131" s="63"/>
      <c r="BR131" s="62"/>
      <c r="BS131" s="62"/>
      <c r="BT131" s="62"/>
      <c r="BU131" s="62"/>
      <c r="BV131" s="62"/>
      <c r="BW131" s="62"/>
      <c r="BX131" s="62"/>
      <c r="BY131" s="62"/>
      <c r="BZ131" s="62"/>
      <c r="CA131" s="62"/>
      <c r="CB131" s="62"/>
      <c r="CC131" s="62"/>
      <c r="CD131" s="62"/>
      <c r="CE131" s="62"/>
      <c r="CF131" s="62"/>
      <c r="CG131" s="62"/>
      <c r="CH131" s="62"/>
      <c r="CI131" s="62"/>
      <c r="CJ131" s="62"/>
    </row>
    <row r="132" s="61" customFormat="1" ht="16" customHeight="1" spans="7:88">
      <c r="G132" s="63"/>
      <c r="M132" s="247"/>
      <c r="T132" s="64"/>
      <c r="AA132" s="63"/>
      <c r="AH132" s="63"/>
      <c r="AZ132" s="63"/>
      <c r="BR132" s="62"/>
      <c r="BS132" s="62"/>
      <c r="BT132" s="62"/>
      <c r="BU132" s="62"/>
      <c r="BV132" s="62"/>
      <c r="BW132" s="62"/>
      <c r="BX132" s="62"/>
      <c r="BY132" s="62"/>
      <c r="BZ132" s="62"/>
      <c r="CA132" s="62"/>
      <c r="CB132" s="62"/>
      <c r="CC132" s="62"/>
      <c r="CD132" s="62"/>
      <c r="CE132" s="62"/>
      <c r="CF132" s="62"/>
      <c r="CG132" s="62"/>
      <c r="CH132" s="62"/>
      <c r="CI132" s="62"/>
      <c r="CJ132" s="62"/>
    </row>
    <row r="133" s="61" customFormat="1" ht="16" customHeight="1" spans="7:88">
      <c r="G133" s="63"/>
      <c r="M133" s="247"/>
      <c r="T133" s="64"/>
      <c r="AA133" s="63"/>
      <c r="AH133" s="63"/>
      <c r="AZ133" s="63"/>
      <c r="BR133" s="62"/>
      <c r="BS133" s="62"/>
      <c r="BT133" s="62"/>
      <c r="BU133" s="62"/>
      <c r="BV133" s="62"/>
      <c r="BW133" s="62"/>
      <c r="BX133" s="62"/>
      <c r="BY133" s="62"/>
      <c r="BZ133" s="62"/>
      <c r="CA133" s="62"/>
      <c r="CB133" s="62"/>
      <c r="CC133" s="62"/>
      <c r="CD133" s="62"/>
      <c r="CE133" s="62"/>
      <c r="CF133" s="62"/>
      <c r="CG133" s="62"/>
      <c r="CH133" s="62"/>
      <c r="CI133" s="62"/>
      <c r="CJ133" s="62"/>
    </row>
    <row r="134" s="61" customFormat="1" ht="16" customHeight="1" spans="7:88">
      <c r="G134" s="63"/>
      <c r="M134" s="247"/>
      <c r="T134" s="64"/>
      <c r="AA134" s="63"/>
      <c r="AH134" s="63"/>
      <c r="AZ134" s="63"/>
      <c r="BR134" s="62"/>
      <c r="BS134" s="62"/>
      <c r="BT134" s="62"/>
      <c r="BU134" s="62"/>
      <c r="BV134" s="62"/>
      <c r="BW134" s="62"/>
      <c r="BX134" s="62"/>
      <c r="BY134" s="62"/>
      <c r="BZ134" s="62"/>
      <c r="CA134" s="62"/>
      <c r="CB134" s="62"/>
      <c r="CC134" s="62"/>
      <c r="CD134" s="62"/>
      <c r="CE134" s="62"/>
      <c r="CF134" s="62"/>
      <c r="CG134" s="62"/>
      <c r="CH134" s="62"/>
      <c r="CI134" s="62"/>
      <c r="CJ134" s="62"/>
    </row>
    <row r="135" s="61" customFormat="1" ht="16" customHeight="1" spans="7:88">
      <c r="G135" s="63"/>
      <c r="M135" s="247"/>
      <c r="T135" s="64"/>
      <c r="AA135" s="63"/>
      <c r="AH135" s="63"/>
      <c r="AZ135" s="63"/>
      <c r="BR135" s="62"/>
      <c r="BS135" s="62"/>
      <c r="BT135" s="62"/>
      <c r="BU135" s="62"/>
      <c r="BV135" s="62"/>
      <c r="BW135" s="62"/>
      <c r="BX135" s="62"/>
      <c r="BY135" s="62"/>
      <c r="BZ135" s="62"/>
      <c r="CA135" s="62"/>
      <c r="CB135" s="62"/>
      <c r="CC135" s="62"/>
      <c r="CD135" s="62"/>
      <c r="CE135" s="62"/>
      <c r="CF135" s="62"/>
      <c r="CG135" s="62"/>
      <c r="CH135" s="62"/>
      <c r="CI135" s="62"/>
      <c r="CJ135" s="62"/>
    </row>
    <row r="136" s="61" customFormat="1" ht="16" customHeight="1" spans="7:88">
      <c r="G136" s="63"/>
      <c r="M136" s="247"/>
      <c r="T136" s="64"/>
      <c r="AA136" s="63"/>
      <c r="AH136" s="63"/>
      <c r="AZ136" s="63"/>
      <c r="BR136" s="62"/>
      <c r="BS136" s="62"/>
      <c r="BT136" s="62"/>
      <c r="BU136" s="62"/>
      <c r="BV136" s="62"/>
      <c r="BW136" s="62"/>
      <c r="BX136" s="62"/>
      <c r="BY136" s="62"/>
      <c r="BZ136" s="62"/>
      <c r="CA136" s="62"/>
      <c r="CB136" s="62"/>
      <c r="CC136" s="62"/>
      <c r="CD136" s="62"/>
      <c r="CE136" s="62"/>
      <c r="CF136" s="62"/>
      <c r="CG136" s="62"/>
      <c r="CH136" s="62"/>
      <c r="CI136" s="62"/>
      <c r="CJ136" s="62"/>
    </row>
    <row r="137" s="61" customFormat="1" ht="16" customHeight="1" spans="7:88">
      <c r="G137" s="63"/>
      <c r="M137" s="247"/>
      <c r="T137" s="64"/>
      <c r="AA137" s="63"/>
      <c r="AH137" s="63"/>
      <c r="AZ137" s="63"/>
      <c r="BR137" s="62"/>
      <c r="BS137" s="62"/>
      <c r="BT137" s="62"/>
      <c r="BU137" s="62"/>
      <c r="BV137" s="62"/>
      <c r="BW137" s="62"/>
      <c r="BX137" s="62"/>
      <c r="BY137" s="62"/>
      <c r="BZ137" s="62"/>
      <c r="CA137" s="62"/>
      <c r="CB137" s="62"/>
      <c r="CC137" s="62"/>
      <c r="CD137" s="62"/>
      <c r="CE137" s="62"/>
      <c r="CF137" s="62"/>
      <c r="CG137" s="62"/>
      <c r="CH137" s="62"/>
      <c r="CI137" s="62"/>
      <c r="CJ137" s="62"/>
    </row>
    <row r="138" s="61" customFormat="1" ht="16" customHeight="1" spans="7:88">
      <c r="G138" s="63"/>
      <c r="M138" s="247"/>
      <c r="T138" s="64"/>
      <c r="AA138" s="63"/>
      <c r="AH138" s="63"/>
      <c r="AZ138" s="63"/>
      <c r="BR138" s="62"/>
      <c r="BS138" s="62"/>
      <c r="BT138" s="62"/>
      <c r="BU138" s="62"/>
      <c r="BV138" s="62"/>
      <c r="BW138" s="62"/>
      <c r="BX138" s="62"/>
      <c r="BY138" s="62"/>
      <c r="BZ138" s="62"/>
      <c r="CA138" s="62"/>
      <c r="CB138" s="62"/>
      <c r="CC138" s="62"/>
      <c r="CD138" s="62"/>
      <c r="CE138" s="62"/>
      <c r="CF138" s="62"/>
      <c r="CG138" s="62"/>
      <c r="CH138" s="62"/>
      <c r="CI138" s="62"/>
      <c r="CJ138" s="62"/>
    </row>
    <row r="139" s="61" customFormat="1" ht="16" customHeight="1" spans="7:88">
      <c r="G139" s="63"/>
      <c r="M139" s="247"/>
      <c r="T139" s="64"/>
      <c r="AA139" s="63"/>
      <c r="AH139" s="63"/>
      <c r="AZ139" s="63"/>
      <c r="BR139" s="62"/>
      <c r="BS139" s="62"/>
      <c r="BT139" s="62"/>
      <c r="BU139" s="62"/>
      <c r="BV139" s="62"/>
      <c r="BW139" s="62"/>
      <c r="BX139" s="62"/>
      <c r="BY139" s="62"/>
      <c r="BZ139" s="62"/>
      <c r="CA139" s="62"/>
      <c r="CB139" s="62"/>
      <c r="CC139" s="62"/>
      <c r="CD139" s="62"/>
      <c r="CE139" s="62"/>
      <c r="CF139" s="62"/>
      <c r="CG139" s="62"/>
      <c r="CH139" s="62"/>
      <c r="CI139" s="62"/>
      <c r="CJ139" s="62"/>
    </row>
    <row r="140" s="61" customFormat="1" ht="16" customHeight="1" spans="7:88">
      <c r="G140" s="63"/>
      <c r="M140" s="247"/>
      <c r="T140" s="64"/>
      <c r="AA140" s="63"/>
      <c r="AH140" s="63"/>
      <c r="AZ140" s="63"/>
      <c r="BR140" s="62"/>
      <c r="BS140" s="62"/>
      <c r="BT140" s="62"/>
      <c r="BU140" s="62"/>
      <c r="BV140" s="62"/>
      <c r="BW140" s="62"/>
      <c r="BX140" s="62"/>
      <c r="BY140" s="62"/>
      <c r="BZ140" s="62"/>
      <c r="CA140" s="62"/>
      <c r="CB140" s="62"/>
      <c r="CC140" s="62"/>
      <c r="CD140" s="62"/>
      <c r="CE140" s="62"/>
      <c r="CF140" s="62"/>
      <c r="CG140" s="62"/>
      <c r="CH140" s="62"/>
      <c r="CI140" s="62"/>
      <c r="CJ140" s="62"/>
    </row>
    <row r="141" s="61" customFormat="1" ht="16" customHeight="1" spans="7:88">
      <c r="G141" s="63"/>
      <c r="M141" s="247"/>
      <c r="T141" s="64"/>
      <c r="AA141" s="63"/>
      <c r="AH141" s="63"/>
      <c r="AZ141" s="63"/>
      <c r="BR141" s="62"/>
      <c r="BS141" s="62"/>
      <c r="BT141" s="62"/>
      <c r="BU141" s="62"/>
      <c r="BV141" s="62"/>
      <c r="BW141" s="62"/>
      <c r="BX141" s="62"/>
      <c r="BY141" s="62"/>
      <c r="BZ141" s="62"/>
      <c r="CA141" s="62"/>
      <c r="CB141" s="62"/>
      <c r="CC141" s="62"/>
      <c r="CD141" s="62"/>
      <c r="CE141" s="62"/>
      <c r="CF141" s="62"/>
      <c r="CG141" s="62"/>
      <c r="CH141" s="62"/>
      <c r="CI141" s="62"/>
      <c r="CJ141" s="62"/>
    </row>
    <row r="142" s="61" customFormat="1" ht="16" customHeight="1" spans="7:88">
      <c r="G142" s="63"/>
      <c r="M142" s="247"/>
      <c r="T142" s="64"/>
      <c r="AA142" s="63"/>
      <c r="AH142" s="63"/>
      <c r="AZ142" s="63"/>
      <c r="BR142" s="62"/>
      <c r="BS142" s="62"/>
      <c r="BT142" s="62"/>
      <c r="BU142" s="62"/>
      <c r="BV142" s="62"/>
      <c r="BW142" s="62"/>
      <c r="BX142" s="62"/>
      <c r="BY142" s="62"/>
      <c r="BZ142" s="62"/>
      <c r="CA142" s="62"/>
      <c r="CB142" s="62"/>
      <c r="CC142" s="62"/>
      <c r="CD142" s="62"/>
      <c r="CE142" s="62"/>
      <c r="CF142" s="62"/>
      <c r="CG142" s="62"/>
      <c r="CH142" s="62"/>
      <c r="CI142" s="62"/>
      <c r="CJ142" s="62"/>
    </row>
    <row r="143" s="61" customFormat="1" ht="16" customHeight="1" spans="7:88">
      <c r="G143" s="63"/>
      <c r="M143" s="247"/>
      <c r="T143" s="64"/>
      <c r="AA143" s="63"/>
      <c r="AH143" s="63"/>
      <c r="AZ143" s="63"/>
      <c r="BR143" s="62"/>
      <c r="BS143" s="62"/>
      <c r="BT143" s="62"/>
      <c r="BU143" s="62"/>
      <c r="BV143" s="62"/>
      <c r="BW143" s="62"/>
      <c r="BX143" s="62"/>
      <c r="BY143" s="62"/>
      <c r="BZ143" s="62"/>
      <c r="CA143" s="62"/>
      <c r="CB143" s="62"/>
      <c r="CC143" s="62"/>
      <c r="CD143" s="62"/>
      <c r="CE143" s="62"/>
      <c r="CF143" s="62"/>
      <c r="CG143" s="62"/>
      <c r="CH143" s="62"/>
      <c r="CI143" s="62"/>
      <c r="CJ143" s="62"/>
    </row>
    <row r="144" s="61" customFormat="1" ht="16" customHeight="1" spans="7:88">
      <c r="G144" s="63"/>
      <c r="M144" s="247"/>
      <c r="T144" s="64"/>
      <c r="AA144" s="63"/>
      <c r="AH144" s="63"/>
      <c r="AZ144" s="63"/>
      <c r="BR144" s="62"/>
      <c r="BS144" s="62"/>
      <c r="BT144" s="62"/>
      <c r="BU144" s="62"/>
      <c r="BV144" s="62"/>
      <c r="BW144" s="62"/>
      <c r="BX144" s="62"/>
      <c r="BY144" s="62"/>
      <c r="BZ144" s="62"/>
      <c r="CA144" s="62"/>
      <c r="CB144" s="62"/>
      <c r="CC144" s="62"/>
      <c r="CD144" s="62"/>
      <c r="CE144" s="62"/>
      <c r="CF144" s="62"/>
      <c r="CG144" s="62"/>
      <c r="CH144" s="62"/>
      <c r="CI144" s="62"/>
      <c r="CJ144" s="62"/>
    </row>
    <row r="145" s="61" customFormat="1" ht="16" customHeight="1" spans="7:88">
      <c r="G145" s="63"/>
      <c r="M145" s="247"/>
      <c r="T145" s="64"/>
      <c r="AA145" s="63"/>
      <c r="AH145" s="63"/>
      <c r="AZ145" s="63"/>
      <c r="BR145" s="62"/>
      <c r="BS145" s="62"/>
      <c r="BT145" s="62"/>
      <c r="BU145" s="62"/>
      <c r="BV145" s="62"/>
      <c r="BW145" s="62"/>
      <c r="BX145" s="62"/>
      <c r="BY145" s="62"/>
      <c r="BZ145" s="62"/>
      <c r="CA145" s="62"/>
      <c r="CB145" s="62"/>
      <c r="CC145" s="62"/>
      <c r="CD145" s="62"/>
      <c r="CE145" s="62"/>
      <c r="CF145" s="62"/>
      <c r="CG145" s="62"/>
      <c r="CH145" s="62"/>
      <c r="CI145" s="62"/>
      <c r="CJ145" s="62"/>
    </row>
    <row r="146" s="61" customFormat="1" ht="16" customHeight="1" spans="7:88">
      <c r="G146" s="63"/>
      <c r="M146" s="247"/>
      <c r="T146" s="64"/>
      <c r="AA146" s="63"/>
      <c r="AH146" s="63"/>
      <c r="AZ146" s="63"/>
      <c r="BR146" s="62"/>
      <c r="BS146" s="62"/>
      <c r="BT146" s="62"/>
      <c r="BU146" s="62"/>
      <c r="BV146" s="62"/>
      <c r="BW146" s="62"/>
      <c r="BX146" s="62"/>
      <c r="BY146" s="62"/>
      <c r="BZ146" s="62"/>
      <c r="CA146" s="62"/>
      <c r="CB146" s="62"/>
      <c r="CC146" s="62"/>
      <c r="CD146" s="62"/>
      <c r="CE146" s="62"/>
      <c r="CF146" s="62"/>
      <c r="CG146" s="62"/>
      <c r="CH146" s="62"/>
      <c r="CI146" s="62"/>
      <c r="CJ146" s="62"/>
    </row>
    <row r="147" s="61" customFormat="1" ht="16" customHeight="1" spans="7:88">
      <c r="G147" s="63"/>
      <c r="M147" s="247"/>
      <c r="T147" s="64"/>
      <c r="AA147" s="63"/>
      <c r="AH147" s="63"/>
      <c r="AZ147" s="63"/>
      <c r="BR147" s="62"/>
      <c r="BS147" s="62"/>
      <c r="BT147" s="62"/>
      <c r="BU147" s="62"/>
      <c r="BV147" s="62"/>
      <c r="BW147" s="62"/>
      <c r="BX147" s="62"/>
      <c r="BY147" s="62"/>
      <c r="BZ147" s="62"/>
      <c r="CA147" s="62"/>
      <c r="CB147" s="62"/>
      <c r="CC147" s="62"/>
      <c r="CD147" s="62"/>
      <c r="CE147" s="62"/>
      <c r="CF147" s="62"/>
      <c r="CG147" s="62"/>
      <c r="CH147" s="62"/>
      <c r="CI147" s="62"/>
      <c r="CJ147" s="62"/>
    </row>
    <row r="148" s="61" customFormat="1" ht="16" customHeight="1" spans="7:88">
      <c r="G148" s="63"/>
      <c r="M148" s="247"/>
      <c r="T148" s="64"/>
      <c r="AA148" s="63"/>
      <c r="AH148" s="63"/>
      <c r="AZ148" s="63"/>
      <c r="BR148" s="62"/>
      <c r="BS148" s="62"/>
      <c r="BT148" s="62"/>
      <c r="BU148" s="62"/>
      <c r="BV148" s="62"/>
      <c r="BW148" s="62"/>
      <c r="BX148" s="62"/>
      <c r="BY148" s="62"/>
      <c r="BZ148" s="62"/>
      <c r="CA148" s="62"/>
      <c r="CB148" s="62"/>
      <c r="CC148" s="62"/>
      <c r="CD148" s="62"/>
      <c r="CE148" s="62"/>
      <c r="CF148" s="62"/>
      <c r="CG148" s="62"/>
      <c r="CH148" s="62"/>
      <c r="CI148" s="62"/>
      <c r="CJ148" s="62"/>
    </row>
    <row r="149" s="61" customFormat="1" ht="16" customHeight="1" spans="7:88">
      <c r="G149" s="63"/>
      <c r="M149" s="247"/>
      <c r="T149" s="64"/>
      <c r="AA149" s="63"/>
      <c r="AH149" s="63"/>
      <c r="AZ149" s="63"/>
      <c r="BR149" s="62"/>
      <c r="BS149" s="62"/>
      <c r="BT149" s="62"/>
      <c r="BU149" s="62"/>
      <c r="BV149" s="62"/>
      <c r="BW149" s="62"/>
      <c r="BX149" s="62"/>
      <c r="BY149" s="62"/>
      <c r="BZ149" s="62"/>
      <c r="CA149" s="62"/>
      <c r="CB149" s="62"/>
      <c r="CC149" s="62"/>
      <c r="CD149" s="62"/>
      <c r="CE149" s="62"/>
      <c r="CF149" s="62"/>
      <c r="CG149" s="62"/>
      <c r="CH149" s="62"/>
      <c r="CI149" s="62"/>
      <c r="CJ149" s="62"/>
    </row>
    <row r="150" s="61" customFormat="1" ht="16" customHeight="1" spans="7:88">
      <c r="G150" s="63"/>
      <c r="M150" s="247"/>
      <c r="T150" s="64"/>
      <c r="AA150" s="63"/>
      <c r="AH150" s="63"/>
      <c r="AZ150" s="63"/>
      <c r="BR150" s="62"/>
      <c r="BS150" s="62"/>
      <c r="BT150" s="62"/>
      <c r="BU150" s="62"/>
      <c r="BV150" s="62"/>
      <c r="BW150" s="62"/>
      <c r="BX150" s="62"/>
      <c r="BY150" s="62"/>
      <c r="BZ150" s="62"/>
      <c r="CA150" s="62"/>
      <c r="CB150" s="62"/>
      <c r="CC150" s="62"/>
      <c r="CD150" s="62"/>
      <c r="CE150" s="62"/>
      <c r="CF150" s="62"/>
      <c r="CG150" s="62"/>
      <c r="CH150" s="62"/>
      <c r="CI150" s="62"/>
      <c r="CJ150" s="62"/>
    </row>
    <row r="151" s="61" customFormat="1" ht="13.5" customHeight="1" spans="7:88">
      <c r="G151" s="63"/>
      <c r="M151" s="247"/>
      <c r="T151" s="64"/>
      <c r="AA151" s="63"/>
      <c r="AH151" s="63"/>
      <c r="AZ151" s="63"/>
      <c r="BR151" s="62"/>
      <c r="BS151" s="62"/>
      <c r="BT151" s="62"/>
      <c r="BU151" s="62"/>
      <c r="BV151" s="62"/>
      <c r="BW151" s="62"/>
      <c r="BX151" s="62"/>
      <c r="BY151" s="62"/>
      <c r="BZ151" s="62"/>
      <c r="CA151" s="62"/>
      <c r="CB151" s="62"/>
      <c r="CC151" s="62"/>
      <c r="CD151" s="62"/>
      <c r="CE151" s="62"/>
      <c r="CF151" s="62"/>
      <c r="CG151" s="62"/>
      <c r="CH151" s="62"/>
      <c r="CI151" s="62"/>
      <c r="CJ151" s="62"/>
    </row>
    <row r="152" s="61" customFormat="1" ht="13.5" customHeight="1" spans="7:88">
      <c r="G152" s="63"/>
      <c r="M152" s="247"/>
      <c r="T152" s="64"/>
      <c r="AA152" s="63"/>
      <c r="AH152" s="63"/>
      <c r="AZ152" s="63"/>
      <c r="BR152" s="62"/>
      <c r="BS152" s="62"/>
      <c r="BT152" s="62"/>
      <c r="BU152" s="62"/>
      <c r="BV152" s="62"/>
      <c r="BW152" s="62"/>
      <c r="BX152" s="62"/>
      <c r="BY152" s="62"/>
      <c r="BZ152" s="62"/>
      <c r="CA152" s="62"/>
      <c r="CB152" s="62"/>
      <c r="CC152" s="62"/>
      <c r="CD152" s="62"/>
      <c r="CE152" s="62"/>
      <c r="CF152" s="62"/>
      <c r="CG152" s="62"/>
      <c r="CH152" s="62"/>
      <c r="CI152" s="62"/>
      <c r="CJ152" s="62"/>
    </row>
    <row r="153" s="61" customFormat="1" ht="13.5" customHeight="1" spans="7:88">
      <c r="G153" s="63"/>
      <c r="M153" s="247"/>
      <c r="T153" s="64"/>
      <c r="AA153" s="63"/>
      <c r="AH153" s="63"/>
      <c r="AZ153" s="63"/>
      <c r="BR153" s="62"/>
      <c r="BS153" s="62"/>
      <c r="BT153" s="62"/>
      <c r="BU153" s="62"/>
      <c r="BV153" s="62"/>
      <c r="BW153" s="62"/>
      <c r="BX153" s="62"/>
      <c r="BY153" s="62"/>
      <c r="BZ153" s="62"/>
      <c r="CA153" s="62"/>
      <c r="CB153" s="62"/>
      <c r="CC153" s="62"/>
      <c r="CD153" s="62"/>
      <c r="CE153" s="62"/>
      <c r="CF153" s="62"/>
      <c r="CG153" s="62"/>
      <c r="CH153" s="62"/>
      <c r="CI153" s="62"/>
      <c r="CJ153" s="62"/>
    </row>
    <row r="154" s="61" customFormat="1" ht="13.5" customHeight="1" spans="7:88">
      <c r="G154" s="63"/>
      <c r="M154" s="247"/>
      <c r="T154" s="64"/>
      <c r="AA154" s="63"/>
      <c r="AH154" s="63"/>
      <c r="AZ154" s="63"/>
      <c r="BR154" s="62"/>
      <c r="BS154" s="62"/>
      <c r="BT154" s="62"/>
      <c r="BU154" s="62"/>
      <c r="BV154" s="62"/>
      <c r="BW154" s="62"/>
      <c r="BX154" s="62"/>
      <c r="BY154" s="62"/>
      <c r="BZ154" s="62"/>
      <c r="CA154" s="62"/>
      <c r="CB154" s="62"/>
      <c r="CC154" s="62"/>
      <c r="CD154" s="62"/>
      <c r="CE154" s="62"/>
      <c r="CF154" s="62"/>
      <c r="CG154" s="62"/>
      <c r="CH154" s="62"/>
      <c r="CI154" s="62"/>
      <c r="CJ154" s="62"/>
    </row>
    <row r="155" s="61" customFormat="1" ht="13.5" customHeight="1" spans="7:88">
      <c r="G155" s="63"/>
      <c r="M155" s="247"/>
      <c r="T155" s="64"/>
      <c r="AA155" s="63"/>
      <c r="AH155" s="63"/>
      <c r="AZ155" s="63"/>
      <c r="BR155" s="62"/>
      <c r="BS155" s="62"/>
      <c r="BT155" s="62"/>
      <c r="BU155" s="62"/>
      <c r="BV155" s="62"/>
      <c r="BW155" s="62"/>
      <c r="BX155" s="62"/>
      <c r="BY155" s="62"/>
      <c r="BZ155" s="62"/>
      <c r="CA155" s="62"/>
      <c r="CB155" s="62"/>
      <c r="CC155" s="62"/>
      <c r="CD155" s="62"/>
      <c r="CE155" s="62"/>
      <c r="CF155" s="62"/>
      <c r="CG155" s="62"/>
      <c r="CH155" s="62"/>
      <c r="CI155" s="62"/>
      <c r="CJ155" s="62"/>
    </row>
    <row r="156" s="61" customFormat="1" ht="13.5" customHeight="1" spans="7:88">
      <c r="G156" s="63"/>
      <c r="M156" s="247"/>
      <c r="T156" s="64"/>
      <c r="AA156" s="63"/>
      <c r="AH156" s="63"/>
      <c r="AZ156" s="63"/>
      <c r="BR156" s="62"/>
      <c r="BS156" s="62"/>
      <c r="BT156" s="62"/>
      <c r="BU156" s="62"/>
      <c r="BV156" s="62"/>
      <c r="BW156" s="62"/>
      <c r="BX156" s="62"/>
      <c r="BY156" s="62"/>
      <c r="BZ156" s="62"/>
      <c r="CA156" s="62"/>
      <c r="CB156" s="62"/>
      <c r="CC156" s="62"/>
      <c r="CD156" s="62"/>
      <c r="CE156" s="62"/>
      <c r="CF156" s="62"/>
      <c r="CG156" s="62"/>
      <c r="CH156" s="62"/>
      <c r="CI156" s="62"/>
      <c r="CJ156" s="62"/>
    </row>
    <row r="157" s="61" customFormat="1" ht="13.5" customHeight="1" spans="7:88">
      <c r="G157" s="63"/>
      <c r="M157" s="247"/>
      <c r="T157" s="64"/>
      <c r="AA157" s="63"/>
      <c r="AH157" s="63"/>
      <c r="AZ157" s="63"/>
      <c r="BR157" s="62"/>
      <c r="BS157" s="62"/>
      <c r="BT157" s="62"/>
      <c r="BU157" s="62"/>
      <c r="BV157" s="62"/>
      <c r="BW157" s="62"/>
      <c r="BX157" s="62"/>
      <c r="BY157" s="62"/>
      <c r="BZ157" s="62"/>
      <c r="CA157" s="62"/>
      <c r="CB157" s="62"/>
      <c r="CC157" s="62"/>
      <c r="CD157" s="62"/>
      <c r="CE157" s="62"/>
      <c r="CF157" s="62"/>
      <c r="CG157" s="62"/>
      <c r="CH157" s="62"/>
      <c r="CI157" s="62"/>
      <c r="CJ157" s="62"/>
    </row>
    <row r="158" s="61" customFormat="1" ht="13.5" customHeight="1" spans="7:88">
      <c r="G158" s="63"/>
      <c r="M158" s="247"/>
      <c r="T158" s="64"/>
      <c r="AA158" s="63"/>
      <c r="AH158" s="63"/>
      <c r="AZ158" s="63"/>
      <c r="BR158" s="62"/>
      <c r="BS158" s="62"/>
      <c r="BT158" s="62"/>
      <c r="BU158" s="62"/>
      <c r="BV158" s="62"/>
      <c r="BW158" s="62"/>
      <c r="BX158" s="62"/>
      <c r="BY158" s="62"/>
      <c r="BZ158" s="62"/>
      <c r="CA158" s="62"/>
      <c r="CB158" s="62"/>
      <c r="CC158" s="62"/>
      <c r="CD158" s="62"/>
      <c r="CE158" s="62"/>
      <c r="CF158" s="62"/>
      <c r="CG158" s="62"/>
      <c r="CH158" s="62"/>
      <c r="CI158" s="62"/>
      <c r="CJ158" s="62"/>
    </row>
    <row r="159" s="61" customFormat="1" ht="13.5" customHeight="1" spans="7:88">
      <c r="G159" s="63"/>
      <c r="M159" s="247"/>
      <c r="T159" s="64"/>
      <c r="AA159" s="63"/>
      <c r="AH159" s="63"/>
      <c r="AZ159" s="63"/>
      <c r="BR159" s="62"/>
      <c r="BS159" s="62"/>
      <c r="BT159" s="62"/>
      <c r="BU159" s="62"/>
      <c r="BV159" s="62"/>
      <c r="BW159" s="62"/>
      <c r="BX159" s="62"/>
      <c r="BY159" s="62"/>
      <c r="BZ159" s="62"/>
      <c r="CA159" s="62"/>
      <c r="CB159" s="62"/>
      <c r="CC159" s="62"/>
      <c r="CD159" s="62"/>
      <c r="CE159" s="62"/>
      <c r="CF159" s="62"/>
      <c r="CG159" s="62"/>
      <c r="CH159" s="62"/>
      <c r="CI159" s="62"/>
      <c r="CJ159" s="62"/>
    </row>
    <row r="160" s="61" customFormat="1" ht="13.5" customHeight="1" spans="7:88">
      <c r="G160" s="63"/>
      <c r="M160" s="247"/>
      <c r="T160" s="64"/>
      <c r="AA160" s="63"/>
      <c r="AH160" s="63"/>
      <c r="AZ160" s="63"/>
      <c r="BR160" s="62"/>
      <c r="BS160" s="62"/>
      <c r="BT160" s="62"/>
      <c r="BU160" s="62"/>
      <c r="BV160" s="62"/>
      <c r="BW160" s="62"/>
      <c r="BX160" s="62"/>
      <c r="BY160" s="62"/>
      <c r="BZ160" s="62"/>
      <c r="CA160" s="62"/>
      <c r="CB160" s="62"/>
      <c r="CC160" s="62"/>
      <c r="CD160" s="62"/>
      <c r="CE160" s="62"/>
      <c r="CF160" s="62"/>
      <c r="CG160" s="62"/>
      <c r="CH160" s="62"/>
      <c r="CI160" s="62"/>
      <c r="CJ160" s="62"/>
    </row>
    <row r="161" ht="13.5" customHeight="1" spans="13:13">
      <c r="M161" s="247"/>
    </row>
    <row r="162" ht="13.5" customHeight="1" spans="13:13">
      <c r="M162" s="247"/>
    </row>
    <row r="163" ht="13.5" customHeight="1" spans="13:13">
      <c r="M163" s="247"/>
    </row>
    <row r="164" ht="13.5" customHeight="1" spans="13:13">
      <c r="M164" s="247"/>
    </row>
    <row r="165" ht="13.5" customHeight="1" spans="13:13">
      <c r="M165" s="247"/>
    </row>
    <row r="166" ht="13.5" customHeight="1" spans="13:13">
      <c r="M166" s="247"/>
    </row>
    <row r="167" ht="13.5" customHeight="1" spans="13:13">
      <c r="M167" s="247"/>
    </row>
    <row r="168" ht="13.5" customHeight="1" spans="13:13">
      <c r="M168" s="247"/>
    </row>
    <row r="169" ht="13.5" customHeight="1" spans="13:13">
      <c r="M169" s="247"/>
    </row>
    <row r="170" ht="13.5" customHeight="1" spans="8:13">
      <c r="H170" s="265"/>
      <c r="I170" s="265"/>
      <c r="J170" s="265"/>
      <c r="K170" s="265"/>
      <c r="L170" s="265"/>
      <c r="M170" s="247"/>
    </row>
    <row r="171" ht="13.5" customHeight="1" spans="8:13">
      <c r="H171" s="266"/>
      <c r="I171" s="266"/>
      <c r="J171" s="266"/>
      <c r="K171" s="266"/>
      <c r="L171" s="266"/>
      <c r="M171" s="247"/>
    </row>
    <row r="172" ht="13.5" customHeight="1" spans="8:13">
      <c r="H172" s="266" t="e">
        <f>MIN(L177,INT(N49*520/H177))</f>
        <v>#DIV/0!</v>
      </c>
      <c r="I172" s="266"/>
      <c r="J172" s="266"/>
      <c r="K172" s="266"/>
      <c r="L172" s="266"/>
      <c r="M172" s="247"/>
    </row>
    <row r="173" ht="13.5" customHeight="1" spans="8:13">
      <c r="H173" s="266" t="e">
        <f>MIN(L178,MAX(0,INT((520*N49-H172*H177)/H178)))</f>
        <v>#DIV/0!</v>
      </c>
      <c r="I173" s="266"/>
      <c r="J173" s="266" t="e">
        <f>L178-H173</f>
        <v>#DIV/0!</v>
      </c>
      <c r="K173" s="266"/>
      <c r="L173" s="266"/>
      <c r="M173" s="247"/>
    </row>
    <row r="174" ht="13.5" customHeight="1" spans="8:13">
      <c r="H174" s="266" t="e">
        <f>MIN(L179,MAX(0,INT((520*N49-H172*H177-H173*H178)/H179)))</f>
        <v>#DIV/0!</v>
      </c>
      <c r="I174" s="266"/>
      <c r="J174" s="266" t="e">
        <f>IF(MIN((L179-H174),MIN(L179,INT((520*N49-J172*H177-J173*H178)/H179)))&lt;0,0,MIN((L179-H174),MIN(L179,INT((520*N49-J172*H177-J173*H178)/H179))))</f>
        <v>#DIV/0!</v>
      </c>
      <c r="K174" s="266" t="e">
        <f>MIN(L180,INT((260*N49-K175*H180)/H179))</f>
        <v>#DIV/0!</v>
      </c>
      <c r="L174" s="266"/>
      <c r="M174" s="247"/>
    </row>
    <row r="175" ht="13.5" customHeight="1" spans="8:13">
      <c r="H175" s="266" t="e">
        <f>MAX(0,INT((N49*520-H172*H177-H173*H178-H174*H179)/H180))</f>
        <v>#DIV/0!</v>
      </c>
      <c r="I175" s="266"/>
      <c r="J175" s="266" t="e">
        <f>IF(MIN(L180-K175,INT((520*N49-H177*J172-H178*J173-H179*J174)/H180))&lt;0,0,MIN(L180-K175,INT((520*N49-H177*J172-H178*J173-H179*J174)/H180)))</f>
        <v>#DIV/0!</v>
      </c>
      <c r="K175" s="266" t="e">
        <f>MIN(L180,INT(260*N49/H180))</f>
        <v>#DIV/0!</v>
      </c>
      <c r="L175" s="266"/>
      <c r="M175" s="247"/>
    </row>
    <row r="176" spans="8:12">
      <c r="H176" s="266"/>
      <c r="I176" s="266"/>
      <c r="J176" s="266"/>
      <c r="K176" s="266"/>
      <c r="L176" s="266"/>
    </row>
    <row r="177" spans="8:12">
      <c r="H177" s="266">
        <f>初始化表!E17</f>
        <v>0</v>
      </c>
      <c r="I177" s="266">
        <f>初始化表!E18</f>
        <v>0</v>
      </c>
      <c r="J177" s="266">
        <f>初始化表!E19</f>
        <v>0</v>
      </c>
      <c r="K177" s="266"/>
      <c r="L177" s="266">
        <f>L35</f>
        <v>0</v>
      </c>
    </row>
    <row r="178" spans="8:12">
      <c r="H178" s="266">
        <f>初始化表!F17</f>
        <v>0</v>
      </c>
      <c r="I178" s="266">
        <f>初始化表!F18</f>
        <v>0</v>
      </c>
      <c r="J178" s="266">
        <f>初始化表!F19</f>
        <v>0</v>
      </c>
      <c r="K178" s="266"/>
      <c r="L178" s="266">
        <f>L36</f>
        <v>0</v>
      </c>
    </row>
    <row r="179" spans="8:12">
      <c r="H179" s="266">
        <f>初始化表!G17</f>
        <v>0</v>
      </c>
      <c r="I179" s="266">
        <f>初始化表!G18</f>
        <v>0</v>
      </c>
      <c r="J179" s="266">
        <f>初始化表!G19</f>
        <v>0</v>
      </c>
      <c r="K179" s="266"/>
      <c r="L179" s="266">
        <f>L37</f>
        <v>0</v>
      </c>
    </row>
    <row r="180" spans="8:12">
      <c r="H180" s="266">
        <f>初始化表!H17</f>
        <v>0</v>
      </c>
      <c r="I180" s="266">
        <f>初始化表!H18</f>
        <v>0</v>
      </c>
      <c r="J180" s="266">
        <f>初始化表!H19</f>
        <v>0</v>
      </c>
      <c r="K180" s="266"/>
      <c r="L180" s="266">
        <f>L38</f>
        <v>0</v>
      </c>
    </row>
    <row r="181" spans="8:12">
      <c r="H181" s="266"/>
      <c r="I181" s="266"/>
      <c r="J181" s="266"/>
      <c r="K181" s="266"/>
      <c r="L181" s="266"/>
    </row>
    <row r="182" spans="8:12">
      <c r="H182" s="266" t="e">
        <f>MIN(L177,INT(N49*520/H177))</f>
        <v>#DIV/0!</v>
      </c>
      <c r="I182" s="266"/>
      <c r="J182" s="266"/>
      <c r="K182" s="266"/>
      <c r="L182" s="266"/>
    </row>
    <row r="183" spans="8:12">
      <c r="H183" s="266" t="e">
        <f>MIN(L178,MAX(0,INT((520*N49-H172*H177)/H178)))</f>
        <v>#DIV/0!</v>
      </c>
      <c r="I183" s="266"/>
      <c r="J183" s="266" t="e">
        <f>L188-H183</f>
        <v>#DIV/0!</v>
      </c>
      <c r="K183" s="266"/>
      <c r="L183" s="266"/>
    </row>
    <row r="184" spans="8:12">
      <c r="H184" s="266" t="e">
        <f>MIN(L179,MAX(0,INT((520*N49-H172*H177-H173*H178)/H179)))</f>
        <v>#DIV/0!</v>
      </c>
      <c r="I184" s="266"/>
      <c r="J184" s="266">
        <f>INT(L179/3*2)</f>
        <v>0</v>
      </c>
      <c r="K184" s="266">
        <f>INT(J184/2)</f>
        <v>0</v>
      </c>
      <c r="L184" s="266"/>
    </row>
    <row r="185" spans="8:12">
      <c r="H185" s="266" t="e">
        <f>MAX(0,INT((N49*520-H172*H177-H173*H178-H174*H179)/H180))</f>
        <v>#DIV/0!</v>
      </c>
      <c r="I185" s="266"/>
      <c r="J185" s="266">
        <f>INT(L180/3*2)</f>
        <v>0</v>
      </c>
      <c r="K185" s="266">
        <f>INT(J185/2)</f>
        <v>0</v>
      </c>
      <c r="L185" s="266"/>
    </row>
    <row r="186" spans="8:12">
      <c r="H186" s="265"/>
      <c r="I186" s="265"/>
      <c r="J186" s="265"/>
      <c r="K186" s="265"/>
      <c r="L186" s="265"/>
    </row>
    <row r="187" spans="8:12">
      <c r="H187" s="265"/>
      <c r="I187" s="265"/>
      <c r="J187" s="265"/>
      <c r="K187" s="265"/>
      <c r="L187" s="265"/>
    </row>
    <row r="200" spans="1:6">
      <c r="A200" s="265" t="s">
        <v>283</v>
      </c>
      <c r="B200" s="265" t="s">
        <v>314</v>
      </c>
      <c r="C200" s="265" t="s">
        <v>315</v>
      </c>
      <c r="D200" s="265" t="s">
        <v>316</v>
      </c>
      <c r="E200" s="265" t="s">
        <v>317</v>
      </c>
      <c r="F200" s="265" t="s">
        <v>318</v>
      </c>
    </row>
    <row r="201" spans="1:6">
      <c r="A201" s="265" t="s">
        <v>35</v>
      </c>
      <c r="B201" s="265">
        <v>100</v>
      </c>
      <c r="C201" s="267">
        <v>0</v>
      </c>
      <c r="D201" s="267">
        <v>100000</v>
      </c>
      <c r="E201" s="265">
        <v>1.245</v>
      </c>
      <c r="F201" s="265">
        <v>0.957</v>
      </c>
    </row>
    <row r="202" spans="1:6">
      <c r="A202" s="265" t="s">
        <v>36</v>
      </c>
      <c r="B202" s="265">
        <v>50</v>
      </c>
      <c r="C202" s="267">
        <v>0</v>
      </c>
      <c r="D202" s="267">
        <v>200000</v>
      </c>
      <c r="E202" s="265">
        <v>1.245</v>
      </c>
      <c r="F202" s="265">
        <v>0.956</v>
      </c>
    </row>
    <row r="203" spans="1:6">
      <c r="A203" s="265" t="s">
        <v>62</v>
      </c>
      <c r="B203" s="265">
        <v>0</v>
      </c>
      <c r="C203" s="265">
        <v>0</v>
      </c>
      <c r="D203" s="265">
        <v>0</v>
      </c>
      <c r="E203" s="265">
        <v>0</v>
      </c>
      <c r="F203" s="265">
        <v>0.956</v>
      </c>
    </row>
    <row r="204" spans="1:6">
      <c r="A204" s="265" t="s">
        <v>63</v>
      </c>
      <c r="B204" s="265">
        <v>0</v>
      </c>
      <c r="C204" s="265">
        <v>0</v>
      </c>
      <c r="D204" s="265">
        <v>0</v>
      </c>
      <c r="E204" s="265">
        <v>0</v>
      </c>
      <c r="F204" s="265">
        <v>0.955</v>
      </c>
    </row>
    <row r="222" spans="35:39">
      <c r="AI222" s="62" t="s">
        <v>758</v>
      </c>
      <c r="AJ222" s="62" t="s">
        <v>357</v>
      </c>
      <c r="AK222" s="62" t="s">
        <v>358</v>
      </c>
      <c r="AL222" s="62" t="s">
        <v>359</v>
      </c>
      <c r="AM222" s="62" t="s">
        <v>360</v>
      </c>
    </row>
    <row r="223" spans="35:36">
      <c r="AI223" s="62" t="s">
        <v>361</v>
      </c>
      <c r="AJ223" s="268">
        <v>4674126</v>
      </c>
    </row>
    <row r="224" spans="35:39">
      <c r="AI224" s="62" t="s">
        <v>309</v>
      </c>
      <c r="AJ224" s="268">
        <v>0</v>
      </c>
      <c r="AM224" s="268">
        <v>4674126</v>
      </c>
    </row>
    <row r="225" spans="35:39">
      <c r="AI225" s="62" t="s">
        <v>362</v>
      </c>
      <c r="AJ225" s="268">
        <v>0</v>
      </c>
      <c r="AM225" s="268">
        <v>4674126</v>
      </c>
    </row>
    <row r="226" spans="35:39">
      <c r="AI226" s="62" t="s">
        <v>363</v>
      </c>
      <c r="AJ226" s="268">
        <v>-50000</v>
      </c>
      <c r="AM226" s="268">
        <v>4624126</v>
      </c>
    </row>
    <row r="227" spans="35:39">
      <c r="AI227" s="62" t="s">
        <v>364</v>
      </c>
      <c r="AJ227" s="268">
        <v>-26000</v>
      </c>
      <c r="AL227" s="268">
        <v>26000</v>
      </c>
      <c r="AM227" s="268">
        <v>4598126</v>
      </c>
    </row>
    <row r="228" spans="35:39">
      <c r="AI228" s="62" t="s">
        <v>365</v>
      </c>
      <c r="AJ228" s="268">
        <v>-5000</v>
      </c>
      <c r="AL228" s="268">
        <v>31000</v>
      </c>
      <c r="AM228" s="268">
        <v>4593126</v>
      </c>
    </row>
    <row r="229" spans="35:39">
      <c r="AI229" s="62" t="s">
        <v>366</v>
      </c>
      <c r="AJ229" s="268">
        <v>-10000</v>
      </c>
      <c r="AL229" s="268">
        <v>41000</v>
      </c>
      <c r="AM229" s="268">
        <v>4583126</v>
      </c>
    </row>
    <row r="230" spans="35:39">
      <c r="AI230" s="62" t="s">
        <v>367</v>
      </c>
      <c r="AJ230" s="268">
        <v>-656500</v>
      </c>
      <c r="AL230" s="268">
        <v>697500</v>
      </c>
      <c r="AM230" s="268">
        <v>3926626</v>
      </c>
    </row>
    <row r="231" spans="35:39">
      <c r="AI231" s="62" t="s">
        <v>368</v>
      </c>
      <c r="AJ231" s="268">
        <v>-45000</v>
      </c>
      <c r="AL231" s="268">
        <v>742500</v>
      </c>
      <c r="AM231" s="268">
        <v>3881626</v>
      </c>
    </row>
    <row r="232" spans="35:39">
      <c r="AI232" s="62" t="s">
        <v>369</v>
      </c>
      <c r="AJ232" s="62">
        <v>0</v>
      </c>
      <c r="AM232" s="268">
        <v>3881626</v>
      </c>
    </row>
    <row r="233" spans="35:39">
      <c r="AI233" s="62" t="s">
        <v>370</v>
      </c>
      <c r="AJ233" s="268">
        <v>0</v>
      </c>
      <c r="AM233" s="268">
        <v>3881626</v>
      </c>
    </row>
    <row r="234" spans="35:38">
      <c r="AI234" s="62" t="s">
        <v>371</v>
      </c>
      <c r="AJ234" s="268">
        <v>0</v>
      </c>
      <c r="AL234" s="268">
        <v>742500</v>
      </c>
    </row>
    <row r="235" spans="35:39">
      <c r="AI235" s="62" t="s">
        <v>372</v>
      </c>
      <c r="AJ235" s="268">
        <v>-500000</v>
      </c>
      <c r="AM235" s="268">
        <v>3381626</v>
      </c>
    </row>
    <row r="236" spans="35:39">
      <c r="AI236" s="62" t="s">
        <v>373</v>
      </c>
      <c r="AJ236" s="268">
        <v>0</v>
      </c>
      <c r="AK236" s="268">
        <v>0</v>
      </c>
      <c r="AM236" s="268">
        <v>3381626</v>
      </c>
    </row>
    <row r="237" spans="35:39">
      <c r="AI237" s="62" t="s">
        <v>374</v>
      </c>
      <c r="AJ237" s="268">
        <v>-15000</v>
      </c>
      <c r="AL237" s="268">
        <v>757500</v>
      </c>
      <c r="AM237" s="268">
        <v>3366626</v>
      </c>
    </row>
    <row r="238" spans="35:39">
      <c r="AI238" s="62" t="s">
        <v>244</v>
      </c>
      <c r="AJ238" s="268">
        <v>-25000</v>
      </c>
      <c r="AL238" s="268">
        <v>782500</v>
      </c>
      <c r="AM238" s="268">
        <v>3341626</v>
      </c>
    </row>
    <row r="239" spans="35:39">
      <c r="AI239" s="62" t="s">
        <v>375</v>
      </c>
      <c r="AJ239" s="268">
        <v>-490950</v>
      </c>
      <c r="AL239" s="268">
        <v>1273450</v>
      </c>
      <c r="AM239" s="268">
        <v>2850676</v>
      </c>
    </row>
    <row r="240" spans="35:38">
      <c r="AI240" s="62" t="s">
        <v>376</v>
      </c>
      <c r="AJ240" s="268">
        <v>-471900</v>
      </c>
      <c r="AL240" s="268">
        <v>1745350</v>
      </c>
    </row>
    <row r="241" spans="35:39">
      <c r="AI241" s="62" t="s">
        <v>377</v>
      </c>
      <c r="AJ241" s="268">
        <v>-276050</v>
      </c>
      <c r="AL241" s="268">
        <v>2021400</v>
      </c>
      <c r="AM241" s="268">
        <v>2574626</v>
      </c>
    </row>
    <row r="242" spans="35:39">
      <c r="AI242" s="62" t="s">
        <v>276</v>
      </c>
      <c r="AJ242" s="268">
        <v>-30000</v>
      </c>
      <c r="AL242" s="268">
        <v>2051400</v>
      </c>
      <c r="AM242" s="268">
        <v>2544626</v>
      </c>
    </row>
    <row r="243" spans="35:39">
      <c r="AI243" s="62" t="s">
        <v>280</v>
      </c>
      <c r="AJ243" s="268">
        <v>-60000</v>
      </c>
      <c r="AL243" s="268">
        <v>2111400</v>
      </c>
      <c r="AM243" s="268">
        <v>2484626</v>
      </c>
    </row>
    <row r="244" spans="35:39">
      <c r="AI244" s="62" t="s">
        <v>378</v>
      </c>
      <c r="AJ244" s="268">
        <v>2787400</v>
      </c>
      <c r="AK244" s="268">
        <v>2787400</v>
      </c>
      <c r="AM244" s="268">
        <v>5272026</v>
      </c>
    </row>
    <row r="245" spans="35:39">
      <c r="AI245" s="62" t="s">
        <v>379</v>
      </c>
      <c r="AJ245" s="268">
        <v>-62480</v>
      </c>
      <c r="AL245" s="268">
        <v>2173880</v>
      </c>
      <c r="AM245" s="268">
        <v>5209546</v>
      </c>
    </row>
    <row r="246" spans="35:38">
      <c r="AI246" s="62" t="s">
        <v>380</v>
      </c>
      <c r="AJ246" s="268">
        <v>-600000</v>
      </c>
      <c r="AL246" s="268">
        <v>2773880</v>
      </c>
    </row>
    <row r="247" spans="35:38">
      <c r="AI247" s="62" t="s">
        <v>381</v>
      </c>
      <c r="AJ247" s="268" t="s">
        <v>759</v>
      </c>
      <c r="AL247" s="268">
        <v>2674033.85</v>
      </c>
    </row>
    <row r="248" spans="35:39">
      <c r="AI248" s="62" t="s">
        <v>382</v>
      </c>
      <c r="AJ248" s="268">
        <v>-6793.5</v>
      </c>
      <c r="AL248" s="268">
        <v>2680827.35</v>
      </c>
      <c r="AM248" s="268">
        <v>5202752.5</v>
      </c>
    </row>
    <row r="249" spans="35:39">
      <c r="AI249" s="62" t="s">
        <v>383</v>
      </c>
      <c r="AJ249" s="268">
        <v>-15740</v>
      </c>
      <c r="AL249" s="268">
        <v>2696567.35</v>
      </c>
      <c r="AM249" s="268">
        <v>5187012.5</v>
      </c>
    </row>
    <row r="250" spans="35:39">
      <c r="AI250" s="62" t="s">
        <v>384</v>
      </c>
      <c r="AJ250" s="62">
        <v>0</v>
      </c>
      <c r="AM250" s="268">
        <v>5187012.5</v>
      </c>
    </row>
    <row r="251" spans="35:39">
      <c r="AI251" s="62" t="s">
        <v>385</v>
      </c>
      <c r="AJ251" s="62">
        <v>0</v>
      </c>
      <c r="AK251" s="268">
        <v>2787400</v>
      </c>
      <c r="AM251" s="268">
        <v>5187012.5</v>
      </c>
    </row>
    <row r="252" spans="35:39">
      <c r="AI252" s="62" t="s">
        <v>386</v>
      </c>
      <c r="AJ252" s="268">
        <v>0</v>
      </c>
      <c r="AM252" s="268">
        <v>5187012.5</v>
      </c>
    </row>
    <row r="253" spans="35:39">
      <c r="AI253" s="62" t="s">
        <v>387</v>
      </c>
      <c r="AJ253" s="268">
        <v>0</v>
      </c>
      <c r="AL253" s="268">
        <v>2696567.35</v>
      </c>
      <c r="AM253" s="268">
        <v>5187012.5</v>
      </c>
    </row>
    <row r="254" spans="35:39">
      <c r="AI254" s="62" t="s">
        <v>388</v>
      </c>
      <c r="AJ254" s="62">
        <v>0</v>
      </c>
      <c r="AM254" s="268">
        <v>5187012.5</v>
      </c>
    </row>
    <row r="255" spans="35:39">
      <c r="AI255" s="62" t="s">
        <v>389</v>
      </c>
      <c r="AJ255" s="62">
        <v>0</v>
      </c>
      <c r="AL255" s="268">
        <v>2696567.35</v>
      </c>
      <c r="AM255" s="268">
        <v>5187012.5</v>
      </c>
    </row>
    <row r="256" spans="35:39">
      <c r="AI256" s="62" t="s">
        <v>390</v>
      </c>
      <c r="AJ256" s="268">
        <v>-3301.2</v>
      </c>
      <c r="AM256" s="268">
        <v>5183711.3</v>
      </c>
    </row>
    <row r="257" spans="35:39">
      <c r="AI257" s="62" t="s">
        <v>306</v>
      </c>
      <c r="AJ257" s="268">
        <v>0</v>
      </c>
      <c r="AM257" s="268">
        <v>5183711.3</v>
      </c>
    </row>
    <row r="258" spans="35:39">
      <c r="AI258" s="62" t="s">
        <v>391</v>
      </c>
      <c r="AJ258" s="268">
        <v>0</v>
      </c>
      <c r="AM258" s="268">
        <v>5183711.3</v>
      </c>
    </row>
    <row r="259" spans="35:39">
      <c r="AI259" s="62" t="s">
        <v>392</v>
      </c>
      <c r="AJ259" s="62">
        <v>0</v>
      </c>
      <c r="AM259" s="268">
        <v>5183711.3</v>
      </c>
    </row>
  </sheetData>
  <protectedRanges>
    <protectedRange sqref="A1:CI3 G9:S9 A4:F4 AB4:BR4 G16:Y19 A45:Q45 U45:Y45 A44:Y44 A43:J43 L43:N43 S25:BR26 AB5:AB8 S43:Y43 A40:BH40 Z37:BH39 A25:G28 N25:N26 N27:BR27 A63:B63 D63:M63 A38:Q38 G22:G24 BR31:CI45 A127:CS187 A108:AQ126 AH5:BR8 A48:T61 AA47:BH50 A64:M81 AA52:CS52 AA51:BS51 A41:Y42 AA41:BH45 U46:BH46 A46:R47 G20:N20 S20:Y20 N23 V29:CI29 A62:M62 AA58:CS58 AF53:CS56 AA64:CS64 AG59:CS59 AF57:AH57 AZ57:CS57 A82:G94 U91:Y94 G6:N8 S6:Z8 Z36:AI36 AZ36:BH36 AG61:CS63 AG60:AI60 AZ60:CS60 A95:F95 H95:CS95 A96:G100 U96:CS100 U30:Y34 A36:S37 U84:U87 A101:CS104 M106:AQ107 A105:L107 M105:CS105 AX107:AX126 A39:T39 AZ106:CS126 H4:Z5 BJ30:CI30 BJ46:CI50 BJ31:BL45 G21:J21 M21:N22 U9:AB9 S21:AL23 AD9:AL9 N24:AL24 AA16:AL20 AN9:BR24 N28:CI28 A29:T35 Z30:BH35 S79:T88 S90:T94 M89:T89 S38:T38 T75:T78 S62:T71 Z65:CS94 U70:Y83 U10:AL13 G14:AL15 G10:N13 P10:S13" name="区域1"/>
    <protectedRange sqref="AA4:AA8" name="区域1_1"/>
    <protectedRange sqref="Z16:Z20" name="区域1_2"/>
    <protectedRange sqref="R45" name="区域1_4"/>
    <protectedRange sqref="K43" name="区域1_5"/>
    <protectedRange sqref="O25:R26" name="区域2"/>
    <protectedRange sqref="O43:R43" name="区域1_10"/>
    <protectedRange sqref="V84:Y87" name="区域1_11"/>
    <protectedRange sqref="H23:M28" name="区域1_12"/>
    <protectedRange sqref="C63" name="区域1_13"/>
    <protectedRange sqref="N72:R72 N73:N76" name="区域2_1_1_3"/>
    <protectedRange sqref="N67:R67 N68:N71" name="区域2_1_1_3_1"/>
    <protectedRange sqref="O77:R77 N78:N81" name="区域2_1_1_3_1_3"/>
    <protectedRange sqref="O73:R76" name="区域2_1_1_3_2"/>
    <protectedRange sqref="R38" name="区域1_15"/>
    <protectedRange sqref="H22:L22" name="区域1_14_1"/>
    <protectedRange sqref="BM31:BQ40 BM42:BQ45 BN41:BQ41" name="区域1_14"/>
    <protectedRange sqref="AR107:AR126" name="区域2_1"/>
    <protectedRange sqref="AS107:AS126" name="区域2_2"/>
    <protectedRange sqref="AT107:AT126" name="区域2_3"/>
    <protectedRange sqref="AU107:AU126" name="区域2_5"/>
    <protectedRange sqref="AV107:AV126" name="区域1_18"/>
    <protectedRange sqref="AW107:AW126" name="区域1_19"/>
    <protectedRange sqref="AR106 AW106" name="区域1_17_3_1"/>
    <protectedRange sqref="AS106" name="区域1_17_1_1_1"/>
    <protectedRange sqref="AT106" name="区域1_17_2_1_1"/>
    <protectedRange sqref="AU106" name="区域1_17_4_1_1"/>
    <protectedRange sqref="AV106" name="区域1_18_1_1"/>
    <protectedRange sqref="CJ1:CS3 CJ25:CS51 CK4:CS24" name="区域1_21"/>
    <protectedRange sqref="CB25:CI27 BS25:BZ26 BS4:BS24" name="区域1_22"/>
    <protectedRange sqref="BS27:BZ27" name="区域1_9_1"/>
    <protectedRange sqref="CA27" name="区域1_7_3"/>
    <protectedRange sqref="CA25:CA26" name="区域1_7_1_1_1"/>
    <protectedRange sqref="BT4:CA4 BT5:BZ24" name="区域1_17_2"/>
    <protectedRange sqref="CA5:CA24" name="区域1_6_2_1_2"/>
    <protectedRange sqref="U58:Z58 Z47:Z57 U64:Z64 Z59:Z63" name="区域1_7"/>
    <protectedRange sqref="Z41:Z45" name="区域1_8"/>
    <protectedRange sqref="U47:Y57 U59:Y63" name="区域1_4_2"/>
    <protectedRange sqref="AD5:AG8" name="区域1_9"/>
    <protectedRange sqref="AC9" name="区域1_6"/>
    <protectedRange sqref="AC5:AC8" name="区域1_15_1_1"/>
    <protectedRange sqref="BT51:CI51" name="区域1_4_1"/>
    <protectedRange sqref="S45:T46 S47" name="区域3"/>
    <protectedRange sqref="T47" name="区域3_1"/>
    <protectedRange sqref="O20:R23" name="区域3_2"/>
    <protectedRange sqref="A5:F24" name="区域1_17"/>
    <protectedRange sqref="U29" name="区域1_3"/>
    <protectedRange sqref="N62:R62 N63:N66" name="区域2_1_1_3_3"/>
    <protectedRange sqref="O63:R66" name="区域2_1_1_3_1_2_1_1_1"/>
    <protectedRange sqref="AB53:AE53 AA54:AE57" name="区域1_4_2_1"/>
    <protectedRange sqref="AA53" name="区域1_4_2_1_1"/>
    <protectedRange sqref="U65" name="区域1_16"/>
    <protectedRange sqref="U66:U69 V65:Y65" name="区域1_4_2_2"/>
    <protectedRange sqref="V66:Y69" name="区域1_20"/>
    <protectedRange sqref="O68:R71" name="区域2_1_1_3_1_2_1_1_2"/>
    <protectedRange sqref="CH4:CJ24" name="区域1_12_1"/>
    <protectedRange sqref="CG4:CG24" name="区域1_19_2"/>
    <protectedRange sqref="CF4:CF24" name="区域1_12_1_1"/>
    <protectedRange sqref="CB4:CE4 CB5:CB24" name="区域1_17_1"/>
    <protectedRange sqref="CC5:CE24" name="区域1_5_1_1_1"/>
    <protectedRange sqref="O78:R81" name="区域2_1_1_3_1_1"/>
    <protectedRange sqref="AF59:AF63" name="区域1_23"/>
    <protectedRange sqref="AB59:AE59 AA60:AE63" name="区域1_4_2_3"/>
    <protectedRange sqref="AA59" name="区域1_4_2_1_2"/>
    <protectedRange sqref="AX106" name="区域1_24"/>
    <protectedRange sqref="H82:R83" name="区域2_4"/>
    <protectedRange sqref="H84:L88 N84:R88" name="区域2_6"/>
    <protectedRange sqref="H89:L89" name="区域1_26"/>
    <protectedRange sqref="AI57" name="区域1_14_2"/>
    <protectedRange sqref="AJ57:AY57" name="区域1_25_2"/>
    <protectedRange sqref="O6:R8" name="区域1_27"/>
    <protectedRange sqref="M84:M88" name="区域2_2_2"/>
    <protectedRange sqref="AJ36:AY36" name="区域1_1_1"/>
    <protectedRange sqref="AJ60:AY60" name="区域1_1_2"/>
    <protectedRange sqref="M90:R90 S78 N91:R94" name="区域2_7"/>
    <protectedRange sqref="G95" name="区域2_8"/>
    <protectedRange sqref="M96:M100" name="区域3_3"/>
    <protectedRange sqref="H96:L100 N96:R100" name="区域2_6_1"/>
    <protectedRange sqref="T72:T74" name="区域1_1_4"/>
    <protectedRange sqref="T36:T37" name="区域1_1_5"/>
    <protectedRange sqref="S73:S76" name="区域1_1_3_1"/>
    <protectedRange sqref="S72" name="区域1_1_3_2"/>
    <protectedRange sqref="I90:L90 H91:L94" name="区域1_4_2_4"/>
    <protectedRange sqref="H90" name="区域1_4_2_1_3"/>
    <protectedRange sqref="N77" name="区域2_1_1_3_1_1_2"/>
    <protectedRange sqref="AY106" name="区域1_22_1"/>
    <protectedRange sqref="M91:M94" name="区域2_7_1"/>
    <protectedRange sqref="AY107:AY126" name="区域1_22_2"/>
    <protectedRange sqref="G5" name="区域1_25"/>
    <protectedRange sqref="S77" name="区域2_7_1_1"/>
    <protectedRange sqref="S96:S100" name="区域3_4"/>
    <protectedRange sqref="T96:T100" name="区域3_5"/>
    <protectedRange sqref="BI31:BI50" name="区域1_28"/>
    <protectedRange sqref="BI30" name="区域1_7_1"/>
    <protectedRange sqref="G4" name="区域1_29"/>
    <protectedRange sqref="K21" name="区域1_24_1"/>
    <protectedRange sqref="L21" name="区域1_26_1"/>
    <protectedRange sqref="T9" name="区域1_27_1"/>
    <protectedRange sqref="BM41" name="区域1_27_2"/>
    <protectedRange sqref="V35:Y35 U36:Y39" name="区域1_11_1"/>
    <protectedRange sqref="U35" name="区域1_6_1"/>
    <protectedRange sqref="T10:T13" name="区域2_9"/>
    <protectedRange sqref="O10:O13" name="区域3_7"/>
  </protectedRanges>
  <mergeCells count="104">
    <mergeCell ref="CK3:CS3"/>
    <mergeCell ref="A4:F4"/>
    <mergeCell ref="H4:L4"/>
    <mergeCell ref="N4:R4"/>
    <mergeCell ref="BA4:BQ4"/>
    <mergeCell ref="BB5:BE5"/>
    <mergeCell ref="BF5:BI5"/>
    <mergeCell ref="BJ5:BM5"/>
    <mergeCell ref="BN5:BQ5"/>
    <mergeCell ref="AI7:AQ7"/>
    <mergeCell ref="H11:L11"/>
    <mergeCell ref="H23:L23"/>
    <mergeCell ref="A26:F26"/>
    <mergeCell ref="BS27:BV27"/>
    <mergeCell ref="A28:B28"/>
    <mergeCell ref="C28:F28"/>
    <mergeCell ref="BT28:BW28"/>
    <mergeCell ref="BX28:CA28"/>
    <mergeCell ref="CB28:CE28"/>
    <mergeCell ref="CF28:CI28"/>
    <mergeCell ref="A29:B29"/>
    <mergeCell ref="K29:L29"/>
    <mergeCell ref="A30:B30"/>
    <mergeCell ref="BM30:BQ30"/>
    <mergeCell ref="A31:B31"/>
    <mergeCell ref="N31:R31"/>
    <mergeCell ref="A32:B32"/>
    <mergeCell ref="A33:B33"/>
    <mergeCell ref="A34:B34"/>
    <mergeCell ref="AI34:AY34"/>
    <mergeCell ref="A35:B35"/>
    <mergeCell ref="AJ35:AM35"/>
    <mergeCell ref="AN35:AQ35"/>
    <mergeCell ref="AR35:AU35"/>
    <mergeCell ref="AV35:AY35"/>
    <mergeCell ref="A36:B36"/>
    <mergeCell ref="A37:B37"/>
    <mergeCell ref="A38:B38"/>
    <mergeCell ref="N38:O38"/>
    <mergeCell ref="A39:B39"/>
    <mergeCell ref="N39:R39"/>
    <mergeCell ref="A40:B40"/>
    <mergeCell ref="AB40:AC40"/>
    <mergeCell ref="AD40:AE40"/>
    <mergeCell ref="A41:B41"/>
    <mergeCell ref="H41:L41"/>
    <mergeCell ref="AB41:AC41"/>
    <mergeCell ref="AD41:AE41"/>
    <mergeCell ref="A42:B42"/>
    <mergeCell ref="AB42:AC42"/>
    <mergeCell ref="AD42:AE42"/>
    <mergeCell ref="A43:B43"/>
    <mergeCell ref="A44:B44"/>
    <mergeCell ref="A45:B45"/>
    <mergeCell ref="H45:L45"/>
    <mergeCell ref="A46:B46"/>
    <mergeCell ref="A47:B47"/>
    <mergeCell ref="N47:R47"/>
    <mergeCell ref="A48:B48"/>
    <mergeCell ref="A49:B49"/>
    <mergeCell ref="A50:B50"/>
    <mergeCell ref="A51:B51"/>
    <mergeCell ref="A52:B52"/>
    <mergeCell ref="A53:B53"/>
    <mergeCell ref="A54:B54"/>
    <mergeCell ref="A55:B55"/>
    <mergeCell ref="A56:B56"/>
    <mergeCell ref="A57:B57"/>
    <mergeCell ref="A58:B58"/>
    <mergeCell ref="AI58:AY58"/>
    <mergeCell ref="A59:B59"/>
    <mergeCell ref="AJ59:AM59"/>
    <mergeCell ref="AN59:AQ59"/>
    <mergeCell ref="AR59:AU59"/>
    <mergeCell ref="AV59:AY59"/>
    <mergeCell ref="A60:B60"/>
    <mergeCell ref="A61:B61"/>
    <mergeCell ref="A62:B62"/>
    <mergeCell ref="A63:B63"/>
    <mergeCell ref="A64:B64"/>
    <mergeCell ref="A66:C66"/>
    <mergeCell ref="E66:F66"/>
    <mergeCell ref="H77:L77"/>
    <mergeCell ref="B80:C80"/>
    <mergeCell ref="AI82:AV82"/>
    <mergeCell ref="A21:A22"/>
    <mergeCell ref="A23:A24"/>
    <mergeCell ref="F21:F22"/>
    <mergeCell ref="M23:M24"/>
    <mergeCell ref="T18:T19"/>
    <mergeCell ref="AI35:AI36"/>
    <mergeCell ref="AI59:AI60"/>
    <mergeCell ref="BA5:BA6"/>
    <mergeCell ref="BS28:BS29"/>
    <mergeCell ref="A1:F2"/>
    <mergeCell ref="BS1:CI2"/>
    <mergeCell ref="H1:R2"/>
    <mergeCell ref="AI1:AY2"/>
    <mergeCell ref="U1:Z2"/>
    <mergeCell ref="AB1:AG2"/>
    <mergeCell ref="BA1:BQ2"/>
    <mergeCell ref="AI4:AY5"/>
    <mergeCell ref="AI31:AY32"/>
    <mergeCell ref="H82:R83"/>
  </mergeCells>
  <conditionalFormatting sqref="G4">
    <cfRule type="cellIs" dxfId="0" priority="1" operator="equal">
      <formula>"""价格打错"""</formula>
    </cfRule>
  </conditionalFormatting>
  <conditionalFormatting sqref="AG11">
    <cfRule type="cellIs" dxfId="3" priority="31" stopIfTrue="1" operator="equal">
      <formula>"正确"</formula>
    </cfRule>
    <cfRule type="cellIs" dxfId="4" priority="32" stopIfTrue="1" operator="equal">
      <formula>“错误”</formula>
    </cfRule>
    <cfRule type="cellIs" dxfId="5" priority="33" stopIfTrue="1" operator="equal">
      <formula>"未粘报表"</formula>
    </cfRule>
  </conditionalFormatting>
  <conditionalFormatting sqref="AH11">
    <cfRule type="cellIs" dxfId="6" priority="24" stopIfTrue="1" operator="equal">
      <formula>"未粘报表"</formula>
    </cfRule>
    <cfRule type="cellIs" dxfId="6" priority="29" stopIfTrue="1" operator="equal">
      <formula>"现金错误"</formula>
    </cfRule>
    <cfRule type="cellIs" dxfId="7" priority="30" stopIfTrue="1" operator="equal">
      <formula>"现金正确"</formula>
    </cfRule>
  </conditionalFormatting>
  <conditionalFormatting sqref="AG13">
    <cfRule type="cellIs" dxfId="6" priority="23" stopIfTrue="1" operator="equal">
      <formula>"未粘报表"</formula>
    </cfRule>
    <cfRule type="cellIs" dxfId="6" priority="27" stopIfTrue="1" operator="equal">
      <formula>"成本错误"</formula>
    </cfRule>
    <cfRule type="cellIs" dxfId="7" priority="28" stopIfTrue="1" operator="equal">
      <formula>"成本正确"</formula>
    </cfRule>
  </conditionalFormatting>
  <conditionalFormatting sqref="AH13">
    <cfRule type="cellIs" dxfId="6" priority="22" stopIfTrue="1" operator="equal">
      <formula>"未粘报表"</formula>
    </cfRule>
    <cfRule type="cellIs" dxfId="6" priority="25" stopIfTrue="1" operator="equal">
      <formula>"分红错误"</formula>
    </cfRule>
    <cfRule type="cellIs" dxfId="7" priority="26" stopIfTrue="1" operator="equal">
      <formula>"分红正确"</formula>
    </cfRule>
  </conditionalFormatting>
  <conditionalFormatting sqref="K18">
    <cfRule type="cellIs" dxfId="8" priority="58" stopIfTrue="1" operator="lessThan">
      <formula>$J$17</formula>
    </cfRule>
  </conditionalFormatting>
  <conditionalFormatting sqref="S37">
    <cfRule type="expression" dxfId="9" priority="15">
      <formula>"&gt;0"</formula>
    </cfRule>
  </conditionalFormatting>
  <conditionalFormatting sqref="T37">
    <cfRule type="expression" dxfId="9" priority="14">
      <formula>"&gt;0"</formula>
    </cfRule>
  </conditionalFormatting>
  <conditionalFormatting sqref="K43">
    <cfRule type="cellIs" dxfId="8" priority="21" stopIfTrue="1" operator="lessThan">
      <formula>$I$43</formula>
    </cfRule>
  </conditionalFormatting>
  <conditionalFormatting sqref="T47">
    <cfRule type="expression" dxfId="9" priority="19">
      <formula>"&gt;0"</formula>
    </cfRule>
  </conditionalFormatting>
  <conditionalFormatting sqref="S78">
    <cfRule type="cellIs" dxfId="6" priority="5" stopIfTrue="1" operator="equal">
      <formula>"未粘报表"</formula>
    </cfRule>
    <cfRule type="cellIs" dxfId="6" priority="6" stopIfTrue="1" operator="equal">
      <formula>"分红错误"</formula>
    </cfRule>
    <cfRule type="cellIs" dxfId="7" priority="7" stopIfTrue="1" operator="equal">
      <formula>"分红正确"</formula>
    </cfRule>
  </conditionalFormatting>
  <conditionalFormatting sqref="K85:K88">
    <cfRule type="cellIs" dxfId="0" priority="18" operator="greaterThan">
      <formula>$L$85+15</formula>
    </cfRule>
  </conditionalFormatting>
  <conditionalFormatting sqref="L85:L88">
    <cfRule type="cellIs" dxfId="0" priority="17" operator="greaterThan">
      <formula>$K$85+15</formula>
    </cfRule>
  </conditionalFormatting>
  <conditionalFormatting sqref="M85:M88">
    <cfRule type="cellIs" dxfId="0" priority="16" operator="greaterThan">
      <formula>$K$85+15</formula>
    </cfRule>
  </conditionalFormatting>
  <conditionalFormatting sqref="M91:M94">
    <cfRule type="cellIs" dxfId="6" priority="2" stopIfTrue="1" operator="equal">
      <formula>"市场异常"</formula>
    </cfRule>
    <cfRule type="cellIs" dxfId="7" priority="3" stopIfTrue="1" operator="equal">
      <formula>"市场正常"</formula>
    </cfRule>
  </conditionalFormatting>
  <dataValidations count="2">
    <dataValidation type="whole" operator="between" allowBlank="1" showInputMessage="1" showErrorMessage="1" error="请输入正确" sqref="K43">
      <formula1>I43</formula1>
      <formula2>10000000000</formula2>
    </dataValidation>
    <dataValidation type="decimal" operator="between" allowBlank="1" showInputMessage="1" showErrorMessage="1" error="请输入正确" sqref="R45">
      <formula1>1</formula1>
      <formula2>2</formula2>
    </dataValidation>
  </dataValidations>
  <pageMargins left="0.698611111111111" right="0.698611111111111" top="0.75" bottom="0.75" header="0.3" footer="0.3"/>
  <pageSetup paperSize="9" firstPageNumber="4294963191" orientation="portrait" useFirstPageNumber="1" horizontalDpi="300"/>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1" name="Spinner 7" r:id="rId4">
              <controlPr defaultSize="0">
                <anchor moveWithCells="1" sizeWithCells="1">
                  <from>
                    <xdr:col>8</xdr:col>
                    <xdr:colOff>793750</xdr:colOff>
                    <xdr:row>24</xdr:row>
                    <xdr:rowOff>12700</xdr:rowOff>
                  </from>
                  <to>
                    <xdr:col>8</xdr:col>
                    <xdr:colOff>927100</xdr:colOff>
                    <xdr:row>25</xdr:row>
                    <xdr:rowOff>0</xdr:rowOff>
                  </to>
                </anchor>
              </controlPr>
            </control>
          </mc:Choice>
        </mc:AlternateContent>
        <mc:AlternateContent xmlns:mc="http://schemas.openxmlformats.org/markup-compatibility/2006">
          <mc:Choice Requires="x14">
            <control shapeId="11272" name="Spinner 8" r:id="rId5">
              <controlPr defaultSize="0">
                <anchor moveWithCells="1" sizeWithCells="1">
                  <from>
                    <xdr:col>9</xdr:col>
                    <xdr:colOff>755650</xdr:colOff>
                    <xdr:row>24</xdr:row>
                    <xdr:rowOff>12700</xdr:rowOff>
                  </from>
                  <to>
                    <xdr:col>9</xdr:col>
                    <xdr:colOff>889000</xdr:colOff>
                    <xdr:row>25</xdr:row>
                    <xdr:rowOff>0</xdr:rowOff>
                  </to>
                </anchor>
              </controlPr>
            </control>
          </mc:Choice>
        </mc:AlternateContent>
        <mc:AlternateContent xmlns:mc="http://schemas.openxmlformats.org/markup-compatibility/2006">
          <mc:Choice Requires="x14">
            <control shapeId="11273" name="Spinner 9" r:id="rId6">
              <controlPr defaultSize="0">
                <anchor moveWithCells="1" sizeWithCells="1">
                  <from>
                    <xdr:col>8</xdr:col>
                    <xdr:colOff>793750</xdr:colOff>
                    <xdr:row>25</xdr:row>
                    <xdr:rowOff>12700</xdr:rowOff>
                  </from>
                  <to>
                    <xdr:col>8</xdr:col>
                    <xdr:colOff>927100</xdr:colOff>
                    <xdr:row>26</xdr:row>
                    <xdr:rowOff>0</xdr:rowOff>
                  </to>
                </anchor>
              </controlPr>
            </control>
          </mc:Choice>
        </mc:AlternateContent>
        <mc:AlternateContent xmlns:mc="http://schemas.openxmlformats.org/markup-compatibility/2006">
          <mc:Choice Requires="x14">
            <control shapeId="11274" name="Spinner 10" r:id="rId7">
              <controlPr defaultSize="0">
                <anchor moveWithCells="1" sizeWithCells="1">
                  <from>
                    <xdr:col>9</xdr:col>
                    <xdr:colOff>755650</xdr:colOff>
                    <xdr:row>25</xdr:row>
                    <xdr:rowOff>12700</xdr:rowOff>
                  </from>
                  <to>
                    <xdr:col>9</xdr:col>
                    <xdr:colOff>889000</xdr:colOff>
                    <xdr:row>26</xdr:row>
                    <xdr:rowOff>0</xdr:rowOff>
                  </to>
                </anchor>
              </controlPr>
            </control>
          </mc:Choice>
        </mc:AlternateContent>
        <mc:AlternateContent xmlns:mc="http://schemas.openxmlformats.org/markup-compatibility/2006">
          <mc:Choice Requires="x14">
            <control shapeId="11275" name="Spinner 11" r:id="rId8">
              <controlPr defaultSize="0">
                <anchor moveWithCells="1" sizeWithCells="1">
                  <from>
                    <xdr:col>8</xdr:col>
                    <xdr:colOff>793750</xdr:colOff>
                    <xdr:row>26</xdr:row>
                    <xdr:rowOff>12700</xdr:rowOff>
                  </from>
                  <to>
                    <xdr:col>8</xdr:col>
                    <xdr:colOff>927100</xdr:colOff>
                    <xdr:row>27</xdr:row>
                    <xdr:rowOff>0</xdr:rowOff>
                  </to>
                </anchor>
              </controlPr>
            </control>
          </mc:Choice>
        </mc:AlternateContent>
        <mc:AlternateContent xmlns:mc="http://schemas.openxmlformats.org/markup-compatibility/2006">
          <mc:Choice Requires="x14">
            <control shapeId="11276" name="Spinner 12" r:id="rId9">
              <controlPr defaultSize="0">
                <anchor moveWithCells="1" sizeWithCells="1">
                  <from>
                    <xdr:col>9</xdr:col>
                    <xdr:colOff>755650</xdr:colOff>
                    <xdr:row>26</xdr:row>
                    <xdr:rowOff>12700</xdr:rowOff>
                  </from>
                  <to>
                    <xdr:col>9</xdr:col>
                    <xdr:colOff>889000</xdr:colOff>
                    <xdr:row>27</xdr:row>
                    <xdr:rowOff>0</xdr:rowOff>
                  </to>
                </anchor>
              </controlPr>
            </control>
          </mc:Choice>
        </mc:AlternateContent>
        <mc:AlternateContent xmlns:mc="http://schemas.openxmlformats.org/markup-compatibility/2006">
          <mc:Choice Requires="x14">
            <control shapeId="11277" name="Spinner 13" r:id="rId10">
              <controlPr defaultSize="0">
                <anchor moveWithCells="1" sizeWithCells="1">
                  <from>
                    <xdr:col>8</xdr:col>
                    <xdr:colOff>793750</xdr:colOff>
                    <xdr:row>27</xdr:row>
                    <xdr:rowOff>12700</xdr:rowOff>
                  </from>
                  <to>
                    <xdr:col>8</xdr:col>
                    <xdr:colOff>927100</xdr:colOff>
                    <xdr:row>28</xdr:row>
                    <xdr:rowOff>0</xdr:rowOff>
                  </to>
                </anchor>
              </controlPr>
            </control>
          </mc:Choice>
        </mc:AlternateContent>
        <mc:AlternateContent xmlns:mc="http://schemas.openxmlformats.org/markup-compatibility/2006">
          <mc:Choice Requires="x14">
            <control shapeId="11278" name="Spinner 14" r:id="rId11">
              <controlPr defaultSize="0">
                <anchor moveWithCells="1" sizeWithCells="1">
                  <from>
                    <xdr:col>9</xdr:col>
                    <xdr:colOff>755650</xdr:colOff>
                    <xdr:row>27</xdr:row>
                    <xdr:rowOff>12700</xdr:rowOff>
                  </from>
                  <to>
                    <xdr:col>9</xdr:col>
                    <xdr:colOff>889000</xdr:colOff>
                    <xdr:row>28</xdr:row>
                    <xdr:rowOff>0</xdr:rowOff>
                  </to>
                </anchor>
              </controlPr>
            </control>
          </mc:Choice>
        </mc:AlternateContent>
        <mc:AlternateContent xmlns:mc="http://schemas.openxmlformats.org/markup-compatibility/2006">
          <mc:Choice Requires="x14">
            <control shapeId="11279" name="Spinner 15" r:id="rId12">
              <controlPr defaultSize="0">
                <anchor moveWithCells="1" sizeWithCells="1">
                  <from>
                    <xdr:col>10</xdr:col>
                    <xdr:colOff>889000</xdr:colOff>
                    <xdr:row>23</xdr:row>
                    <xdr:rowOff>184150</xdr:rowOff>
                  </from>
                  <to>
                    <xdr:col>10</xdr:col>
                    <xdr:colOff>1016000</xdr:colOff>
                    <xdr:row>24</xdr:row>
                    <xdr:rowOff>177800</xdr:rowOff>
                  </to>
                </anchor>
              </controlPr>
            </control>
          </mc:Choice>
        </mc:AlternateContent>
        <mc:AlternateContent xmlns:mc="http://schemas.openxmlformats.org/markup-compatibility/2006">
          <mc:Choice Requires="x14">
            <control shapeId="11280" name="Spinner 16" r:id="rId13">
              <controlPr defaultSize="0">
                <anchor moveWithCells="1" sizeWithCells="1">
                  <from>
                    <xdr:col>11</xdr:col>
                    <xdr:colOff>1022350</xdr:colOff>
                    <xdr:row>24</xdr:row>
                    <xdr:rowOff>12700</xdr:rowOff>
                  </from>
                  <to>
                    <xdr:col>11</xdr:col>
                    <xdr:colOff>1155700</xdr:colOff>
                    <xdr:row>25</xdr:row>
                    <xdr:rowOff>0</xdr:rowOff>
                  </to>
                </anchor>
              </controlPr>
            </control>
          </mc:Choice>
        </mc:AlternateContent>
        <mc:AlternateContent xmlns:mc="http://schemas.openxmlformats.org/markup-compatibility/2006">
          <mc:Choice Requires="x14">
            <control shapeId="11281" name="Spinner 17" r:id="rId14">
              <controlPr defaultSize="0">
                <anchor moveWithCells="1" sizeWithCells="1">
                  <from>
                    <xdr:col>10</xdr:col>
                    <xdr:colOff>889000</xdr:colOff>
                    <xdr:row>24</xdr:row>
                    <xdr:rowOff>184150</xdr:rowOff>
                  </from>
                  <to>
                    <xdr:col>10</xdr:col>
                    <xdr:colOff>1016000</xdr:colOff>
                    <xdr:row>25</xdr:row>
                    <xdr:rowOff>177800</xdr:rowOff>
                  </to>
                </anchor>
              </controlPr>
            </control>
          </mc:Choice>
        </mc:AlternateContent>
        <mc:AlternateContent xmlns:mc="http://schemas.openxmlformats.org/markup-compatibility/2006">
          <mc:Choice Requires="x14">
            <control shapeId="11282" name="Spinner 18" r:id="rId15">
              <controlPr defaultSize="0">
                <anchor moveWithCells="1" sizeWithCells="1">
                  <from>
                    <xdr:col>11</xdr:col>
                    <xdr:colOff>1028700</xdr:colOff>
                    <xdr:row>25</xdr:row>
                    <xdr:rowOff>12700</xdr:rowOff>
                  </from>
                  <to>
                    <xdr:col>11</xdr:col>
                    <xdr:colOff>1155700</xdr:colOff>
                    <xdr:row>26</xdr:row>
                    <xdr:rowOff>0</xdr:rowOff>
                  </to>
                </anchor>
              </controlPr>
            </control>
          </mc:Choice>
        </mc:AlternateContent>
        <mc:AlternateContent xmlns:mc="http://schemas.openxmlformats.org/markup-compatibility/2006">
          <mc:Choice Requires="x14">
            <control shapeId="11283" name="Spinner 19" r:id="rId16">
              <controlPr defaultSize="0">
                <anchor moveWithCells="1" sizeWithCells="1">
                  <from>
                    <xdr:col>10</xdr:col>
                    <xdr:colOff>889000</xdr:colOff>
                    <xdr:row>25</xdr:row>
                    <xdr:rowOff>184150</xdr:rowOff>
                  </from>
                  <to>
                    <xdr:col>10</xdr:col>
                    <xdr:colOff>1016000</xdr:colOff>
                    <xdr:row>26</xdr:row>
                    <xdr:rowOff>177800</xdr:rowOff>
                  </to>
                </anchor>
              </controlPr>
            </control>
          </mc:Choice>
        </mc:AlternateContent>
        <mc:AlternateContent xmlns:mc="http://schemas.openxmlformats.org/markup-compatibility/2006">
          <mc:Choice Requires="x14">
            <control shapeId="11284" name="Spinner 20" r:id="rId17">
              <controlPr defaultSize="0">
                <anchor moveWithCells="1" sizeWithCells="1">
                  <from>
                    <xdr:col>11</xdr:col>
                    <xdr:colOff>1028700</xdr:colOff>
                    <xdr:row>26</xdr:row>
                    <xdr:rowOff>12700</xdr:rowOff>
                  </from>
                  <to>
                    <xdr:col>11</xdr:col>
                    <xdr:colOff>1155700</xdr:colOff>
                    <xdr:row>27</xdr:row>
                    <xdr:rowOff>0</xdr:rowOff>
                  </to>
                </anchor>
              </controlPr>
            </control>
          </mc:Choice>
        </mc:AlternateContent>
        <mc:AlternateContent xmlns:mc="http://schemas.openxmlformats.org/markup-compatibility/2006">
          <mc:Choice Requires="x14">
            <control shapeId="11285" name="Spinner 21" r:id="rId18">
              <controlPr defaultSize="0">
                <anchor moveWithCells="1" sizeWithCells="1">
                  <from>
                    <xdr:col>10</xdr:col>
                    <xdr:colOff>889000</xdr:colOff>
                    <xdr:row>26</xdr:row>
                    <xdr:rowOff>184150</xdr:rowOff>
                  </from>
                  <to>
                    <xdr:col>10</xdr:col>
                    <xdr:colOff>1016000</xdr:colOff>
                    <xdr:row>27</xdr:row>
                    <xdr:rowOff>177800</xdr:rowOff>
                  </to>
                </anchor>
              </controlPr>
            </control>
          </mc:Choice>
        </mc:AlternateContent>
        <mc:AlternateContent xmlns:mc="http://schemas.openxmlformats.org/markup-compatibility/2006">
          <mc:Choice Requires="x14">
            <control shapeId="11286" name="Spinner 22" r:id="rId19">
              <controlPr defaultSize="0">
                <anchor moveWithCells="1" sizeWithCells="1">
                  <from>
                    <xdr:col>11</xdr:col>
                    <xdr:colOff>1028700</xdr:colOff>
                    <xdr:row>27</xdr:row>
                    <xdr:rowOff>12700</xdr:rowOff>
                  </from>
                  <to>
                    <xdr:col>11</xdr:col>
                    <xdr:colOff>1155700</xdr:colOff>
                    <xdr:row>28</xdr:row>
                    <xdr:rowOff>0</xdr:rowOff>
                  </to>
                </anchor>
              </controlPr>
            </control>
          </mc:Choice>
        </mc:AlternateContent>
        <mc:AlternateContent xmlns:mc="http://schemas.openxmlformats.org/markup-compatibility/2006">
          <mc:Choice Requires="x14">
            <control shapeId="11287" name="Spinner 23" r:id="rId20">
              <controlPr defaultSize="0">
                <anchor moveWithCells="1" sizeWithCells="1">
                  <from>
                    <xdr:col>8</xdr:col>
                    <xdr:colOff>800100</xdr:colOff>
                    <xdr:row>62</xdr:row>
                    <xdr:rowOff>0</xdr:rowOff>
                  </from>
                  <to>
                    <xdr:col>8</xdr:col>
                    <xdr:colOff>927100</xdr:colOff>
                    <xdr:row>62</xdr:row>
                    <xdr:rowOff>190500</xdr:rowOff>
                  </to>
                </anchor>
              </controlPr>
            </control>
          </mc:Choice>
        </mc:AlternateContent>
        <mc:AlternateContent xmlns:mc="http://schemas.openxmlformats.org/markup-compatibility/2006">
          <mc:Choice Requires="x14">
            <control shapeId="11288" name="Spinner 24" r:id="rId21">
              <controlPr defaultSize="0">
                <anchor moveWithCells="1" sizeWithCells="1">
                  <from>
                    <xdr:col>9</xdr:col>
                    <xdr:colOff>774700</xdr:colOff>
                    <xdr:row>62</xdr:row>
                    <xdr:rowOff>0</xdr:rowOff>
                  </from>
                  <to>
                    <xdr:col>9</xdr:col>
                    <xdr:colOff>889000</xdr:colOff>
                    <xdr:row>62</xdr:row>
                    <xdr:rowOff>190500</xdr:rowOff>
                  </to>
                </anchor>
              </controlPr>
            </control>
          </mc:Choice>
        </mc:AlternateContent>
        <mc:AlternateContent xmlns:mc="http://schemas.openxmlformats.org/markup-compatibility/2006">
          <mc:Choice Requires="x14">
            <control shapeId="11289" name="Spinner 25" r:id="rId22">
              <controlPr defaultSize="0">
                <anchor moveWithCells="1" sizeWithCells="1">
                  <from>
                    <xdr:col>10</xdr:col>
                    <xdr:colOff>876300</xdr:colOff>
                    <xdr:row>62</xdr:row>
                    <xdr:rowOff>0</xdr:rowOff>
                  </from>
                  <to>
                    <xdr:col>10</xdr:col>
                    <xdr:colOff>1016000</xdr:colOff>
                    <xdr:row>62</xdr:row>
                    <xdr:rowOff>190500</xdr:rowOff>
                  </to>
                </anchor>
              </controlPr>
            </control>
          </mc:Choice>
        </mc:AlternateContent>
        <mc:AlternateContent xmlns:mc="http://schemas.openxmlformats.org/markup-compatibility/2006">
          <mc:Choice Requires="x14">
            <control shapeId="11290" name="Spinner 26" r:id="rId23">
              <controlPr defaultSize="0">
                <anchor moveWithCells="1" sizeWithCells="1">
                  <from>
                    <xdr:col>11</xdr:col>
                    <xdr:colOff>1022350</xdr:colOff>
                    <xdr:row>61</xdr:row>
                    <xdr:rowOff>190500</xdr:rowOff>
                  </from>
                  <to>
                    <xdr:col>11</xdr:col>
                    <xdr:colOff>1143000</xdr:colOff>
                    <xdr:row>62</xdr:row>
                    <xdr:rowOff>184150</xdr:rowOff>
                  </to>
                </anchor>
              </controlPr>
            </control>
          </mc:Choice>
        </mc:AlternateContent>
        <mc:AlternateContent xmlns:mc="http://schemas.openxmlformats.org/markup-compatibility/2006">
          <mc:Choice Requires="x14">
            <control shapeId="11291" name="Spinner 27" r:id="rId24">
              <controlPr defaultSize="0">
                <anchor moveWithCells="1" sizeWithCells="1">
                  <from>
                    <xdr:col>8</xdr:col>
                    <xdr:colOff>800100</xdr:colOff>
                    <xdr:row>63</xdr:row>
                    <xdr:rowOff>0</xdr:rowOff>
                  </from>
                  <to>
                    <xdr:col>8</xdr:col>
                    <xdr:colOff>927100</xdr:colOff>
                    <xdr:row>63</xdr:row>
                    <xdr:rowOff>190500</xdr:rowOff>
                  </to>
                </anchor>
              </controlPr>
            </control>
          </mc:Choice>
        </mc:AlternateContent>
        <mc:AlternateContent xmlns:mc="http://schemas.openxmlformats.org/markup-compatibility/2006">
          <mc:Choice Requires="x14">
            <control shapeId="11292" name="Spinner 28" r:id="rId25">
              <controlPr defaultSize="0">
                <anchor moveWithCells="1" sizeWithCells="1">
                  <from>
                    <xdr:col>9</xdr:col>
                    <xdr:colOff>774700</xdr:colOff>
                    <xdr:row>63</xdr:row>
                    <xdr:rowOff>0</xdr:rowOff>
                  </from>
                  <to>
                    <xdr:col>9</xdr:col>
                    <xdr:colOff>889000</xdr:colOff>
                    <xdr:row>63</xdr:row>
                    <xdr:rowOff>190500</xdr:rowOff>
                  </to>
                </anchor>
              </controlPr>
            </control>
          </mc:Choice>
        </mc:AlternateContent>
        <mc:AlternateContent xmlns:mc="http://schemas.openxmlformats.org/markup-compatibility/2006">
          <mc:Choice Requires="x14">
            <control shapeId="11293" name="Spinner 29" r:id="rId26">
              <controlPr defaultSize="0">
                <anchor moveWithCells="1" sizeWithCells="1">
                  <from>
                    <xdr:col>10</xdr:col>
                    <xdr:colOff>876300</xdr:colOff>
                    <xdr:row>63</xdr:row>
                    <xdr:rowOff>0</xdr:rowOff>
                  </from>
                  <to>
                    <xdr:col>10</xdr:col>
                    <xdr:colOff>1016000</xdr:colOff>
                    <xdr:row>63</xdr:row>
                    <xdr:rowOff>190500</xdr:rowOff>
                  </to>
                </anchor>
              </controlPr>
            </control>
          </mc:Choice>
        </mc:AlternateContent>
        <mc:AlternateContent xmlns:mc="http://schemas.openxmlformats.org/markup-compatibility/2006">
          <mc:Choice Requires="x14">
            <control shapeId="11294" name="Spinner 30" r:id="rId27">
              <controlPr defaultSize="0">
                <anchor moveWithCells="1" sizeWithCells="1">
                  <from>
                    <xdr:col>11</xdr:col>
                    <xdr:colOff>1022350</xdr:colOff>
                    <xdr:row>62</xdr:row>
                    <xdr:rowOff>190500</xdr:rowOff>
                  </from>
                  <to>
                    <xdr:col>11</xdr:col>
                    <xdr:colOff>1143000</xdr:colOff>
                    <xdr:row>63</xdr:row>
                    <xdr:rowOff>184150</xdr:rowOff>
                  </to>
                </anchor>
              </controlPr>
            </control>
          </mc:Choice>
        </mc:AlternateContent>
        <mc:AlternateContent xmlns:mc="http://schemas.openxmlformats.org/markup-compatibility/2006">
          <mc:Choice Requires="x14">
            <control shapeId="11295" name="Spinner 31" r:id="rId28">
              <controlPr defaultSize="0">
                <anchor moveWithCells="1" sizeWithCells="1">
                  <from>
                    <xdr:col>8</xdr:col>
                    <xdr:colOff>800100</xdr:colOff>
                    <xdr:row>64</xdr:row>
                    <xdr:rowOff>0</xdr:rowOff>
                  </from>
                  <to>
                    <xdr:col>8</xdr:col>
                    <xdr:colOff>927100</xdr:colOff>
                    <xdr:row>64</xdr:row>
                    <xdr:rowOff>190500</xdr:rowOff>
                  </to>
                </anchor>
              </controlPr>
            </control>
          </mc:Choice>
        </mc:AlternateContent>
        <mc:AlternateContent xmlns:mc="http://schemas.openxmlformats.org/markup-compatibility/2006">
          <mc:Choice Requires="x14">
            <control shapeId="11296" name="Spinner 32" r:id="rId29">
              <controlPr defaultSize="0">
                <anchor moveWithCells="1" sizeWithCells="1">
                  <from>
                    <xdr:col>9</xdr:col>
                    <xdr:colOff>774700</xdr:colOff>
                    <xdr:row>64</xdr:row>
                    <xdr:rowOff>0</xdr:rowOff>
                  </from>
                  <to>
                    <xdr:col>9</xdr:col>
                    <xdr:colOff>889000</xdr:colOff>
                    <xdr:row>64</xdr:row>
                    <xdr:rowOff>190500</xdr:rowOff>
                  </to>
                </anchor>
              </controlPr>
            </control>
          </mc:Choice>
        </mc:AlternateContent>
        <mc:AlternateContent xmlns:mc="http://schemas.openxmlformats.org/markup-compatibility/2006">
          <mc:Choice Requires="x14">
            <control shapeId="11297" name="Spinner 33" r:id="rId30">
              <controlPr defaultSize="0">
                <anchor moveWithCells="1" sizeWithCells="1">
                  <from>
                    <xdr:col>10</xdr:col>
                    <xdr:colOff>876300</xdr:colOff>
                    <xdr:row>64</xdr:row>
                    <xdr:rowOff>0</xdr:rowOff>
                  </from>
                  <to>
                    <xdr:col>10</xdr:col>
                    <xdr:colOff>1016000</xdr:colOff>
                    <xdr:row>64</xdr:row>
                    <xdr:rowOff>190500</xdr:rowOff>
                  </to>
                </anchor>
              </controlPr>
            </control>
          </mc:Choice>
        </mc:AlternateContent>
        <mc:AlternateContent xmlns:mc="http://schemas.openxmlformats.org/markup-compatibility/2006">
          <mc:Choice Requires="x14">
            <control shapeId="11298" name="Spinner 34" r:id="rId31">
              <controlPr defaultSize="0">
                <anchor moveWithCells="1" sizeWithCells="1">
                  <from>
                    <xdr:col>11</xdr:col>
                    <xdr:colOff>1022350</xdr:colOff>
                    <xdr:row>63</xdr:row>
                    <xdr:rowOff>190500</xdr:rowOff>
                  </from>
                  <to>
                    <xdr:col>11</xdr:col>
                    <xdr:colOff>1143000</xdr:colOff>
                    <xdr:row>64</xdr:row>
                    <xdr:rowOff>184150</xdr:rowOff>
                  </to>
                </anchor>
              </controlPr>
            </control>
          </mc:Choice>
        </mc:AlternateContent>
        <mc:AlternateContent xmlns:mc="http://schemas.openxmlformats.org/markup-compatibility/2006">
          <mc:Choice Requires="x14">
            <control shapeId="11299" name="Spinner 35" r:id="rId32">
              <controlPr defaultSize="0">
                <anchor moveWithCells="1" sizeWithCells="1">
                  <from>
                    <xdr:col>8</xdr:col>
                    <xdr:colOff>800100</xdr:colOff>
                    <xdr:row>65</xdr:row>
                    <xdr:rowOff>0</xdr:rowOff>
                  </from>
                  <to>
                    <xdr:col>8</xdr:col>
                    <xdr:colOff>927100</xdr:colOff>
                    <xdr:row>65</xdr:row>
                    <xdr:rowOff>190500</xdr:rowOff>
                  </to>
                </anchor>
              </controlPr>
            </control>
          </mc:Choice>
        </mc:AlternateContent>
        <mc:AlternateContent xmlns:mc="http://schemas.openxmlformats.org/markup-compatibility/2006">
          <mc:Choice Requires="x14">
            <control shapeId="11300" name="Spinner 36" r:id="rId33">
              <controlPr defaultSize="0">
                <anchor moveWithCells="1" sizeWithCells="1">
                  <from>
                    <xdr:col>9</xdr:col>
                    <xdr:colOff>774700</xdr:colOff>
                    <xdr:row>65</xdr:row>
                    <xdr:rowOff>0</xdr:rowOff>
                  </from>
                  <to>
                    <xdr:col>9</xdr:col>
                    <xdr:colOff>889000</xdr:colOff>
                    <xdr:row>65</xdr:row>
                    <xdr:rowOff>190500</xdr:rowOff>
                  </to>
                </anchor>
              </controlPr>
            </control>
          </mc:Choice>
        </mc:AlternateContent>
        <mc:AlternateContent xmlns:mc="http://schemas.openxmlformats.org/markup-compatibility/2006">
          <mc:Choice Requires="x14">
            <control shapeId="11301" name="Spinner 37" r:id="rId34">
              <controlPr defaultSize="0">
                <anchor moveWithCells="1" sizeWithCells="1">
                  <from>
                    <xdr:col>10</xdr:col>
                    <xdr:colOff>876300</xdr:colOff>
                    <xdr:row>65</xdr:row>
                    <xdr:rowOff>0</xdr:rowOff>
                  </from>
                  <to>
                    <xdr:col>10</xdr:col>
                    <xdr:colOff>1016000</xdr:colOff>
                    <xdr:row>65</xdr:row>
                    <xdr:rowOff>190500</xdr:rowOff>
                  </to>
                </anchor>
              </controlPr>
            </control>
          </mc:Choice>
        </mc:AlternateContent>
        <mc:AlternateContent xmlns:mc="http://schemas.openxmlformats.org/markup-compatibility/2006">
          <mc:Choice Requires="x14">
            <control shapeId="11302" name="Spinner 38" r:id="rId35">
              <controlPr defaultSize="0">
                <anchor moveWithCells="1" sizeWithCells="1">
                  <from>
                    <xdr:col>11</xdr:col>
                    <xdr:colOff>1022350</xdr:colOff>
                    <xdr:row>64</xdr:row>
                    <xdr:rowOff>190500</xdr:rowOff>
                  </from>
                  <to>
                    <xdr:col>11</xdr:col>
                    <xdr:colOff>1143000</xdr:colOff>
                    <xdr:row>65</xdr:row>
                    <xdr:rowOff>184150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dimension ref="A1:DQ259"/>
  <sheetViews>
    <sheetView showGridLines="0" zoomScale="70" zoomScaleNormal="70" topLeftCell="E1" workbookViewId="0">
      <selection activeCell="I26" sqref="I25:I26"/>
    </sheetView>
  </sheetViews>
  <sheetFormatPr defaultColWidth="9" defaultRowHeight="35.25"/>
  <cols>
    <col min="1" max="1" width="16.3628318584071" style="62" customWidth="1"/>
    <col min="2" max="2" width="10" style="62" customWidth="1"/>
    <col min="3" max="3" width="10.6371681415929" style="62" customWidth="1"/>
    <col min="4" max="4" width="12.9026548672566" style="62" customWidth="1"/>
    <col min="5" max="5" width="13.9026548672566" style="62" customWidth="1"/>
    <col min="6" max="6" width="14.6371681415929" style="62" customWidth="1"/>
    <col min="7" max="7" width="10.0884955752212" style="63" customWidth="1"/>
    <col min="8" max="8" width="11.9026548672566" style="62" customWidth="1"/>
    <col min="9" max="9" width="15.9026548672566" style="62" customWidth="1"/>
    <col min="10" max="10" width="11.3628318584071" style="62" customWidth="1"/>
    <col min="11" max="11" width="12.3628318584071" style="62" customWidth="1"/>
    <col min="12" max="12" width="16.1769911504425" style="62" customWidth="1"/>
    <col min="13" max="13" width="11.9026548672566" style="62" customWidth="1"/>
    <col min="14" max="16" width="13.9026548672566" style="62" customWidth="1"/>
    <col min="17" max="17" width="14" style="62" customWidth="1"/>
    <col min="18" max="19" width="13.9026548672566" style="62" customWidth="1"/>
    <col min="20" max="20" width="14.6371681415929" style="64" customWidth="1"/>
    <col min="21" max="21" width="13.9026548672566" style="62" customWidth="1"/>
    <col min="22" max="26" width="9.63716814159292" style="62" customWidth="1"/>
    <col min="27" max="27" width="18.0884955752212" style="63" customWidth="1"/>
    <col min="28" max="28" width="13.9026548672566" style="62" customWidth="1"/>
    <col min="29" max="29" width="10" style="62" customWidth="1"/>
    <col min="30" max="33" width="9.63716814159292" style="62" customWidth="1"/>
    <col min="34" max="34" width="9" style="63"/>
    <col min="35" max="35" width="8.90265486725664" style="62" customWidth="1"/>
    <col min="36" max="37" width="15" style="62" customWidth="1"/>
    <col min="38" max="39" width="13.9026548672566" style="62" customWidth="1"/>
    <col min="40" max="40" width="13.0884955752212" style="62" customWidth="1"/>
    <col min="41" max="42" width="15" style="62" customWidth="1"/>
    <col min="43" max="44" width="10.6371681415929" style="62" customWidth="1"/>
    <col min="45" max="45" width="14" style="62" customWidth="1"/>
    <col min="46" max="51" width="10.6371681415929" style="62" customWidth="1"/>
    <col min="52" max="52" width="9" style="63"/>
    <col min="53" max="53" width="11.9026548672566" style="62" customWidth="1"/>
    <col min="54" max="57" width="11" style="62" customWidth="1"/>
    <col min="58" max="58" width="11.9026548672566" style="62" customWidth="1"/>
    <col min="59" max="59" width="10" style="62" customWidth="1"/>
    <col min="60" max="69" width="9.63716814159292" style="62" customWidth="1"/>
    <col min="70" max="71" width="9" style="62"/>
    <col min="72" max="74" width="9.63716814159292" style="62" customWidth="1"/>
    <col min="75" max="75" width="10" style="62" customWidth="1"/>
    <col min="76" max="76" width="9.63716814159292" style="62" customWidth="1"/>
    <col min="77" max="77" width="10" style="62" customWidth="1"/>
    <col min="78" max="78" width="9" style="62"/>
    <col min="79" max="87" width="9.63716814159292" style="62" customWidth="1"/>
    <col min="88" max="16384" width="9" style="62"/>
  </cols>
  <sheetData>
    <row r="1" s="59" customFormat="1" ht="16" customHeight="1" spans="1:121">
      <c r="A1" s="65" t="s">
        <v>489</v>
      </c>
      <c r="B1" s="65"/>
      <c r="C1" s="65"/>
      <c r="D1" s="65"/>
      <c r="E1" s="65"/>
      <c r="F1" s="65"/>
      <c r="G1" s="65"/>
      <c r="H1" s="65" t="s">
        <v>490</v>
      </c>
      <c r="I1" s="65"/>
      <c r="J1" s="65"/>
      <c r="K1" s="65"/>
      <c r="L1" s="65"/>
      <c r="M1" s="65"/>
      <c r="N1" s="65"/>
      <c r="O1" s="65"/>
      <c r="P1" s="65"/>
      <c r="Q1" s="65"/>
      <c r="R1" s="65"/>
      <c r="S1" s="65"/>
      <c r="T1" s="119"/>
      <c r="U1" s="65" t="s">
        <v>491</v>
      </c>
      <c r="V1" s="65"/>
      <c r="W1" s="65"/>
      <c r="X1" s="65"/>
      <c r="Y1" s="65"/>
      <c r="Z1" s="65"/>
      <c r="AA1" s="65"/>
      <c r="AB1" s="65" t="s">
        <v>492</v>
      </c>
      <c r="AC1" s="65"/>
      <c r="AD1" s="65"/>
      <c r="AE1" s="65"/>
      <c r="AF1" s="65"/>
      <c r="AG1" s="65"/>
      <c r="AH1" s="65"/>
      <c r="AI1" s="65" t="s">
        <v>493</v>
      </c>
      <c r="AJ1" s="65"/>
      <c r="AK1" s="65"/>
      <c r="AL1" s="65"/>
      <c r="AM1" s="65"/>
      <c r="AN1" s="65"/>
      <c r="AO1" s="65"/>
      <c r="AP1" s="65"/>
      <c r="AQ1" s="65"/>
      <c r="AR1" s="65"/>
      <c r="AS1" s="65"/>
      <c r="AT1" s="65"/>
      <c r="AU1" s="65"/>
      <c r="AV1" s="65"/>
      <c r="AW1" s="65"/>
      <c r="AX1" s="65"/>
      <c r="AY1" s="65"/>
      <c r="AZ1" s="191"/>
      <c r="BA1" s="191" t="s">
        <v>494</v>
      </c>
      <c r="BB1" s="191"/>
      <c r="BC1" s="191"/>
      <c r="BD1" s="191"/>
      <c r="BE1" s="191"/>
      <c r="BF1" s="191"/>
      <c r="BG1" s="191"/>
      <c r="BH1" s="191"/>
      <c r="BI1" s="191"/>
      <c r="BJ1" s="191"/>
      <c r="BK1" s="191"/>
      <c r="BL1" s="191"/>
      <c r="BM1" s="191"/>
      <c r="BN1" s="191"/>
      <c r="BO1" s="191"/>
      <c r="BP1" s="191"/>
      <c r="BQ1" s="191"/>
      <c r="BR1" s="210"/>
      <c r="BS1" s="191" t="s">
        <v>495</v>
      </c>
      <c r="BT1" s="191"/>
      <c r="BU1" s="191"/>
      <c r="BV1" s="191"/>
      <c r="BW1" s="191"/>
      <c r="BX1" s="191"/>
      <c r="BY1" s="191"/>
      <c r="BZ1" s="191"/>
      <c r="CA1" s="191"/>
      <c r="CB1" s="191"/>
      <c r="CC1" s="191"/>
      <c r="CD1" s="191"/>
      <c r="CE1" s="191"/>
      <c r="CF1" s="191"/>
      <c r="CG1" s="191"/>
      <c r="CH1" s="191"/>
      <c r="CI1" s="191"/>
      <c r="CJ1" s="224"/>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row>
    <row r="2" s="59" customFormat="1" ht="16" customHeight="1" spans="1:121">
      <c r="A2" s="65"/>
      <c r="B2" s="65"/>
      <c r="C2" s="65"/>
      <c r="D2" s="65"/>
      <c r="E2" s="65"/>
      <c r="F2" s="65"/>
      <c r="G2" s="65"/>
      <c r="H2" s="65"/>
      <c r="I2" s="65"/>
      <c r="J2" s="65"/>
      <c r="K2" s="65"/>
      <c r="L2" s="65"/>
      <c r="M2" s="65"/>
      <c r="N2" s="65"/>
      <c r="O2" s="65"/>
      <c r="P2" s="65"/>
      <c r="Q2" s="65"/>
      <c r="R2" s="65"/>
      <c r="S2" s="65"/>
      <c r="T2" s="119"/>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191"/>
      <c r="BA2" s="191"/>
      <c r="BB2" s="191"/>
      <c r="BC2" s="191"/>
      <c r="BD2" s="191"/>
      <c r="BE2" s="191"/>
      <c r="BF2" s="191"/>
      <c r="BG2" s="191"/>
      <c r="BH2" s="191"/>
      <c r="BI2" s="191"/>
      <c r="BJ2" s="191"/>
      <c r="BK2" s="191"/>
      <c r="BL2" s="191"/>
      <c r="BM2" s="191"/>
      <c r="BN2" s="191"/>
      <c r="BO2" s="191"/>
      <c r="BP2" s="191"/>
      <c r="BQ2" s="191"/>
      <c r="BR2" s="210"/>
      <c r="BS2" s="191"/>
      <c r="BT2" s="191"/>
      <c r="BU2" s="191"/>
      <c r="BV2" s="191"/>
      <c r="BW2" s="191"/>
      <c r="BX2" s="191"/>
      <c r="BY2" s="191"/>
      <c r="BZ2" s="191"/>
      <c r="CA2" s="191"/>
      <c r="CB2" s="191"/>
      <c r="CC2" s="191"/>
      <c r="CD2" s="191"/>
      <c r="CE2" s="191"/>
      <c r="CF2" s="191"/>
      <c r="CG2" s="191"/>
      <c r="CH2" s="191"/>
      <c r="CI2" s="191"/>
      <c r="CJ2" s="224"/>
      <c r="CK2" s="232"/>
      <c r="CL2" s="232"/>
      <c r="CM2" s="232"/>
      <c r="CN2" s="232"/>
      <c r="CO2" s="232"/>
      <c r="CP2" s="232"/>
      <c r="CQ2" s="232"/>
      <c r="CR2" s="232"/>
      <c r="CS2" s="232"/>
      <c r="CT2" s="232"/>
      <c r="CU2" s="232"/>
      <c r="CV2" s="232"/>
      <c r="CW2" s="232"/>
      <c r="CX2" s="232"/>
      <c r="CY2" s="232"/>
      <c r="CZ2" s="232"/>
      <c r="DA2" s="232"/>
      <c r="DB2" s="232"/>
      <c r="DC2" s="232"/>
      <c r="DD2" s="232"/>
      <c r="DE2" s="232"/>
      <c r="DF2" s="232"/>
      <c r="DG2" s="232"/>
      <c r="DH2" s="232"/>
      <c r="DI2" s="232"/>
      <c r="DJ2" s="232"/>
      <c r="DK2" s="232"/>
      <c r="DL2" s="232"/>
      <c r="DM2" s="232"/>
      <c r="DN2" s="232"/>
      <c r="DO2" s="232"/>
      <c r="DP2" s="232"/>
      <c r="DQ2" s="232"/>
    </row>
    <row r="3" s="60" customFormat="1" ht="16" customHeight="1" spans="1:121">
      <c r="A3" s="66"/>
      <c r="B3" s="66"/>
      <c r="C3" s="66"/>
      <c r="D3" s="66"/>
      <c r="E3" s="66"/>
      <c r="F3" s="66"/>
      <c r="G3" s="65"/>
      <c r="H3" s="67"/>
      <c r="I3" s="67"/>
      <c r="J3" s="67"/>
      <c r="K3" s="67"/>
      <c r="L3" s="67"/>
      <c r="M3" s="84"/>
      <c r="N3" s="67"/>
      <c r="O3" s="67"/>
      <c r="P3" s="67"/>
      <c r="Q3" s="67"/>
      <c r="R3" s="67"/>
      <c r="S3" s="67"/>
      <c r="T3" s="119"/>
      <c r="U3" s="67"/>
      <c r="V3" s="67"/>
      <c r="W3" s="67"/>
      <c r="X3" s="67"/>
      <c r="Y3" s="67"/>
      <c r="Z3" s="67"/>
      <c r="AA3" s="65"/>
      <c r="AB3" s="67"/>
      <c r="AC3" s="67"/>
      <c r="AD3" s="67"/>
      <c r="AE3" s="67"/>
      <c r="AF3" s="67"/>
      <c r="AG3" s="67"/>
      <c r="AH3" s="65"/>
      <c r="AI3" s="67"/>
      <c r="AJ3" s="67"/>
      <c r="AK3" s="67"/>
      <c r="AL3" s="67"/>
      <c r="AM3" s="67"/>
      <c r="AN3" s="67"/>
      <c r="AO3" s="67"/>
      <c r="AP3" s="67"/>
      <c r="AQ3" s="67"/>
      <c r="AR3" s="67"/>
      <c r="AS3" s="67"/>
      <c r="AT3" s="67"/>
      <c r="AU3" s="67"/>
      <c r="AV3" s="67"/>
      <c r="AW3" s="67"/>
      <c r="AX3" s="67"/>
      <c r="AY3" s="67"/>
      <c r="AZ3" s="191"/>
      <c r="BA3" s="192"/>
      <c r="BB3" s="192"/>
      <c r="BC3" s="192"/>
      <c r="BD3" s="192"/>
      <c r="BE3" s="192"/>
      <c r="BF3" s="192"/>
      <c r="BG3" s="192"/>
      <c r="BH3" s="192"/>
      <c r="BI3" s="192"/>
      <c r="BJ3" s="192"/>
      <c r="BK3" s="192"/>
      <c r="BL3" s="192"/>
      <c r="BM3" s="192"/>
      <c r="BN3" s="192"/>
      <c r="BO3" s="192"/>
      <c r="BP3" s="192"/>
      <c r="BQ3" s="192"/>
      <c r="BR3" s="210"/>
      <c r="BS3" s="192"/>
      <c r="BT3" s="192"/>
      <c r="BU3" s="192"/>
      <c r="BV3" s="192"/>
      <c r="BW3" s="192"/>
      <c r="BX3" s="192"/>
      <c r="BY3" s="192"/>
      <c r="BZ3" s="192"/>
      <c r="CA3" s="192"/>
      <c r="CB3" s="192"/>
      <c r="CC3" s="192"/>
      <c r="CD3" s="192"/>
      <c r="CE3" s="225" t="s">
        <v>738</v>
      </c>
      <c r="CF3" s="192"/>
      <c r="CG3" s="192"/>
      <c r="CH3" s="192"/>
      <c r="CI3" s="192"/>
      <c r="CJ3" s="224"/>
      <c r="CK3" s="233"/>
      <c r="CL3" s="233"/>
      <c r="CM3" s="233"/>
      <c r="CN3" s="233"/>
      <c r="CO3" s="233"/>
      <c r="CP3" s="233"/>
      <c r="CQ3" s="233"/>
      <c r="CR3" s="233"/>
      <c r="CS3" s="233"/>
      <c r="CT3" s="234"/>
      <c r="CU3" s="234"/>
      <c r="CV3" s="234"/>
      <c r="CW3" s="234"/>
      <c r="CX3" s="234"/>
      <c r="CY3" s="234"/>
      <c r="CZ3" s="234"/>
      <c r="DA3" s="234"/>
      <c r="DB3" s="234"/>
      <c r="DC3" s="234"/>
      <c r="DD3" s="234"/>
      <c r="DE3" s="234"/>
      <c r="DF3" s="234"/>
      <c r="DG3" s="234"/>
      <c r="DH3" s="234"/>
      <c r="DI3" s="234"/>
      <c r="DJ3" s="234"/>
      <c r="DK3" s="234"/>
      <c r="DL3" s="234"/>
      <c r="DM3" s="234"/>
      <c r="DN3" s="234"/>
      <c r="DO3" s="234"/>
      <c r="DP3" s="234"/>
      <c r="DQ3" s="234"/>
    </row>
    <row r="4" s="61" customFormat="1" ht="16" customHeight="1" spans="1:121">
      <c r="A4" s="269" t="s">
        <v>274</v>
      </c>
      <c r="B4" s="270"/>
      <c r="C4" s="270"/>
      <c r="D4" s="270"/>
      <c r="E4" s="270"/>
      <c r="F4" s="270"/>
      <c r="G4" s="70" t="e">
        <f>IF(O20=0,"未做决策",IF(MAX(T20:T23)&gt;=6,"价格打错","决策无误"))</f>
        <v>#DIV/0!</v>
      </c>
      <c r="H4" s="269" t="s">
        <v>497</v>
      </c>
      <c r="I4" s="270"/>
      <c r="J4" s="270"/>
      <c r="K4" s="270"/>
      <c r="L4" s="270"/>
      <c r="M4" s="85"/>
      <c r="N4" s="269" t="s">
        <v>475</v>
      </c>
      <c r="O4" s="270"/>
      <c r="P4" s="270"/>
      <c r="Q4" s="270"/>
      <c r="R4" s="270"/>
      <c r="S4" s="74"/>
      <c r="T4" s="120"/>
      <c r="U4" s="269" t="s">
        <v>498</v>
      </c>
      <c r="V4" s="269" t="s">
        <v>513</v>
      </c>
      <c r="W4" s="269" t="s">
        <v>514</v>
      </c>
      <c r="X4" s="269" t="s">
        <v>515</v>
      </c>
      <c r="Y4" s="269" t="s">
        <v>516</v>
      </c>
      <c r="Z4" s="269" t="s">
        <v>499</v>
      </c>
      <c r="AA4" s="269" t="s">
        <v>500</v>
      </c>
      <c r="AB4" s="151" t="s">
        <v>501</v>
      </c>
      <c r="AC4" s="151" t="s">
        <v>241</v>
      </c>
      <c r="AD4" s="151" t="s">
        <v>38</v>
      </c>
      <c r="AE4" s="151" t="s">
        <v>39</v>
      </c>
      <c r="AF4" s="151" t="s">
        <v>40</v>
      </c>
      <c r="AG4" s="151" t="s">
        <v>41</v>
      </c>
      <c r="AH4" s="73"/>
      <c r="AI4" s="68" t="s">
        <v>502</v>
      </c>
      <c r="AJ4" s="69"/>
      <c r="AK4" s="69"/>
      <c r="AL4" s="69"/>
      <c r="AM4" s="69"/>
      <c r="AN4" s="69"/>
      <c r="AO4" s="69"/>
      <c r="AP4" s="69"/>
      <c r="AQ4" s="69"/>
      <c r="AR4" s="69"/>
      <c r="AS4" s="69"/>
      <c r="AT4" s="69"/>
      <c r="AU4" s="69"/>
      <c r="AV4" s="69"/>
      <c r="AW4" s="69"/>
      <c r="AX4" s="69"/>
      <c r="AY4" s="69"/>
      <c r="AZ4" s="193"/>
      <c r="BA4" s="194" t="s">
        <v>503</v>
      </c>
      <c r="BB4" s="195"/>
      <c r="BC4" s="195"/>
      <c r="BD4" s="195"/>
      <c r="BE4" s="195"/>
      <c r="BF4" s="195"/>
      <c r="BG4" s="195"/>
      <c r="BH4" s="195"/>
      <c r="BI4" s="195"/>
      <c r="BJ4" s="195"/>
      <c r="BK4" s="195"/>
      <c r="BL4" s="195"/>
      <c r="BM4" s="195"/>
      <c r="BN4" s="195"/>
      <c r="BO4" s="195"/>
      <c r="BP4" s="195"/>
      <c r="BQ4" s="195"/>
      <c r="BR4" s="211"/>
      <c r="BS4" s="194" t="s">
        <v>504</v>
      </c>
      <c r="BT4" s="194" t="s">
        <v>505</v>
      </c>
      <c r="BU4" s="194" t="s">
        <v>506</v>
      </c>
      <c r="BV4" s="194" t="s">
        <v>262</v>
      </c>
      <c r="BW4" s="194" t="s">
        <v>507</v>
      </c>
      <c r="BX4" s="194" t="s">
        <v>508</v>
      </c>
      <c r="BY4" s="194" t="s">
        <v>264</v>
      </c>
      <c r="BZ4" s="194" t="s">
        <v>268</v>
      </c>
      <c r="CA4" s="194" t="s">
        <v>272</v>
      </c>
      <c r="CB4" s="194" t="s">
        <v>270</v>
      </c>
      <c r="CC4" s="194" t="s">
        <v>509</v>
      </c>
      <c r="CD4" s="194" t="s">
        <v>510</v>
      </c>
      <c r="CE4" s="194" t="s">
        <v>511</v>
      </c>
      <c r="CF4" s="194" t="s">
        <v>512</v>
      </c>
      <c r="CG4" s="226"/>
      <c r="CH4" s="226"/>
      <c r="CI4" s="227"/>
      <c r="CJ4" s="228"/>
      <c r="CK4" s="227"/>
      <c r="CL4" s="228"/>
      <c r="CM4" s="228"/>
      <c r="CN4" s="228"/>
      <c r="CO4" s="228"/>
      <c r="CP4" s="228"/>
      <c r="CQ4" s="228"/>
      <c r="CR4" s="228"/>
      <c r="CS4" s="228"/>
      <c r="CT4" s="227"/>
      <c r="CU4" s="227"/>
      <c r="CV4" s="227"/>
      <c r="CW4" s="227"/>
      <c r="CX4" s="227"/>
      <c r="CY4" s="227"/>
      <c r="CZ4" s="227"/>
      <c r="DA4" s="227"/>
      <c r="DB4" s="228"/>
      <c r="DC4" s="228"/>
      <c r="DD4" s="228"/>
      <c r="DE4" s="228"/>
      <c r="DF4" s="228"/>
      <c r="DG4" s="228"/>
      <c r="DH4" s="228"/>
      <c r="DI4" s="228"/>
      <c r="DJ4" s="228"/>
      <c r="DK4" s="228"/>
      <c r="DL4" s="228"/>
      <c r="DM4" s="228"/>
      <c r="DN4" s="228"/>
      <c r="DO4" s="228"/>
      <c r="DP4" s="228"/>
      <c r="DQ4" s="228"/>
    </row>
    <row r="5" s="61" customFormat="1" ht="16" customHeight="1" spans="1:121">
      <c r="A5" s="269" t="s">
        <v>475</v>
      </c>
      <c r="B5" s="269" t="s">
        <v>513</v>
      </c>
      <c r="C5" s="269" t="s">
        <v>514</v>
      </c>
      <c r="D5" s="269" t="s">
        <v>515</v>
      </c>
      <c r="E5" s="269" t="s">
        <v>516</v>
      </c>
      <c r="F5" s="269" t="s">
        <v>276</v>
      </c>
      <c r="G5" s="70" t="str">
        <f>IF(AI24="","未粘报表","已粘报表")</f>
        <v>未粘报表</v>
      </c>
      <c r="H5" s="269" t="s">
        <v>283</v>
      </c>
      <c r="I5" s="269" t="s">
        <v>347</v>
      </c>
      <c r="J5" s="269" t="s">
        <v>517</v>
      </c>
      <c r="K5" s="269" t="s">
        <v>518</v>
      </c>
      <c r="L5" s="269" t="s">
        <v>519</v>
      </c>
      <c r="M5" s="85"/>
      <c r="N5" s="269" t="s">
        <v>520</v>
      </c>
      <c r="O5" s="269" t="s">
        <v>521</v>
      </c>
      <c r="P5" s="269" t="s">
        <v>522</v>
      </c>
      <c r="Q5" s="269" t="s">
        <v>523</v>
      </c>
      <c r="R5" s="269" t="s">
        <v>524</v>
      </c>
      <c r="S5" s="121"/>
      <c r="T5" s="120"/>
      <c r="U5" s="269" t="s">
        <v>521</v>
      </c>
      <c r="V5" s="77">
        <f>第5期!AP9</f>
        <v>0</v>
      </c>
      <c r="W5" s="77">
        <f>第5期!AP10</f>
        <v>0</v>
      </c>
      <c r="X5" s="77">
        <f>第5期!AP11</f>
        <v>0</v>
      </c>
      <c r="Y5" s="77">
        <f>第5期!AP12</f>
        <v>0</v>
      </c>
      <c r="Z5" s="77">
        <f>第5期!AJ26</f>
        <v>0</v>
      </c>
      <c r="AA5" s="77" t="e">
        <f>(V5+W5+X5+Y5)*AC11</f>
        <v>#DIV/0!</v>
      </c>
      <c r="AB5" s="151" t="s">
        <v>464</v>
      </c>
      <c r="AC5" s="152" t="e">
        <f>初始化表!$B$8*初始化表!E17*初始化表!$H$5/1300+初始化表!$B$12*初始化表!E17/1300+初始化表!E19+初始化表!E18*(-C35-C44)/(SUM(B17:E17)*初始化表!E18+SUM(B18:E18)*初始化表!F18+SUM(B19:E19)*初始化表!G18+SUM(B20:E20)*初始化表!H18)</f>
        <v>#DIV/0!</v>
      </c>
      <c r="AD5" s="153" t="e">
        <f>$AC5+初始化表!L19+$F6*B6/SUMPRODUCT($B6:$E6,$V42:$Y42)+B$10*B6/SUMPRODUCT(B$6:B$9,V$42:V$45)+初始化表!L13/I63+(IF(I25+J25=0,0,1)*初始化表!H25+IF(K25+L25=0,0,1)*初始化表!I25)/(I63+J63+K63+L63)</f>
        <v>#DIV/0!</v>
      </c>
      <c r="AE5" s="153" t="e">
        <f>$AC5+初始化表!M19+$F6*C6/SUMPRODUCT($B6:$E6,$V42:$Y42)+C$10*C6/SUMPRODUCT(C$6:C$9,W$42:W$45)+初始化表!M13/J63+(IF(I25+J25=0,0,1)*初始化表!H25+IF(K25+L25=0,0,1)*初始化表!I25)/(I63+J63+K63+L63)</f>
        <v>#DIV/0!</v>
      </c>
      <c r="AF5" s="153" t="e">
        <f>$AC5+初始化表!N19+$F6*D6/SUMPRODUCT($B6:$E6,$V42:$Y42)+D$10*D6/SUMPRODUCT(D$6:D$9,X$42:X$45)+初始化表!N13/K63+(IF(I25+J25=0,0,1)*初始化表!H25+IF(K25+L25=0,0,1)*初始化表!I25)/(I63+J63+K63+L63)</f>
        <v>#DIV/0!</v>
      </c>
      <c r="AG5" s="153" t="e">
        <f>$AC5+初始化表!O19+$F6*E6/SUMPRODUCT($B6:$E6,$V42:$Y42)+E$10*E6/SUMPRODUCT(E$6:E$9,Y$42:Y$45)+初始化表!O13/L63+(IF(I25+J25=0,0,1)*初始化表!H25+IF(K25+L25=0,0,1)*初始化表!I25)/(I63+J63+K63+L63)</f>
        <v>#DIV/0!</v>
      </c>
      <c r="AH5" s="73"/>
      <c r="AI5" s="69"/>
      <c r="AJ5" s="69"/>
      <c r="AK5" s="69"/>
      <c r="AL5" s="69"/>
      <c r="AM5" s="69"/>
      <c r="AN5" s="69"/>
      <c r="AO5" s="69"/>
      <c r="AP5" s="69"/>
      <c r="AQ5" s="69"/>
      <c r="AR5" s="69"/>
      <c r="AS5" s="69"/>
      <c r="AT5" s="69"/>
      <c r="AU5" s="69"/>
      <c r="AV5" s="69"/>
      <c r="AW5" s="69"/>
      <c r="AX5" s="69"/>
      <c r="AY5" s="69"/>
      <c r="AZ5" s="193"/>
      <c r="BA5" s="194" t="s">
        <v>37</v>
      </c>
      <c r="BB5" s="194" t="s">
        <v>521</v>
      </c>
      <c r="BC5" s="195"/>
      <c r="BD5" s="195"/>
      <c r="BE5" s="195"/>
      <c r="BF5" s="194" t="s">
        <v>522</v>
      </c>
      <c r="BG5" s="195"/>
      <c r="BH5" s="195"/>
      <c r="BI5" s="195"/>
      <c r="BJ5" s="194" t="s">
        <v>523</v>
      </c>
      <c r="BK5" s="195"/>
      <c r="BL5" s="195"/>
      <c r="BM5" s="195"/>
      <c r="BN5" s="194" t="s">
        <v>524</v>
      </c>
      <c r="BO5" s="195"/>
      <c r="BP5" s="195"/>
      <c r="BQ5" s="195"/>
      <c r="BR5" s="211"/>
      <c r="BS5" s="195">
        <f t="shared" ref="BS5:BS24" si="0">BA7</f>
        <v>0</v>
      </c>
      <c r="BT5" s="201">
        <f t="shared" ref="BT5:BT24" si="1">IF(BS5=0,0,1)</f>
        <v>0</v>
      </c>
      <c r="BU5" s="201">
        <f>第5期!AQ107*0.5</f>
        <v>0</v>
      </c>
      <c r="BV5" s="205" t="e">
        <f>AVERAGE(BT30:CI30)*初始化表!B$31</f>
        <v>#DIV/0!</v>
      </c>
      <c r="BW5" s="205" t="e">
        <f>$BT5*(AL107-BW$25)/BW$26*初始化表!B$30</f>
        <v>#DIV/0!</v>
      </c>
      <c r="BX5" s="205" t="e">
        <f>$BT5*(AM107-BX$25)/BX$26*初始化表!B$33</f>
        <v>#DIV/0!</v>
      </c>
      <c r="BY5" s="205" t="e">
        <f>$BT5*(AN107-BY$25)/BY$26*初始化表!B$32</f>
        <v>#DIV/0!</v>
      </c>
      <c r="BZ5" s="205" t="e">
        <f>$BT5*(AP107-BZ$25)/BZ$26*初始化表!B$34</f>
        <v>#DIV/0!</v>
      </c>
      <c r="CA5" s="205" t="e">
        <f>$BT$5*(AW107-CA$25)/CA$26*初始化表!B$36</f>
        <v>#DIV/0!</v>
      </c>
      <c r="CB5" s="205" t="e">
        <f>CE5-CC5-BU5-SUM(BV5:CA5)/2</f>
        <v>#DIV/0!</v>
      </c>
      <c r="CC5" s="201">
        <f>IF(AO107-AX107&gt;=0,0,-0.1*(1-EXP(2*10^(-6)*(AO107-AX107))))</f>
        <v>0</v>
      </c>
      <c r="CD5" s="229" t="e">
        <f>SUM(BV5:CB5)</f>
        <v>#DIV/0!</v>
      </c>
      <c r="CE5" s="229">
        <f>AQ107</f>
        <v>0</v>
      </c>
      <c r="CF5" s="229">
        <f>BU5*2</f>
        <v>0</v>
      </c>
      <c r="CG5" s="226"/>
      <c r="CH5" s="226"/>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c r="DP5" s="228"/>
      <c r="DQ5" s="228"/>
    </row>
    <row r="6" s="61" customFormat="1" ht="16" customHeight="1" spans="1:121">
      <c r="A6" s="269" t="s">
        <v>521</v>
      </c>
      <c r="B6" s="71" t="e">
        <f>O20</f>
        <v>#DIV/0!</v>
      </c>
      <c r="C6" s="71" t="e">
        <f t="shared" ref="C6:E9" si="2">P20</f>
        <v>#DIV/0!</v>
      </c>
      <c r="D6" s="71" t="e">
        <f t="shared" si="2"/>
        <v>#DIV/0!</v>
      </c>
      <c r="E6" s="71" t="e">
        <f t="shared" si="2"/>
        <v>#DIV/0!</v>
      </c>
      <c r="F6" s="72" t="e">
        <f>O28</f>
        <v>#DIV/0!</v>
      </c>
      <c r="G6" s="73"/>
      <c r="H6" s="269" t="s">
        <v>521</v>
      </c>
      <c r="I6" s="72">
        <f>第5期!I6+第5期!J6</f>
        <v>0</v>
      </c>
      <c r="J6" s="86">
        <v>0</v>
      </c>
      <c r="K6" s="87">
        <f>IF(IF((I6+F17)&gt;=初始化表!I31,5,IF((I6+F17)&gt;=初始化表!H31,4,IF((I6+F17)&gt;=初始化表!G31,3,IF((I6+F17)&gt;=初始化表!F31,2,IF((I6+F17)&gt;=初始化表!E31,1,0)))))+IF(I6+F17&gt;初始化表!E31,O$45)&lt;第5期!K6+1,IF((I6+F17)&gt;=初始化表!I31,5,IF((I6+F17)&gt;=初始化表!H31,4,IF((I6+F17)&gt;=初始化表!G31,3,IF((I6+F17)&gt;=初始化表!F31,2,IF((I6+F17)&gt;=初始化表!E31,1,0)))))+IF(I6+F17&gt;初始化表!E31,O$45),第5期!K6+1)</f>
        <v>5</v>
      </c>
      <c r="L6" s="72">
        <f>IF(I6&lt;初始化表!E31,初始化表!E31-I6,IF(I6&lt;初始化表!F31,初始化表!F31-I6,IF(I6&lt;初始化表!G31,初始化表!G31-I6,IF(I6&lt;初始化表!H31,初始化表!H31-I6,IF(I6&lt;初始化表!I31,初始化表!I31-I6,0)))))</f>
        <v>0</v>
      </c>
      <c r="M6" s="85"/>
      <c r="N6" s="269" t="s">
        <v>525</v>
      </c>
      <c r="O6" s="88">
        <f>第5期!O6+0.0005</f>
        <v>0.0405</v>
      </c>
      <c r="P6" s="88">
        <f>第5期!P6+0.0005</f>
        <v>0.0405</v>
      </c>
      <c r="Q6" s="88">
        <f>第5期!Q6+0.0005</f>
        <v>0.0405</v>
      </c>
      <c r="R6" s="88">
        <f>第5期!R6+0.0005</f>
        <v>0.0405</v>
      </c>
      <c r="S6" s="122"/>
      <c r="T6" s="120"/>
      <c r="U6" s="269" t="s">
        <v>522</v>
      </c>
      <c r="V6" s="77">
        <f>第5期!AP13</f>
        <v>0</v>
      </c>
      <c r="W6" s="77">
        <f>第5期!AP14</f>
        <v>0</v>
      </c>
      <c r="X6" s="77">
        <f>第5期!AP15</f>
        <v>0</v>
      </c>
      <c r="Y6" s="77">
        <f>第5期!AP16</f>
        <v>0</v>
      </c>
      <c r="Z6" s="77">
        <f>第5期!AJ27</f>
        <v>0</v>
      </c>
      <c r="AA6" s="77" t="e">
        <f t="shared" ref="AA6:AA8" si="3">(V6+W6+X6+Y6)*AC12</f>
        <v>#DIV/0!</v>
      </c>
      <c r="AB6" s="151" t="s">
        <v>465</v>
      </c>
      <c r="AC6" s="152" t="e">
        <f>初始化表!$B$8*初始化表!F17*初始化表!$H$5/1300+初始化表!$B$12*初始化表!F17/1300+初始化表!F19+初始化表!F18*(-C35-C44)/(SUM(B17:E17)*初始化表!E18+SUM(B18:E18)*初始化表!F18+SUM(B19:E19)*初始化表!G18+SUM(B20:E20)*初始化表!H18)</f>
        <v>#DIV/0!</v>
      </c>
      <c r="AD6" s="153" t="e">
        <f>$AC6+初始化表!L20+$F7*B7/SUMPRODUCT($B7:$E7,$V43:$Y43)+B$10*B7/SUMPRODUCT(B$6:B$9,V$42:V$45)+初始化表!L14/I64+(IF(I26+J26=0,0,1)*初始化表!H26+IF(K26+L26=0,0,1)*初始化表!I26)/(I64+J64+K64+L64)</f>
        <v>#DIV/0!</v>
      </c>
      <c r="AE6" s="153" t="e">
        <f>$AC6+初始化表!M20+$F7*C7/SUMPRODUCT($B7:$E7,$V43:$Y43)+C$10*C7/SUMPRODUCT(C$6:C$9,W$42:W$45)+初始化表!M14/J64+(IF(I26+J26=0,0,1)*初始化表!H26+IF(K26+L26=0,0,1)*初始化表!I26)/(I64+J64+K64+L64)</f>
        <v>#DIV/0!</v>
      </c>
      <c r="AF6" s="153" t="e">
        <f>$AC6+初始化表!N20+$F7*D7/SUMPRODUCT($B7:$E7,$V43:$Y43)+D$10*D7/SUMPRODUCT(D$6:D$9,X$42:X$45)+初始化表!N14/K64+(IF(I26+J26=0,0,1)*初始化表!H26+IF(K26+L26=0,0,1)*初始化表!I26)/(I64+J64+K64+L64)</f>
        <v>#DIV/0!</v>
      </c>
      <c r="AG6" s="153" t="e">
        <f>$AC6+初始化表!O20+$F7*E7/SUMPRODUCT($B7:$E7,$V43:$Y43)+E$10*E7/SUMPRODUCT(E$6:E$9,Y$42:Y$45)+初始化表!O14/L64+(IF(I26+J26=0,0,1)*初始化表!H26+IF(K26+L26=0,0,1)*初始化表!I26)/(I64+J64+K64+L64)</f>
        <v>#DIV/0!</v>
      </c>
      <c r="AH6" s="73"/>
      <c r="AZ6" s="193"/>
      <c r="BA6" s="195"/>
      <c r="BB6" s="194" t="s">
        <v>513</v>
      </c>
      <c r="BC6" s="194" t="s">
        <v>514</v>
      </c>
      <c r="BD6" s="194" t="s">
        <v>515</v>
      </c>
      <c r="BE6" s="194" t="s">
        <v>516</v>
      </c>
      <c r="BF6" s="194" t="s">
        <v>513</v>
      </c>
      <c r="BG6" s="194" t="s">
        <v>514</v>
      </c>
      <c r="BH6" s="194" t="s">
        <v>515</v>
      </c>
      <c r="BI6" s="194" t="s">
        <v>516</v>
      </c>
      <c r="BJ6" s="194" t="s">
        <v>513</v>
      </c>
      <c r="BK6" s="194" t="s">
        <v>514</v>
      </c>
      <c r="BL6" s="194" t="s">
        <v>515</v>
      </c>
      <c r="BM6" s="194" t="s">
        <v>516</v>
      </c>
      <c r="BN6" s="194" t="s">
        <v>513</v>
      </c>
      <c r="BO6" s="194" t="s">
        <v>514</v>
      </c>
      <c r="BP6" s="194" t="s">
        <v>515</v>
      </c>
      <c r="BQ6" s="194" t="s">
        <v>516</v>
      </c>
      <c r="BR6" s="211"/>
      <c r="BS6" s="195">
        <f t="shared" si="0"/>
        <v>0</v>
      </c>
      <c r="BT6" s="201">
        <f t="shared" si="1"/>
        <v>0</v>
      </c>
      <c r="BU6" s="201">
        <f>第5期!AQ108*0.5</f>
        <v>0</v>
      </c>
      <c r="BV6" s="205" t="e">
        <f>AVERAGE(BT31:CI31)*初始化表!B$31</f>
        <v>#DIV/0!</v>
      </c>
      <c r="BW6" s="205" t="e">
        <f>$BT6*(AL108-BW$25)/BW$26*初始化表!B$30</f>
        <v>#DIV/0!</v>
      </c>
      <c r="BX6" s="205" t="e">
        <f>$BT6*(AM108-BX$25)/BX$26*初始化表!B$33</f>
        <v>#DIV/0!</v>
      </c>
      <c r="BY6" s="205" t="e">
        <f>$BT6*(AN108-BY$25)/BY$26*初始化表!B$32</f>
        <v>#DIV/0!</v>
      </c>
      <c r="BZ6" s="205" t="e">
        <f>$BT6*(AP108-BZ$25)/BZ$26*初始化表!B$34</f>
        <v>#DIV/0!</v>
      </c>
      <c r="CA6" s="205" t="e">
        <f>$BT$5*(AW108-CA$25)/CA$26*初始化表!B$36</f>
        <v>#DIV/0!</v>
      </c>
      <c r="CB6" s="205" t="e">
        <f t="shared" ref="CB6:CB24" si="4">CE6-CC6-BU6-SUM(BV6:CA6)/2</f>
        <v>#DIV/0!</v>
      </c>
      <c r="CC6" s="201">
        <f t="shared" ref="CC6:CC24" si="5">IF(AO108-AX108&gt;=0,0,-0.1*(1-EXP(2*10^(-6)*(AO108-AX108))))</f>
        <v>0</v>
      </c>
      <c r="CD6" s="229" t="e">
        <f t="shared" ref="CD6:CD24" si="6">SUM(BV6:CB6)</f>
        <v>#DIV/0!</v>
      </c>
      <c r="CE6" s="229">
        <f t="shared" ref="CE6:CE24" si="7">AQ108</f>
        <v>0</v>
      </c>
      <c r="CF6" s="229">
        <f t="shared" ref="CF6:CF24" si="8">BU6*2</f>
        <v>0</v>
      </c>
      <c r="CG6" s="226"/>
      <c r="CH6" s="226"/>
      <c r="CI6" s="227"/>
      <c r="CJ6" s="228"/>
      <c r="CK6" s="227"/>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c r="DP6" s="228"/>
      <c r="DQ6" s="228"/>
    </row>
    <row r="7" s="61" customFormat="1" ht="16" customHeight="1" spans="1:121">
      <c r="A7" s="269" t="s">
        <v>522</v>
      </c>
      <c r="B7" s="71" t="e">
        <f t="shared" ref="B7:B9" si="9">O21</f>
        <v>#DIV/0!</v>
      </c>
      <c r="C7" s="71" t="e">
        <f t="shared" si="2"/>
        <v>#DIV/0!</v>
      </c>
      <c r="D7" s="71" t="e">
        <f t="shared" si="2"/>
        <v>#DIV/0!</v>
      </c>
      <c r="E7" s="71" t="e">
        <f t="shared" si="2"/>
        <v>#DIV/0!</v>
      </c>
      <c r="F7" s="72" t="e">
        <f>P28</f>
        <v>#DIV/0!</v>
      </c>
      <c r="G7" s="73"/>
      <c r="H7" s="269" t="s">
        <v>522</v>
      </c>
      <c r="I7" s="72">
        <f>第5期!I7+第5期!J7</f>
        <v>0</v>
      </c>
      <c r="J7" s="86">
        <v>0</v>
      </c>
      <c r="K7" s="87">
        <f>IF(IF((I7+F18)&gt;=初始化表!I32,5,IF((I7+F18)&gt;=初始化表!H32,4,IF((I7+F18)&gt;=初始化表!G32,3,IF((I7+F18)&gt;=初始化表!F32,2,IF((I7+F18)&gt;=初始化表!E32,1,0)))))+IF(I7+F18&gt;初始化表!E32,O$45)&lt;第5期!K7+1,IF((I7+F18)&gt;=初始化表!I32,5,IF((I7+F18)&gt;=初始化表!H32,4,IF((I7+F18)&gt;=初始化表!G32,3,IF((I7+F18)&gt;=初始化表!F32,2,IF((I7+F18)&gt;=初始化表!E32,1,0)))))+IF(I7+F18&gt;初始化表!E32,O$45),第5期!K7+1)</f>
        <v>5</v>
      </c>
      <c r="L7" s="72">
        <f>IF(I7&lt;初始化表!E32,初始化表!E32-I7,IF(I7&lt;初始化表!F32,初始化表!F32-I7,IF(I7&lt;初始化表!G32,初始化表!G32-I7,IF(I7&lt;初始化表!H32,初始化表!H32-I7,IF(I7&lt;初始化表!I32,初始化表!I32-I7,0)))))</f>
        <v>0</v>
      </c>
      <c r="M7" s="85"/>
      <c r="N7" s="269" t="s">
        <v>526</v>
      </c>
      <c r="O7" s="269" t="s">
        <v>513</v>
      </c>
      <c r="P7" s="269" t="s">
        <v>514</v>
      </c>
      <c r="Q7" s="269" t="s">
        <v>515</v>
      </c>
      <c r="R7" s="269" t="s">
        <v>516</v>
      </c>
      <c r="S7" s="121"/>
      <c r="T7" s="120"/>
      <c r="U7" s="269" t="s">
        <v>523</v>
      </c>
      <c r="V7" s="77">
        <f>第5期!AP17</f>
        <v>0</v>
      </c>
      <c r="W7" s="77">
        <f>第5期!AP18</f>
        <v>0</v>
      </c>
      <c r="X7" s="77">
        <f>第5期!AP19</f>
        <v>0</v>
      </c>
      <c r="Y7" s="77">
        <f>第5期!AP20</f>
        <v>0</v>
      </c>
      <c r="Z7" s="77">
        <f>第5期!AJ28</f>
        <v>0</v>
      </c>
      <c r="AA7" s="77" t="e">
        <f t="shared" si="3"/>
        <v>#DIV/0!</v>
      </c>
      <c r="AB7" s="151" t="s">
        <v>466</v>
      </c>
      <c r="AC7" s="152" t="e">
        <f>初始化表!$B$8*初始化表!G17*初始化表!$H$5/1300+初始化表!$B$12*初始化表!G17/1300+初始化表!G19+初始化表!G18*(-C35-C44)/(SUM(B17:E17)*初始化表!E18+SUM(B18:E18)*初始化表!F18+SUM(B19:E19)*初始化表!G18+SUM(B20:E20)*初始化表!H18)</f>
        <v>#DIV/0!</v>
      </c>
      <c r="AD7" s="153" t="e">
        <f>$AC7+初始化表!L21+$F8*B8/SUMPRODUCT($B8:$E8,$V44:$Y44)+B$10*B8/SUMPRODUCT(B$6:B$9,V$42:V$45)+初始化表!L15/I65+(IF(I27+J27=0,0,1)*初始化表!H27+IF(K27+L27=0,0,1)*初始化表!I27)/(I65+J65+K65+L65)</f>
        <v>#DIV/0!</v>
      </c>
      <c r="AE7" s="153" t="e">
        <f>$AC7+初始化表!M21+$F8*C8/SUMPRODUCT($B8:$E8,$V44:$Y44)+C$10*C8/SUMPRODUCT(C$6:C$9,W$42:W$45)+初始化表!M15/J65+(IF(I27+J27=0,0,1)*初始化表!H27+IF(K27+L27=0,0,1)*初始化表!I27)/(I65+J65+K65+L65)</f>
        <v>#DIV/0!</v>
      </c>
      <c r="AF7" s="153" t="e">
        <f>$AC7+初始化表!N21+$F8*D8/SUMPRODUCT($B8:$E8,$V44:$Y44)+D$10*D8/SUMPRODUCT(D$6:D$9,X$42:X$45)+初始化表!N15/K65+(IF(I27+J27=0,0,1)*初始化表!H27+IF(K27+L27=0,0,1)*初始化表!I27)/(I65+J65+K65+L65)</f>
        <v>#DIV/0!</v>
      </c>
      <c r="AG7" s="153" t="e">
        <f>$AC7+初始化表!O21+$F8*E8/SUMPRODUCT($B8:$E8,$V44:$Y44)+E$10*E8/SUMPRODUCT(E$6:E$9,Y$42:Y$45)+初始化表!O15/L65+(IF(I27+J27=0,0,1)*初始化表!H27+IF(K27+L27=0,0,1)*初始化表!I27)/(I65+J65+K65+L65)</f>
        <v>#DIV/0!</v>
      </c>
      <c r="AH7" s="73"/>
      <c r="AI7" s="68" t="s">
        <v>424</v>
      </c>
      <c r="AJ7" s="69"/>
      <c r="AK7" s="69"/>
      <c r="AL7" s="69"/>
      <c r="AM7" s="69"/>
      <c r="AN7" s="69"/>
      <c r="AO7" s="69"/>
      <c r="AP7" s="69"/>
      <c r="AQ7" s="69"/>
      <c r="AZ7" s="193"/>
      <c r="BA7" s="196">
        <f t="shared" ref="BA7:BA26" si="10">AI37</f>
        <v>0</v>
      </c>
      <c r="BB7" s="197">
        <f t="shared" ref="BB7:BB26" si="11">IF($BA7="","",INT(BB$28*AJ61))</f>
        <v>0</v>
      </c>
      <c r="BC7" s="197">
        <f t="shared" ref="BC7:BC26" si="12">IF($BA7="","",INT(BC$28*AK61))</f>
        <v>0</v>
      </c>
      <c r="BD7" s="197">
        <f t="shared" ref="BD7:BD26" si="13">IF($BA7="","",INT(BD$28*AL61))</f>
        <v>0</v>
      </c>
      <c r="BE7" s="197">
        <f t="shared" ref="BE7:BE26" si="14">IF($BA7="","",INT(BE$28*AM61))</f>
        <v>0</v>
      </c>
      <c r="BF7" s="197">
        <f t="shared" ref="BF7:BF26" si="15">IF($BA7="","",INT(BF$28*AN61))</f>
        <v>0</v>
      </c>
      <c r="BG7" s="197">
        <f t="shared" ref="BG7:BG26" si="16">IF($BA7="","",INT(BG$28*AO61))</f>
        <v>0</v>
      </c>
      <c r="BH7" s="197">
        <f t="shared" ref="BH7:BH26" si="17">IF($BA7="","",INT(BH$28*AP61))</f>
        <v>0</v>
      </c>
      <c r="BI7" s="197">
        <f t="shared" ref="BI7:BI26" si="18">IF($BA7="","",INT(BI$28*AQ61))</f>
        <v>0</v>
      </c>
      <c r="BJ7" s="197">
        <f t="shared" ref="BJ7:BJ26" si="19">IF($BA7="","",INT(BJ$28*AR61))</f>
        <v>0</v>
      </c>
      <c r="BK7" s="197">
        <f t="shared" ref="BK7:BK26" si="20">IF($BA7="","",INT(BK$28*AS61))</f>
        <v>0</v>
      </c>
      <c r="BL7" s="197">
        <f t="shared" ref="BL7:BL26" si="21">IF($BA7="","",INT(BL$28*AT61))</f>
        <v>0</v>
      </c>
      <c r="BM7" s="197">
        <f t="shared" ref="BM7:BM26" si="22">IF($BA7="","",INT(BM$28*AU61))</f>
        <v>0</v>
      </c>
      <c r="BN7" s="197">
        <f t="shared" ref="BN7:BN26" si="23">IF($BA7="","",INT(BN$28*AV61))</f>
        <v>0</v>
      </c>
      <c r="BO7" s="197">
        <f t="shared" ref="BO7:BO26" si="24">IF($BA7="","",INT(BO$28*AW61))</f>
        <v>0</v>
      </c>
      <c r="BP7" s="197">
        <f t="shared" ref="BP7:BP26" si="25">IF($BA7="","",INT(BP$28*AX61))</f>
        <v>0</v>
      </c>
      <c r="BQ7" s="197">
        <f t="shared" ref="BQ7:BQ26" si="26">IF($BA7="","",INT(BQ$28*AY61))</f>
        <v>0</v>
      </c>
      <c r="BR7" s="211"/>
      <c r="BS7" s="195">
        <f t="shared" si="0"/>
        <v>0</v>
      </c>
      <c r="BT7" s="201">
        <f t="shared" si="1"/>
        <v>0</v>
      </c>
      <c r="BU7" s="201">
        <f>第5期!AQ109*0.5</f>
        <v>0</v>
      </c>
      <c r="BV7" s="205" t="e">
        <f>AVERAGE(BT32:CI32)*初始化表!B$31</f>
        <v>#DIV/0!</v>
      </c>
      <c r="BW7" s="205" t="e">
        <f>$BT7*(AL109-BW$25)/BW$26*初始化表!B$30</f>
        <v>#DIV/0!</v>
      </c>
      <c r="BX7" s="205" t="e">
        <f>$BT7*(AM109-BX$25)/BX$26*初始化表!B$33</f>
        <v>#DIV/0!</v>
      </c>
      <c r="BY7" s="205" t="e">
        <f>$BT7*(AN109-BY$25)/BY$26*初始化表!B$32</f>
        <v>#DIV/0!</v>
      </c>
      <c r="BZ7" s="205" t="e">
        <f>$BT7*(AP109-BZ$25)/BZ$26*初始化表!B$34</f>
        <v>#DIV/0!</v>
      </c>
      <c r="CA7" s="205" t="e">
        <f>$BT$5*(AW109-CA$25)/CA$26*初始化表!B$36</f>
        <v>#DIV/0!</v>
      </c>
      <c r="CB7" s="205" t="e">
        <f t="shared" si="4"/>
        <v>#DIV/0!</v>
      </c>
      <c r="CC7" s="201">
        <f t="shared" si="5"/>
        <v>0</v>
      </c>
      <c r="CD7" s="229" t="e">
        <f t="shared" si="6"/>
        <v>#DIV/0!</v>
      </c>
      <c r="CE7" s="229">
        <f t="shared" si="7"/>
        <v>0</v>
      </c>
      <c r="CF7" s="229">
        <f t="shared" si="8"/>
        <v>0</v>
      </c>
      <c r="CG7" s="226"/>
      <c r="CH7" s="226"/>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row>
    <row r="8" s="61" customFormat="1" ht="16" customHeight="1" spans="1:121">
      <c r="A8" s="269" t="s">
        <v>523</v>
      </c>
      <c r="B8" s="71" t="e">
        <f t="shared" si="9"/>
        <v>#DIV/0!</v>
      </c>
      <c r="C8" s="71" t="e">
        <f t="shared" si="2"/>
        <v>#DIV/0!</v>
      </c>
      <c r="D8" s="71" t="e">
        <f t="shared" si="2"/>
        <v>#DIV/0!</v>
      </c>
      <c r="E8" s="71" t="e">
        <f t="shared" si="2"/>
        <v>#DIV/0!</v>
      </c>
      <c r="F8" s="72" t="e">
        <f>Q28</f>
        <v>#DIV/0!</v>
      </c>
      <c r="G8" s="73"/>
      <c r="H8" s="269" t="s">
        <v>523</v>
      </c>
      <c r="I8" s="72">
        <f>第5期!I8+第5期!J8</f>
        <v>0</v>
      </c>
      <c r="J8" s="86">
        <v>0</v>
      </c>
      <c r="K8" s="87">
        <f>IF(IF((I8+F19)&gt;=初始化表!I33,5,IF((I8+F19)&gt;=初始化表!H33,4,IF((I8+F19)&gt;=初始化表!G33,3,IF((I8+F19)&gt;=初始化表!F33,2,IF((I8+F19)&gt;=初始化表!E33,1,0)))))+IF(I8+F19&gt;初始化表!E33,O$45)&lt;第5期!K8+1,IF((I8+F19)&gt;=初始化表!I33,5,IF((I8+F19)&gt;=初始化表!H33,4,IF((I8+F19)&gt;=初始化表!G33,3,IF((I8+F19)&gt;=初始化表!F33,2,IF((I8+F19)&gt;=初始化表!E33,1,0)))))+IF(I8+F19&gt;初始化表!E33,O$45),第5期!K8+1)</f>
        <v>5</v>
      </c>
      <c r="L8" s="72">
        <f>IF(I8&lt;初始化表!E33,初始化表!E33-I8,IF(I8&lt;初始化表!F33,初始化表!F33-I8,IF(I8&lt;初始化表!G33,初始化表!G33-I8,IF(I8&lt;初始化表!H33,初始化表!H33-I8,IF(I8&lt;初始化表!I33,初始化表!I33-I8,0)))))</f>
        <v>0</v>
      </c>
      <c r="M8" s="85"/>
      <c r="N8" s="269" t="s">
        <v>525</v>
      </c>
      <c r="O8" s="88">
        <f>第5期!O8+0.0005</f>
        <v>0.0405</v>
      </c>
      <c r="P8" s="88">
        <f>第5期!P8+0.0005</f>
        <v>0.0405</v>
      </c>
      <c r="Q8" s="88">
        <f>第5期!Q8+0.0005</f>
        <v>0.0405</v>
      </c>
      <c r="R8" s="88">
        <f>第5期!R8+0.0005</f>
        <v>0.0405</v>
      </c>
      <c r="S8" s="122"/>
      <c r="T8" s="120"/>
      <c r="U8" s="269" t="s">
        <v>524</v>
      </c>
      <c r="V8" s="77">
        <f>第5期!AP21</f>
        <v>0</v>
      </c>
      <c r="W8" s="77">
        <f>第5期!AP22</f>
        <v>0</v>
      </c>
      <c r="X8" s="77">
        <f>第5期!AP23</f>
        <v>0</v>
      </c>
      <c r="Y8" s="77">
        <f>第5期!AP24</f>
        <v>0</v>
      </c>
      <c r="Z8" s="77">
        <f>第5期!AJ29</f>
        <v>0</v>
      </c>
      <c r="AA8" s="77" t="e">
        <f t="shared" si="3"/>
        <v>#DIV/0!</v>
      </c>
      <c r="AB8" s="151" t="s">
        <v>468</v>
      </c>
      <c r="AC8" s="152" t="e">
        <f>初始化表!$B$8*初始化表!H17*初始化表!$H$5/1300+初始化表!$B$12*初始化表!H17/1300+初始化表!H19+初始化表!H18*(-C35-C44)/(SUM(B17:E17)*初始化表!E18+SUM(B18:E18)*初始化表!F18+SUM(B19:E19)*初始化表!G18+SUM(B20:E20)*初始化表!H18)</f>
        <v>#DIV/0!</v>
      </c>
      <c r="AD8" s="153" t="e">
        <f>$AC8+初始化表!L22+$F9*B9/SUMPRODUCT($B9:$E9,$V45:$Y45)+B$10*B9/SUMPRODUCT(B$6:B$9,V$42:V$45)+初始化表!L16/I66+(IF(I28+J28=0,0,1)*初始化表!H28+IF(K28+L28=0,0,1)*初始化表!I28)/(I66+J66+K66+L66)</f>
        <v>#DIV/0!</v>
      </c>
      <c r="AE8" s="153" t="e">
        <f>$AC8+初始化表!M22+$F9*C9/SUMPRODUCT($B9:$E9,$V45:$Y45)+C$10*C9/SUMPRODUCT(C$6:C$9,W$42:W$45)+初始化表!M16/J66+(IF(I28+J28=0,0,1)*初始化表!H28+IF(K28+L28=0,0,1)*初始化表!I28)/(I66+J66+K66+L66)</f>
        <v>#DIV/0!</v>
      </c>
      <c r="AF8" s="153" t="e">
        <f>$AC8+初始化表!N22+$F9*D9/SUMPRODUCT($B9:$E9,$V45:$Y45)+D$10*D9/SUMPRODUCT(D$6:D$9,X$42:X$45)+初始化表!N16/K66+(IF(I28+J28=0,0,1)*初始化表!H28+IF(K28+L28=0,0,1)*初始化表!I28)/(I66+J66+K66+L66)</f>
        <v>#DIV/0!</v>
      </c>
      <c r="AG8" s="153" t="e">
        <f>$AC8+初始化表!O22+$F9*E9/SUMPRODUCT($B9:$E9,$V45:$Y45)+E$10*E9/SUMPRODUCT(E$6:E$9,Y$42:Y$45)+初始化表!O16/L66+(IF(I28+J28=0,0,1)*初始化表!H28+IF(K28+L28=0,0,1)*初始化表!I28)/(I66+J66+K66+L66)</f>
        <v>#DIV/0!</v>
      </c>
      <c r="AH8" s="73"/>
      <c r="AI8" s="298" t="s">
        <v>283</v>
      </c>
      <c r="AJ8" s="298" t="s">
        <v>284</v>
      </c>
      <c r="AK8" s="298" t="s">
        <v>285</v>
      </c>
      <c r="AL8" s="298" t="s">
        <v>286</v>
      </c>
      <c r="AM8" s="298" t="s">
        <v>287</v>
      </c>
      <c r="AN8" s="298" t="s">
        <v>288</v>
      </c>
      <c r="AO8" s="298" t="s">
        <v>289</v>
      </c>
      <c r="AP8" s="298" t="s">
        <v>290</v>
      </c>
      <c r="AQ8" s="314" t="s">
        <v>291</v>
      </c>
      <c r="AR8" s="185" t="s">
        <v>433</v>
      </c>
      <c r="AS8" s="185" t="s">
        <v>434</v>
      </c>
      <c r="AT8" s="185" t="s">
        <v>435</v>
      </c>
      <c r="AU8" s="185" t="s">
        <v>436</v>
      </c>
      <c r="AV8" s="185" t="s">
        <v>437</v>
      </c>
      <c r="AW8" s="185" t="s">
        <v>438</v>
      </c>
      <c r="AZ8" s="193"/>
      <c r="BA8" s="196">
        <f t="shared" si="10"/>
        <v>0</v>
      </c>
      <c r="BB8" s="197">
        <f t="shared" si="11"/>
        <v>0</v>
      </c>
      <c r="BC8" s="197">
        <f t="shared" si="12"/>
        <v>0</v>
      </c>
      <c r="BD8" s="197">
        <f t="shared" si="13"/>
        <v>0</v>
      </c>
      <c r="BE8" s="197">
        <f t="shared" si="14"/>
        <v>0</v>
      </c>
      <c r="BF8" s="197">
        <f t="shared" si="15"/>
        <v>0</v>
      </c>
      <c r="BG8" s="197">
        <f t="shared" si="16"/>
        <v>0</v>
      </c>
      <c r="BH8" s="197">
        <f t="shared" si="17"/>
        <v>0</v>
      </c>
      <c r="BI8" s="197">
        <f t="shared" si="18"/>
        <v>0</v>
      </c>
      <c r="BJ8" s="197">
        <f t="shared" si="19"/>
        <v>0</v>
      </c>
      <c r="BK8" s="197">
        <f t="shared" si="20"/>
        <v>0</v>
      </c>
      <c r="BL8" s="197">
        <f t="shared" si="21"/>
        <v>0</v>
      </c>
      <c r="BM8" s="197">
        <f t="shared" si="22"/>
        <v>0</v>
      </c>
      <c r="BN8" s="197">
        <f t="shared" si="23"/>
        <v>0</v>
      </c>
      <c r="BO8" s="197">
        <f t="shared" si="24"/>
        <v>0</v>
      </c>
      <c r="BP8" s="197">
        <f t="shared" si="25"/>
        <v>0</v>
      </c>
      <c r="BQ8" s="197">
        <f t="shared" si="26"/>
        <v>0</v>
      </c>
      <c r="BR8" s="211"/>
      <c r="BS8" s="195">
        <f t="shared" si="0"/>
        <v>0</v>
      </c>
      <c r="BT8" s="201">
        <f t="shared" si="1"/>
        <v>0</v>
      </c>
      <c r="BU8" s="201">
        <f>第5期!AQ110*0.5</f>
        <v>0</v>
      </c>
      <c r="BV8" s="205" t="e">
        <f>AVERAGE(BT33:CI33)*初始化表!B$31</f>
        <v>#DIV/0!</v>
      </c>
      <c r="BW8" s="205" t="e">
        <f>$BT8*(AL110-BW$25)/BW$26*初始化表!B$30</f>
        <v>#DIV/0!</v>
      </c>
      <c r="BX8" s="205" t="e">
        <f>$BT8*(AM110-BX$25)/BX$26*初始化表!B$33</f>
        <v>#DIV/0!</v>
      </c>
      <c r="BY8" s="205" t="e">
        <f>$BT8*(AN110-BY$25)/BY$26*初始化表!B$32</f>
        <v>#DIV/0!</v>
      </c>
      <c r="BZ8" s="205" t="e">
        <f>$BT8*(AP110-BZ$25)/BZ$26*初始化表!B$34</f>
        <v>#DIV/0!</v>
      </c>
      <c r="CA8" s="205" t="e">
        <f>$BT$5*(AW110-CA$25)/CA$26*初始化表!B$36</f>
        <v>#DIV/0!</v>
      </c>
      <c r="CB8" s="205" t="e">
        <f t="shared" si="4"/>
        <v>#DIV/0!</v>
      </c>
      <c r="CC8" s="201">
        <f t="shared" si="5"/>
        <v>0</v>
      </c>
      <c r="CD8" s="229" t="e">
        <f t="shared" si="6"/>
        <v>#DIV/0!</v>
      </c>
      <c r="CE8" s="229">
        <f t="shared" si="7"/>
        <v>0</v>
      </c>
      <c r="CF8" s="229">
        <f t="shared" si="8"/>
        <v>0</v>
      </c>
      <c r="CG8" s="226"/>
      <c r="CH8" s="226"/>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c r="DQ8" s="228"/>
    </row>
    <row r="9" s="61" customFormat="1" ht="16" customHeight="1" spans="1:121">
      <c r="A9" s="269" t="s">
        <v>524</v>
      </c>
      <c r="B9" s="71" t="e">
        <f t="shared" si="9"/>
        <v>#DIV/0!</v>
      </c>
      <c r="C9" s="71" t="e">
        <f t="shared" si="2"/>
        <v>#DIV/0!</v>
      </c>
      <c r="D9" s="71" t="e">
        <f t="shared" si="2"/>
        <v>#DIV/0!</v>
      </c>
      <c r="E9" s="71" t="e">
        <f t="shared" si="2"/>
        <v>#DIV/0!</v>
      </c>
      <c r="F9" s="72" t="e">
        <f>R28</f>
        <v>#DIV/0!</v>
      </c>
      <c r="G9" s="73"/>
      <c r="H9" s="269" t="s">
        <v>524</v>
      </c>
      <c r="I9" s="72">
        <f>第5期!I9+第5期!J9</f>
        <v>0</v>
      </c>
      <c r="J9" s="86">
        <v>0</v>
      </c>
      <c r="K9" s="87">
        <f>IF(IF((I9+F20)&gt;=初始化表!I34,5,IF((I9+F20)&gt;=初始化表!H34,4,IF((I9+F20)&gt;=初始化表!G34,3,IF((I9+F20)&gt;=初始化表!F34,2,IF((I9+F20)&gt;=初始化表!E34,1,0)))))+IF(I9+F20&gt;初始化表!E34,O$45)&lt;第5期!K9+1,IF((I9+F20)&gt;=初始化表!I34,5,IF((I9+F20)&gt;=初始化表!H34,4,IF((I9+F20)&gt;=初始化表!G34,3,IF((I9+F20)&gt;=初始化表!F34,2,IF((I9+F20)&gt;=初始化表!E34,1,0)))))+IF(I9+F20&gt;初始化表!E34,O$45),第5期!K9+1)</f>
        <v>5</v>
      </c>
      <c r="L9" s="72">
        <f>IF(I9&lt;初始化表!E34,初始化表!E34-I9,IF(I9&lt;初始化表!F34,初始化表!F34-I9,IF(I9&lt;初始化表!G34,初始化表!G34-I9,IF(I9&lt;初始化表!H34,初始化表!H34-I9,IF(I9&lt;初始化表!I34,初始化表!I34-I9,0)))))</f>
        <v>0</v>
      </c>
      <c r="M9" s="85"/>
      <c r="N9" s="269" t="s">
        <v>527</v>
      </c>
      <c r="O9" s="269" t="s">
        <v>513</v>
      </c>
      <c r="P9" s="269" t="s">
        <v>514</v>
      </c>
      <c r="Q9" s="269" t="s">
        <v>515</v>
      </c>
      <c r="R9" s="269" t="s">
        <v>516</v>
      </c>
      <c r="S9" s="121"/>
      <c r="T9" s="68" t="s">
        <v>528</v>
      </c>
      <c r="U9" s="123"/>
      <c r="V9" s="74"/>
      <c r="W9" s="74"/>
      <c r="X9" s="74"/>
      <c r="Y9" s="74"/>
      <c r="Z9" s="74" t="e">
        <f>SUMPRODUCT(V5:Y8,V23:Y26)</f>
        <v>#DIV/0!</v>
      </c>
      <c r="AA9" s="73"/>
      <c r="AB9" s="155"/>
      <c r="AC9" s="155"/>
      <c r="AD9" s="155"/>
      <c r="AE9" s="155"/>
      <c r="AF9" s="155"/>
      <c r="AG9" s="155"/>
      <c r="AH9" s="73"/>
      <c r="AI9" s="359"/>
      <c r="AJ9" s="359"/>
      <c r="AK9" s="360"/>
      <c r="AL9" s="360">
        <f>V42</f>
        <v>0</v>
      </c>
      <c r="AM9" s="361"/>
      <c r="AN9" s="362"/>
      <c r="AO9" s="360"/>
      <c r="AP9" s="360"/>
      <c r="AQ9" s="369"/>
      <c r="AR9" s="103"/>
      <c r="AS9" s="103">
        <f t="shared" ref="AS9:AS24" si="27">AM9-AK9</f>
        <v>0</v>
      </c>
      <c r="AT9" s="103"/>
      <c r="AU9" s="103"/>
      <c r="AV9" s="103"/>
      <c r="AW9" s="103"/>
      <c r="AZ9" s="193"/>
      <c r="BA9" s="196">
        <f t="shared" si="10"/>
        <v>0</v>
      </c>
      <c r="BB9" s="197">
        <f t="shared" si="11"/>
        <v>0</v>
      </c>
      <c r="BC9" s="197">
        <f t="shared" si="12"/>
        <v>0</v>
      </c>
      <c r="BD9" s="197">
        <f t="shared" si="13"/>
        <v>0</v>
      </c>
      <c r="BE9" s="197">
        <f t="shared" si="14"/>
        <v>0</v>
      </c>
      <c r="BF9" s="197">
        <f t="shared" si="15"/>
        <v>0</v>
      </c>
      <c r="BG9" s="197">
        <f t="shared" si="16"/>
        <v>0</v>
      </c>
      <c r="BH9" s="197">
        <f t="shared" si="17"/>
        <v>0</v>
      </c>
      <c r="BI9" s="197">
        <f t="shared" si="18"/>
        <v>0</v>
      </c>
      <c r="BJ9" s="197">
        <f t="shared" si="19"/>
        <v>0</v>
      </c>
      <c r="BK9" s="197">
        <f t="shared" si="20"/>
        <v>0</v>
      </c>
      <c r="BL9" s="197">
        <f t="shared" si="21"/>
        <v>0</v>
      </c>
      <c r="BM9" s="197">
        <f t="shared" si="22"/>
        <v>0</v>
      </c>
      <c r="BN9" s="197">
        <f t="shared" si="23"/>
        <v>0</v>
      </c>
      <c r="BO9" s="197">
        <f t="shared" si="24"/>
        <v>0</v>
      </c>
      <c r="BP9" s="197">
        <f t="shared" si="25"/>
        <v>0</v>
      </c>
      <c r="BQ9" s="197">
        <f t="shared" si="26"/>
        <v>0</v>
      </c>
      <c r="BR9" s="211"/>
      <c r="BS9" s="195">
        <f t="shared" si="0"/>
        <v>0</v>
      </c>
      <c r="BT9" s="201">
        <f t="shared" si="1"/>
        <v>0</v>
      </c>
      <c r="BU9" s="201">
        <f>第5期!AQ111*0.5</f>
        <v>0</v>
      </c>
      <c r="BV9" s="205" t="e">
        <f>AVERAGE(BT34:CI34)*初始化表!B$31</f>
        <v>#DIV/0!</v>
      </c>
      <c r="BW9" s="205" t="e">
        <f>$BT9*(AL111-BW$25)/BW$26*初始化表!B$30</f>
        <v>#DIV/0!</v>
      </c>
      <c r="BX9" s="205" t="e">
        <f>$BT9*(AM111-BX$25)/BX$26*初始化表!B$33</f>
        <v>#DIV/0!</v>
      </c>
      <c r="BY9" s="205" t="e">
        <f>$BT9*(AN111-BY$25)/BY$26*初始化表!B$32</f>
        <v>#DIV/0!</v>
      </c>
      <c r="BZ9" s="205" t="e">
        <f>$BT9*(AP111-BZ$25)/BZ$26*初始化表!B$34</f>
        <v>#DIV/0!</v>
      </c>
      <c r="CA9" s="205" t="e">
        <f>$BT$5*(AW111-CA$25)/CA$26*初始化表!B$36</f>
        <v>#DIV/0!</v>
      </c>
      <c r="CB9" s="205" t="e">
        <f t="shared" si="4"/>
        <v>#DIV/0!</v>
      </c>
      <c r="CC9" s="201">
        <f t="shared" si="5"/>
        <v>0</v>
      </c>
      <c r="CD9" s="229" t="e">
        <f t="shared" si="6"/>
        <v>#DIV/0!</v>
      </c>
      <c r="CE9" s="229">
        <f t="shared" si="7"/>
        <v>0</v>
      </c>
      <c r="CF9" s="229">
        <f t="shared" si="8"/>
        <v>0</v>
      </c>
      <c r="CG9" s="226"/>
      <c r="CH9" s="226"/>
      <c r="CI9" s="228"/>
      <c r="CJ9" s="230"/>
      <c r="CK9" s="228"/>
      <c r="CL9" s="230"/>
      <c r="CM9" s="230"/>
      <c r="CN9" s="230"/>
      <c r="CO9" s="230"/>
      <c r="CP9" s="228"/>
      <c r="CQ9" s="228"/>
      <c r="CR9" s="228"/>
      <c r="CS9" s="228"/>
      <c r="CT9" s="228"/>
      <c r="CU9" s="228"/>
      <c r="CV9" s="231"/>
      <c r="CW9" s="231"/>
      <c r="CX9" s="231"/>
      <c r="CY9" s="231"/>
      <c r="CZ9" s="228"/>
      <c r="DA9" s="228"/>
      <c r="DB9" s="228"/>
      <c r="DC9" s="228"/>
      <c r="DD9" s="228"/>
      <c r="DE9" s="228"/>
      <c r="DF9" s="228"/>
      <c r="DG9" s="228"/>
      <c r="DH9" s="228"/>
      <c r="DI9" s="228"/>
      <c r="DJ9" s="228"/>
      <c r="DK9" s="228"/>
      <c r="DL9" s="228"/>
      <c r="DM9" s="228"/>
      <c r="DN9" s="228"/>
      <c r="DO9" s="228"/>
      <c r="DP9" s="228"/>
      <c r="DQ9" s="228"/>
    </row>
    <row r="10" s="61" customFormat="1" ht="16" customHeight="1" spans="1:121">
      <c r="A10" s="269" t="s">
        <v>280</v>
      </c>
      <c r="B10" s="72" t="e">
        <f>O29</f>
        <v>#DIV/0!</v>
      </c>
      <c r="C10" s="72" t="e">
        <f>P29</f>
        <v>#DIV/0!</v>
      </c>
      <c r="D10" s="72" t="e">
        <f t="shared" ref="D10:E10" si="28">Q29</f>
        <v>#DIV/0!</v>
      </c>
      <c r="E10" s="72" t="e">
        <f t="shared" si="28"/>
        <v>#DIV/0!</v>
      </c>
      <c r="F10" s="269" t="s">
        <v>281</v>
      </c>
      <c r="G10" s="73"/>
      <c r="H10" s="74"/>
      <c r="I10" s="74"/>
      <c r="J10" s="74"/>
      <c r="K10" s="74"/>
      <c r="L10" s="74"/>
      <c r="M10" s="85"/>
      <c r="N10" s="269" t="s">
        <v>198</v>
      </c>
      <c r="O10" s="89">
        <f t="shared" ref="O10:O13" si="29">S10+T10</f>
        <v>0</v>
      </c>
      <c r="P10" s="88"/>
      <c r="Q10" s="88"/>
      <c r="R10" s="88"/>
      <c r="S10" s="124">
        <v>0</v>
      </c>
      <c r="T10" s="125">
        <f t="shared" ref="T10:T13" si="30">(Z17-Z42)/10000</f>
        <v>0</v>
      </c>
      <c r="U10" s="269" t="s">
        <v>529</v>
      </c>
      <c r="V10" s="269" t="s">
        <v>513</v>
      </c>
      <c r="W10" s="269" t="s">
        <v>514</v>
      </c>
      <c r="X10" s="269" t="s">
        <v>515</v>
      </c>
      <c r="Y10" s="269" t="s">
        <v>516</v>
      </c>
      <c r="Z10" s="74"/>
      <c r="AA10" s="73"/>
      <c r="AB10" s="151" t="s">
        <v>530</v>
      </c>
      <c r="AC10" s="151" t="s">
        <v>459</v>
      </c>
      <c r="AD10" s="151" t="s">
        <v>460</v>
      </c>
      <c r="AE10" s="151" t="s">
        <v>461</v>
      </c>
      <c r="AF10" s="151" t="s">
        <v>462</v>
      </c>
      <c r="AG10" s="167" t="s">
        <v>402</v>
      </c>
      <c r="AH10" s="168" t="s">
        <v>531</v>
      </c>
      <c r="AI10" s="359"/>
      <c r="AJ10" s="359"/>
      <c r="AK10" s="360"/>
      <c r="AL10" s="360">
        <f>W42</f>
        <v>0</v>
      </c>
      <c r="AM10" s="361"/>
      <c r="AN10" s="362"/>
      <c r="AO10" s="360"/>
      <c r="AP10" s="360"/>
      <c r="AQ10" s="369"/>
      <c r="AR10" s="103"/>
      <c r="AS10" s="103">
        <f t="shared" si="27"/>
        <v>0</v>
      </c>
      <c r="AT10" s="103"/>
      <c r="AU10" s="103"/>
      <c r="AV10" s="103"/>
      <c r="AW10" s="103"/>
      <c r="AZ10" s="193"/>
      <c r="BA10" s="196">
        <f t="shared" si="10"/>
        <v>0</v>
      </c>
      <c r="BB10" s="197">
        <f t="shared" si="11"/>
        <v>0</v>
      </c>
      <c r="BC10" s="197">
        <f t="shared" si="12"/>
        <v>0</v>
      </c>
      <c r="BD10" s="197">
        <f t="shared" si="13"/>
        <v>0</v>
      </c>
      <c r="BE10" s="197">
        <f t="shared" si="14"/>
        <v>0</v>
      </c>
      <c r="BF10" s="197">
        <f t="shared" si="15"/>
        <v>0</v>
      </c>
      <c r="BG10" s="197">
        <f t="shared" si="16"/>
        <v>0</v>
      </c>
      <c r="BH10" s="197">
        <f t="shared" si="17"/>
        <v>0</v>
      </c>
      <c r="BI10" s="197">
        <f t="shared" si="18"/>
        <v>0</v>
      </c>
      <c r="BJ10" s="197">
        <f t="shared" si="19"/>
        <v>0</v>
      </c>
      <c r="BK10" s="197">
        <f t="shared" si="20"/>
        <v>0</v>
      </c>
      <c r="BL10" s="197">
        <f t="shared" si="21"/>
        <v>0</v>
      </c>
      <c r="BM10" s="197">
        <f t="shared" si="22"/>
        <v>0</v>
      </c>
      <c r="BN10" s="197">
        <f t="shared" si="23"/>
        <v>0</v>
      </c>
      <c r="BO10" s="197">
        <f t="shared" si="24"/>
        <v>0</v>
      </c>
      <c r="BP10" s="197">
        <f t="shared" si="25"/>
        <v>0</v>
      </c>
      <c r="BQ10" s="197">
        <f t="shared" si="26"/>
        <v>0</v>
      </c>
      <c r="BR10" s="211"/>
      <c r="BS10" s="195">
        <f t="shared" si="0"/>
        <v>0</v>
      </c>
      <c r="BT10" s="201">
        <f t="shared" si="1"/>
        <v>0</v>
      </c>
      <c r="BU10" s="201">
        <f>第5期!AQ112*0.5</f>
        <v>0</v>
      </c>
      <c r="BV10" s="205" t="e">
        <f>AVERAGE(BT35:CI35)*初始化表!B$31</f>
        <v>#DIV/0!</v>
      </c>
      <c r="BW10" s="205" t="e">
        <f>$BT10*(AL112-BW$25)/BW$26*初始化表!B$30</f>
        <v>#DIV/0!</v>
      </c>
      <c r="BX10" s="205" t="e">
        <f>$BT10*(AM112-BX$25)/BX$26*初始化表!B$33</f>
        <v>#DIV/0!</v>
      </c>
      <c r="BY10" s="205" t="e">
        <f>$BT10*(AN112-BY$25)/BY$26*初始化表!B$32</f>
        <v>#DIV/0!</v>
      </c>
      <c r="BZ10" s="205" t="e">
        <f>$BT10*(AP112-BZ$25)/BZ$26*初始化表!B$34</f>
        <v>#DIV/0!</v>
      </c>
      <c r="CA10" s="205" t="e">
        <f>$BT$5*(AW112-CA$25)/CA$26*初始化表!B$36</f>
        <v>#DIV/0!</v>
      </c>
      <c r="CB10" s="205" t="e">
        <f t="shared" si="4"/>
        <v>#DIV/0!</v>
      </c>
      <c r="CC10" s="201">
        <f t="shared" si="5"/>
        <v>0</v>
      </c>
      <c r="CD10" s="229" t="e">
        <f t="shared" si="6"/>
        <v>#DIV/0!</v>
      </c>
      <c r="CE10" s="229">
        <f t="shared" si="7"/>
        <v>0</v>
      </c>
      <c r="CF10" s="229">
        <f t="shared" si="8"/>
        <v>0</v>
      </c>
      <c r="CG10" s="226"/>
      <c r="CH10" s="226"/>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c r="DP10" s="228"/>
      <c r="DQ10" s="228"/>
    </row>
    <row r="11" s="61" customFormat="1" ht="16" customHeight="1" spans="1:121">
      <c r="A11" s="269" t="s">
        <v>282</v>
      </c>
      <c r="B11" s="269" t="s">
        <v>513</v>
      </c>
      <c r="C11" s="269" t="s">
        <v>514</v>
      </c>
      <c r="D11" s="269" t="s">
        <v>515</v>
      </c>
      <c r="E11" s="269" t="s">
        <v>516</v>
      </c>
      <c r="F11" s="271" t="e">
        <f>F77</f>
        <v>#DIV/0!</v>
      </c>
      <c r="G11" s="73"/>
      <c r="H11" s="269" t="s">
        <v>532</v>
      </c>
      <c r="I11" s="270"/>
      <c r="J11" s="270"/>
      <c r="K11" s="270"/>
      <c r="L11" s="270"/>
      <c r="M11" s="85"/>
      <c r="N11" s="269" t="s">
        <v>202</v>
      </c>
      <c r="O11" s="89">
        <f t="shared" si="29"/>
        <v>0</v>
      </c>
      <c r="P11" s="88"/>
      <c r="Q11" s="88"/>
      <c r="R11" s="88"/>
      <c r="S11" s="124">
        <v>0</v>
      </c>
      <c r="T11" s="125">
        <f t="shared" si="30"/>
        <v>0</v>
      </c>
      <c r="U11" s="269" t="s">
        <v>521</v>
      </c>
      <c r="V11" s="115">
        <f>第5期!AO9</f>
        <v>0</v>
      </c>
      <c r="W11" s="115">
        <f>第5期!AO10</f>
        <v>0</v>
      </c>
      <c r="X11" s="115">
        <f>第5期!AO11</f>
        <v>0</v>
      </c>
      <c r="Y11" s="115">
        <f>第5期!AO12</f>
        <v>0</v>
      </c>
      <c r="Z11" s="74"/>
      <c r="AA11" s="73"/>
      <c r="AB11" s="151" t="s">
        <v>198</v>
      </c>
      <c r="AC11" s="153" t="e">
        <f t="shared" ref="AC11:AF14" si="31">B6-AD5</f>
        <v>#DIV/0!</v>
      </c>
      <c r="AD11" s="153" t="e">
        <f t="shared" si="31"/>
        <v>#DIV/0!</v>
      </c>
      <c r="AE11" s="153" t="e">
        <f t="shared" si="31"/>
        <v>#DIV/0!</v>
      </c>
      <c r="AF11" s="153" t="e">
        <f t="shared" si="31"/>
        <v>#DIV/0!</v>
      </c>
      <c r="AG11" s="169" t="str">
        <f>IF(AJ24="","未粘报表",IF(AND(V86=AQ9,W86=AQ10,X86=AQ11,Y86=AQ12,V87=AQ13,W87=AQ14,X87=AQ15,Y87=AQ16,V88=AQ17,W88=AQ18,X88=AQ19,Y88=AQ20,V89=AQ21,W89=AQ22,X89=AQ23,Y89=AQ24),"正确","错误"))</f>
        <v>未粘报表</v>
      </c>
      <c r="AH11" s="170" t="str">
        <f>IF(AJ24="","未粘报表",IF(INT(VLOOKUP(初期!$G$52,$AI$107:$AQ$126,7,0))=INT(F64),"现金正确","现金错误"))</f>
        <v>未粘报表</v>
      </c>
      <c r="AI11" s="359"/>
      <c r="AJ11" s="359"/>
      <c r="AK11" s="360"/>
      <c r="AL11" s="360">
        <f>X42</f>
        <v>0</v>
      </c>
      <c r="AM11" s="361"/>
      <c r="AN11" s="362"/>
      <c r="AO11" s="360"/>
      <c r="AP11" s="360"/>
      <c r="AQ11" s="369"/>
      <c r="AR11" s="103"/>
      <c r="AS11" s="103">
        <f t="shared" si="27"/>
        <v>0</v>
      </c>
      <c r="AT11" s="103"/>
      <c r="AU11" s="103"/>
      <c r="AV11" s="103"/>
      <c r="AW11" s="103"/>
      <c r="AZ11" s="193"/>
      <c r="BA11" s="196">
        <f t="shared" si="10"/>
        <v>0</v>
      </c>
      <c r="BB11" s="197">
        <f t="shared" si="11"/>
        <v>0</v>
      </c>
      <c r="BC11" s="197">
        <f t="shared" si="12"/>
        <v>0</v>
      </c>
      <c r="BD11" s="197">
        <f t="shared" si="13"/>
        <v>0</v>
      </c>
      <c r="BE11" s="197">
        <f t="shared" si="14"/>
        <v>0</v>
      </c>
      <c r="BF11" s="197">
        <f t="shared" si="15"/>
        <v>0</v>
      </c>
      <c r="BG11" s="197">
        <f t="shared" si="16"/>
        <v>0</v>
      </c>
      <c r="BH11" s="197">
        <f t="shared" si="17"/>
        <v>0</v>
      </c>
      <c r="BI11" s="197">
        <f t="shared" si="18"/>
        <v>0</v>
      </c>
      <c r="BJ11" s="197">
        <f t="shared" si="19"/>
        <v>0</v>
      </c>
      <c r="BK11" s="197">
        <f t="shared" si="20"/>
        <v>0</v>
      </c>
      <c r="BL11" s="197">
        <f t="shared" si="21"/>
        <v>0</v>
      </c>
      <c r="BM11" s="197">
        <f t="shared" si="22"/>
        <v>0</v>
      </c>
      <c r="BN11" s="197">
        <f t="shared" si="23"/>
        <v>0</v>
      </c>
      <c r="BO11" s="197">
        <f t="shared" si="24"/>
        <v>0</v>
      </c>
      <c r="BP11" s="197">
        <f t="shared" si="25"/>
        <v>0</v>
      </c>
      <c r="BQ11" s="197">
        <f t="shared" si="26"/>
        <v>0</v>
      </c>
      <c r="BR11" s="211"/>
      <c r="BS11" s="195">
        <f t="shared" si="0"/>
        <v>0</v>
      </c>
      <c r="BT11" s="201">
        <f t="shared" si="1"/>
        <v>0</v>
      </c>
      <c r="BU11" s="201">
        <f>第5期!AQ113*0.5</f>
        <v>0</v>
      </c>
      <c r="BV11" s="205" t="e">
        <f>AVERAGE(BT36:CI36)*初始化表!B$31</f>
        <v>#DIV/0!</v>
      </c>
      <c r="BW11" s="205" t="e">
        <f>$BT11*(AL113-BW$25)/BW$26*初始化表!B$30</f>
        <v>#DIV/0!</v>
      </c>
      <c r="BX11" s="205" t="e">
        <f>$BT11*(AM113-BX$25)/BX$26*初始化表!B$33</f>
        <v>#DIV/0!</v>
      </c>
      <c r="BY11" s="205" t="e">
        <f>$BT11*(AN113-BY$25)/BY$26*初始化表!B$32</f>
        <v>#DIV/0!</v>
      </c>
      <c r="BZ11" s="205" t="e">
        <f>$BT11*(AP113-BZ$25)/BZ$26*初始化表!B$34</f>
        <v>#DIV/0!</v>
      </c>
      <c r="CA11" s="205" t="e">
        <f>$BT$5*(AW113-CA$25)/CA$26*初始化表!B$36</f>
        <v>#DIV/0!</v>
      </c>
      <c r="CB11" s="205" t="e">
        <f t="shared" si="4"/>
        <v>#DIV/0!</v>
      </c>
      <c r="CC11" s="201">
        <f t="shared" si="5"/>
        <v>0</v>
      </c>
      <c r="CD11" s="229" t="e">
        <f t="shared" si="6"/>
        <v>#DIV/0!</v>
      </c>
      <c r="CE11" s="229">
        <f t="shared" si="7"/>
        <v>0</v>
      </c>
      <c r="CF11" s="229">
        <f t="shared" si="8"/>
        <v>0</v>
      </c>
      <c r="CG11" s="226"/>
      <c r="CH11" s="226"/>
      <c r="CI11" s="227"/>
      <c r="CJ11" s="228"/>
      <c r="CK11" s="227"/>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row>
    <row r="12" s="61" customFormat="1" ht="16" customHeight="1" spans="1:121">
      <c r="A12" s="269" t="s">
        <v>521</v>
      </c>
      <c r="B12" s="71">
        <f>I63</f>
        <v>0</v>
      </c>
      <c r="C12" s="71">
        <f t="shared" ref="C12:E15" si="32">J63</f>
        <v>0</v>
      </c>
      <c r="D12" s="71">
        <f t="shared" si="32"/>
        <v>0</v>
      </c>
      <c r="E12" s="71">
        <f t="shared" si="32"/>
        <v>0</v>
      </c>
      <c r="F12" s="269" t="s">
        <v>292</v>
      </c>
      <c r="G12" s="73"/>
      <c r="H12" s="269" t="s">
        <v>533</v>
      </c>
      <c r="I12" s="269" t="s">
        <v>521</v>
      </c>
      <c r="J12" s="269" t="s">
        <v>522</v>
      </c>
      <c r="K12" s="269" t="s">
        <v>523</v>
      </c>
      <c r="L12" s="269" t="s">
        <v>524</v>
      </c>
      <c r="M12" s="85"/>
      <c r="N12" s="269" t="s">
        <v>206</v>
      </c>
      <c r="O12" s="89">
        <f t="shared" si="29"/>
        <v>0</v>
      </c>
      <c r="P12" s="88"/>
      <c r="Q12" s="88"/>
      <c r="R12" s="88"/>
      <c r="S12" s="124">
        <v>0</v>
      </c>
      <c r="T12" s="125">
        <f t="shared" si="30"/>
        <v>0</v>
      </c>
      <c r="U12" s="269" t="s">
        <v>522</v>
      </c>
      <c r="V12" s="115">
        <f>第5期!AO13</f>
        <v>0</v>
      </c>
      <c r="W12" s="115">
        <f>第5期!AO14</f>
        <v>0</v>
      </c>
      <c r="X12" s="115">
        <f>第5期!AO15</f>
        <v>0</v>
      </c>
      <c r="Y12" s="115">
        <f>第5期!AO16</f>
        <v>0</v>
      </c>
      <c r="Z12" s="74"/>
      <c r="AA12" s="73"/>
      <c r="AB12" s="151" t="s">
        <v>202</v>
      </c>
      <c r="AC12" s="153" t="e">
        <f t="shared" si="31"/>
        <v>#DIV/0!</v>
      </c>
      <c r="AD12" s="153" t="e">
        <f t="shared" si="31"/>
        <v>#DIV/0!</v>
      </c>
      <c r="AE12" s="153" t="e">
        <f t="shared" si="31"/>
        <v>#DIV/0!</v>
      </c>
      <c r="AF12" s="153" t="e">
        <f t="shared" si="31"/>
        <v>#DIV/0!</v>
      </c>
      <c r="AG12" s="167" t="s">
        <v>534</v>
      </c>
      <c r="AH12" s="168" t="s">
        <v>535</v>
      </c>
      <c r="AI12" s="359"/>
      <c r="AJ12" s="359"/>
      <c r="AK12" s="360"/>
      <c r="AL12" s="360">
        <f>Y42</f>
        <v>0</v>
      </c>
      <c r="AM12" s="361"/>
      <c r="AN12" s="362"/>
      <c r="AO12" s="360"/>
      <c r="AP12" s="360"/>
      <c r="AQ12" s="369"/>
      <c r="AR12" s="103">
        <f>SUM(AL9:AL12)</f>
        <v>0</v>
      </c>
      <c r="AS12" s="103">
        <f t="shared" si="27"/>
        <v>0</v>
      </c>
      <c r="AT12" s="103">
        <f>SUMIF(AS9:AS12,"&gt;=0",AS9:AS12)</f>
        <v>0</v>
      </c>
      <c r="AU12" s="103">
        <f>SUM(AO9:AO12)</f>
        <v>0</v>
      </c>
      <c r="AV12" s="103">
        <f>SUM(AP9:AP12)</f>
        <v>0</v>
      </c>
      <c r="AW12" s="103">
        <f>SUM(AQ9:AQ12)</f>
        <v>0</v>
      </c>
      <c r="AZ12" s="193"/>
      <c r="BA12" s="196">
        <f t="shared" si="10"/>
        <v>0</v>
      </c>
      <c r="BB12" s="197">
        <f t="shared" si="11"/>
        <v>0</v>
      </c>
      <c r="BC12" s="197">
        <f t="shared" si="12"/>
        <v>0</v>
      </c>
      <c r="BD12" s="197">
        <f t="shared" si="13"/>
        <v>0</v>
      </c>
      <c r="BE12" s="197">
        <f t="shared" si="14"/>
        <v>0</v>
      </c>
      <c r="BF12" s="197">
        <f t="shared" si="15"/>
        <v>0</v>
      </c>
      <c r="BG12" s="197">
        <f t="shared" si="16"/>
        <v>0</v>
      </c>
      <c r="BH12" s="197">
        <f t="shared" si="17"/>
        <v>0</v>
      </c>
      <c r="BI12" s="197">
        <f t="shared" si="18"/>
        <v>0</v>
      </c>
      <c r="BJ12" s="197">
        <f t="shared" si="19"/>
        <v>0</v>
      </c>
      <c r="BK12" s="197">
        <f t="shared" si="20"/>
        <v>0</v>
      </c>
      <c r="BL12" s="197">
        <f t="shared" si="21"/>
        <v>0</v>
      </c>
      <c r="BM12" s="197">
        <f t="shared" si="22"/>
        <v>0</v>
      </c>
      <c r="BN12" s="197">
        <f t="shared" si="23"/>
        <v>0</v>
      </c>
      <c r="BO12" s="197">
        <f t="shared" si="24"/>
        <v>0</v>
      </c>
      <c r="BP12" s="197">
        <f t="shared" si="25"/>
        <v>0</v>
      </c>
      <c r="BQ12" s="197">
        <f t="shared" si="26"/>
        <v>0</v>
      </c>
      <c r="BR12" s="211"/>
      <c r="BS12" s="195">
        <f t="shared" si="0"/>
        <v>0</v>
      </c>
      <c r="BT12" s="201">
        <f t="shared" si="1"/>
        <v>0</v>
      </c>
      <c r="BU12" s="201">
        <f>第5期!AQ114*0.5</f>
        <v>0</v>
      </c>
      <c r="BV12" s="205" t="e">
        <f>AVERAGE(BT37:CI37)*初始化表!B$31</f>
        <v>#DIV/0!</v>
      </c>
      <c r="BW12" s="205" t="e">
        <f>$BT12*(AL114-BW$25)/BW$26*初始化表!B$30</f>
        <v>#DIV/0!</v>
      </c>
      <c r="BX12" s="205" t="e">
        <f>$BT12*(AM114-BX$25)/BX$26*初始化表!B$33</f>
        <v>#DIV/0!</v>
      </c>
      <c r="BY12" s="205" t="e">
        <f>$BT12*(AN114-BY$25)/BY$26*初始化表!B$32</f>
        <v>#DIV/0!</v>
      </c>
      <c r="BZ12" s="205" t="e">
        <f>$BT12*(AP114-BZ$25)/BZ$26*初始化表!B$34</f>
        <v>#DIV/0!</v>
      </c>
      <c r="CA12" s="205" t="e">
        <f>$BT$5*(AW114-CA$25)/CA$26*初始化表!B$36</f>
        <v>#DIV/0!</v>
      </c>
      <c r="CB12" s="205" t="e">
        <f t="shared" si="4"/>
        <v>#DIV/0!</v>
      </c>
      <c r="CC12" s="201">
        <f t="shared" si="5"/>
        <v>0</v>
      </c>
      <c r="CD12" s="229" t="e">
        <f t="shared" si="6"/>
        <v>#DIV/0!</v>
      </c>
      <c r="CE12" s="229">
        <f t="shared" si="7"/>
        <v>0</v>
      </c>
      <c r="CF12" s="229">
        <f t="shared" si="8"/>
        <v>0</v>
      </c>
      <c r="CG12" s="226"/>
      <c r="CH12" s="226"/>
      <c r="CI12" s="231"/>
      <c r="CJ12" s="231"/>
      <c r="CK12" s="231"/>
      <c r="CL12" s="231"/>
      <c r="CM12" s="231"/>
      <c r="CN12" s="231"/>
      <c r="CO12" s="231"/>
      <c r="CP12" s="231"/>
      <c r="CQ12" s="231"/>
      <c r="CR12" s="231"/>
      <c r="CS12" s="231"/>
      <c r="CT12" s="231"/>
      <c r="CU12" s="231"/>
      <c r="CV12" s="231"/>
      <c r="CW12" s="231"/>
      <c r="CX12" s="231"/>
      <c r="CY12" s="231"/>
      <c r="CZ12" s="231"/>
      <c r="DA12" s="228"/>
      <c r="DB12" s="228"/>
      <c r="DC12" s="228"/>
      <c r="DD12" s="228"/>
      <c r="DE12" s="228"/>
      <c r="DF12" s="228"/>
      <c r="DG12" s="228"/>
      <c r="DH12" s="228"/>
      <c r="DI12" s="228"/>
      <c r="DJ12" s="228"/>
      <c r="DK12" s="228"/>
      <c r="DL12" s="228"/>
      <c r="DM12" s="228"/>
      <c r="DN12" s="228"/>
      <c r="DO12" s="228"/>
      <c r="DP12" s="228"/>
      <c r="DQ12" s="228"/>
    </row>
    <row r="13" s="61" customFormat="1" ht="16" customHeight="1" spans="1:121">
      <c r="A13" s="269" t="s">
        <v>522</v>
      </c>
      <c r="B13" s="71">
        <f t="shared" ref="B13:B15" si="33">I64</f>
        <v>0</v>
      </c>
      <c r="C13" s="71">
        <f t="shared" si="32"/>
        <v>0</v>
      </c>
      <c r="D13" s="71">
        <f t="shared" si="32"/>
        <v>0</v>
      </c>
      <c r="E13" s="71">
        <f t="shared" si="32"/>
        <v>0</v>
      </c>
      <c r="F13" s="272" t="e">
        <f>E60</f>
        <v>#DIV/0!</v>
      </c>
      <c r="G13" s="73"/>
      <c r="H13" s="269" t="s">
        <v>536</v>
      </c>
      <c r="I13" s="90"/>
      <c r="J13" s="90"/>
      <c r="K13" s="90"/>
      <c r="L13" s="90"/>
      <c r="M13" s="85"/>
      <c r="N13" s="269" t="s">
        <v>208</v>
      </c>
      <c r="O13" s="89">
        <f t="shared" si="29"/>
        <v>0</v>
      </c>
      <c r="P13" s="88"/>
      <c r="Q13" s="88"/>
      <c r="R13" s="88"/>
      <c r="S13" s="124">
        <v>0</v>
      </c>
      <c r="T13" s="125">
        <f t="shared" si="30"/>
        <v>0</v>
      </c>
      <c r="U13" s="269" t="s">
        <v>523</v>
      </c>
      <c r="V13" s="115">
        <f>第5期!AO17</f>
        <v>0</v>
      </c>
      <c r="W13" s="115">
        <f>第5期!AO18</f>
        <v>0</v>
      </c>
      <c r="X13" s="115">
        <f>第5期!AO19</f>
        <v>0</v>
      </c>
      <c r="Y13" s="115">
        <f>第5期!AO20</f>
        <v>0</v>
      </c>
      <c r="Z13" s="74"/>
      <c r="AA13" s="73"/>
      <c r="AB13" s="151" t="s">
        <v>206</v>
      </c>
      <c r="AC13" s="153" t="e">
        <f t="shared" si="31"/>
        <v>#DIV/0!</v>
      </c>
      <c r="AD13" s="153" t="e">
        <f t="shared" si="31"/>
        <v>#DIV/0!</v>
      </c>
      <c r="AE13" s="153" t="e">
        <f t="shared" si="31"/>
        <v>#DIV/0!</v>
      </c>
      <c r="AF13" s="153" t="e">
        <f t="shared" si="31"/>
        <v>#DIV/0!</v>
      </c>
      <c r="AG13" s="169" t="str">
        <f>IF(AJ24="","未粘报表",IF(INT(VLOOKUP(初期!$G$52,$AI$107:$AQ$126,3,0))=INT($E$60),"成本正确","成本错误"))</f>
        <v>未粘报表</v>
      </c>
      <c r="AH13" s="170" t="str">
        <f>IF(AJ24="","未粘报表",IF(INT(VLOOKUP(初期!$G$52,$AI$107:$AQ$126,6,0))=INT($F$81),"分红正确","分红错误"))</f>
        <v>未粘报表</v>
      </c>
      <c r="AI13" s="359"/>
      <c r="AJ13" s="359"/>
      <c r="AK13" s="360"/>
      <c r="AL13" s="360">
        <f>V43</f>
        <v>0</v>
      </c>
      <c r="AM13" s="361"/>
      <c r="AN13" s="362"/>
      <c r="AO13" s="360"/>
      <c r="AP13" s="360"/>
      <c r="AQ13" s="369"/>
      <c r="AR13" s="103"/>
      <c r="AS13" s="103">
        <f t="shared" si="27"/>
        <v>0</v>
      </c>
      <c r="AT13" s="103"/>
      <c r="AU13" s="103"/>
      <c r="AV13" s="103"/>
      <c r="AW13" s="103"/>
      <c r="AZ13" s="193"/>
      <c r="BA13" s="196">
        <f t="shared" si="10"/>
        <v>0</v>
      </c>
      <c r="BB13" s="197">
        <f t="shared" si="11"/>
        <v>0</v>
      </c>
      <c r="BC13" s="197">
        <f t="shared" si="12"/>
        <v>0</v>
      </c>
      <c r="BD13" s="197">
        <f t="shared" si="13"/>
        <v>0</v>
      </c>
      <c r="BE13" s="197">
        <f t="shared" si="14"/>
        <v>0</v>
      </c>
      <c r="BF13" s="197">
        <f t="shared" si="15"/>
        <v>0</v>
      </c>
      <c r="BG13" s="197">
        <f t="shared" si="16"/>
        <v>0</v>
      </c>
      <c r="BH13" s="197">
        <f t="shared" si="17"/>
        <v>0</v>
      </c>
      <c r="BI13" s="197">
        <f t="shared" si="18"/>
        <v>0</v>
      </c>
      <c r="BJ13" s="197">
        <f t="shared" si="19"/>
        <v>0</v>
      </c>
      <c r="BK13" s="197">
        <f t="shared" si="20"/>
        <v>0</v>
      </c>
      <c r="BL13" s="197">
        <f t="shared" si="21"/>
        <v>0</v>
      </c>
      <c r="BM13" s="197">
        <f t="shared" si="22"/>
        <v>0</v>
      </c>
      <c r="BN13" s="197">
        <f t="shared" si="23"/>
        <v>0</v>
      </c>
      <c r="BO13" s="197">
        <f t="shared" si="24"/>
        <v>0</v>
      </c>
      <c r="BP13" s="197">
        <f t="shared" si="25"/>
        <v>0</v>
      </c>
      <c r="BQ13" s="197">
        <f t="shared" si="26"/>
        <v>0</v>
      </c>
      <c r="BR13" s="211"/>
      <c r="BS13" s="195">
        <f t="shared" si="0"/>
        <v>0</v>
      </c>
      <c r="BT13" s="201">
        <f t="shared" si="1"/>
        <v>0</v>
      </c>
      <c r="BU13" s="201">
        <f>第5期!AQ115*0.5</f>
        <v>0</v>
      </c>
      <c r="BV13" s="205" t="e">
        <f>AVERAGE(BT38:CI38)*初始化表!B$31</f>
        <v>#DIV/0!</v>
      </c>
      <c r="BW13" s="205" t="e">
        <f>$BT13*(AL115-BW$25)/BW$26*初始化表!B$30</f>
        <v>#DIV/0!</v>
      </c>
      <c r="BX13" s="205" t="e">
        <f>$BT13*(AM115-BX$25)/BX$26*初始化表!B$33</f>
        <v>#DIV/0!</v>
      </c>
      <c r="BY13" s="205" t="e">
        <f>$BT13*(AN115-BY$25)/BY$26*初始化表!B$32</f>
        <v>#DIV/0!</v>
      </c>
      <c r="BZ13" s="205" t="e">
        <f>$BT13*(AP115-BZ$25)/BZ$26*初始化表!B$34</f>
        <v>#DIV/0!</v>
      </c>
      <c r="CA13" s="205" t="e">
        <f>$BT$5*(AW115-CA$25)/CA$26*初始化表!B$36</f>
        <v>#DIV/0!</v>
      </c>
      <c r="CB13" s="205" t="e">
        <f t="shared" si="4"/>
        <v>#DIV/0!</v>
      </c>
      <c r="CC13" s="201">
        <f t="shared" si="5"/>
        <v>0</v>
      </c>
      <c r="CD13" s="229" t="e">
        <f t="shared" si="6"/>
        <v>#DIV/0!</v>
      </c>
      <c r="CE13" s="229">
        <f t="shared" si="7"/>
        <v>0</v>
      </c>
      <c r="CF13" s="229">
        <f t="shared" si="8"/>
        <v>0</v>
      </c>
      <c r="CG13" s="226"/>
      <c r="CH13" s="226"/>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row>
    <row r="14" s="61" customFormat="1" ht="16" customHeight="1" spans="1:121">
      <c r="A14" s="269" t="s">
        <v>523</v>
      </c>
      <c r="B14" s="71">
        <f t="shared" si="33"/>
        <v>0</v>
      </c>
      <c r="C14" s="71">
        <f t="shared" si="32"/>
        <v>0</v>
      </c>
      <c r="D14" s="71">
        <f t="shared" si="32"/>
        <v>0</v>
      </c>
      <c r="E14" s="71">
        <f t="shared" si="32"/>
        <v>0</v>
      </c>
      <c r="F14" s="269" t="s">
        <v>296</v>
      </c>
      <c r="G14" s="73"/>
      <c r="H14" s="269" t="s">
        <v>537</v>
      </c>
      <c r="I14" s="87" t="e">
        <f>2*(I13*初始化表!E18+J13*初始化表!F18+K13*初始化表!G18+初始化表!H18/初始化表!H17*(L13*初始化表!H17-1/5*(I13*初始化表!E17+J13*初始化表!F17+K13*初始化表!G17+L13*初始化表!H17)))/((I13*初始化表!E17+J13*初始化表!F17+K13*初始化表!G17+L13*初始化表!H17)*4/5)</f>
        <v>#DIV/0!</v>
      </c>
      <c r="J14" s="269" t="s">
        <v>538</v>
      </c>
      <c r="K14" s="269" t="s">
        <v>539</v>
      </c>
      <c r="L14" s="269" t="s">
        <v>540</v>
      </c>
      <c r="M14" s="85"/>
      <c r="N14" s="269" t="s">
        <v>541</v>
      </c>
      <c r="O14" s="269" t="s">
        <v>513</v>
      </c>
      <c r="P14" s="269" t="s">
        <v>514</v>
      </c>
      <c r="Q14" s="269" t="s">
        <v>515</v>
      </c>
      <c r="R14" s="269" t="s">
        <v>516</v>
      </c>
      <c r="S14" s="121"/>
      <c r="T14" s="120"/>
      <c r="U14" s="269" t="s">
        <v>524</v>
      </c>
      <c r="V14" s="115">
        <f>第5期!AO21</f>
        <v>0</v>
      </c>
      <c r="W14" s="115">
        <f>第5期!AO22</f>
        <v>0</v>
      </c>
      <c r="X14" s="115">
        <f>第5期!AO23</f>
        <v>0</v>
      </c>
      <c r="Y14" s="115">
        <f>第5期!AO24</f>
        <v>0</v>
      </c>
      <c r="Z14" s="74"/>
      <c r="AA14" s="73"/>
      <c r="AB14" s="151" t="s">
        <v>208</v>
      </c>
      <c r="AC14" s="153" t="e">
        <f t="shared" si="31"/>
        <v>#DIV/0!</v>
      </c>
      <c r="AD14" s="153" t="e">
        <f t="shared" si="31"/>
        <v>#DIV/0!</v>
      </c>
      <c r="AE14" s="153" t="e">
        <f t="shared" si="31"/>
        <v>#DIV/0!</v>
      </c>
      <c r="AF14" s="153" t="e">
        <f t="shared" si="31"/>
        <v>#DIV/0!</v>
      </c>
      <c r="AG14" s="74"/>
      <c r="AH14" s="307"/>
      <c r="AI14" s="359"/>
      <c r="AJ14" s="359"/>
      <c r="AK14" s="360"/>
      <c r="AL14" s="360">
        <f>W43</f>
        <v>0</v>
      </c>
      <c r="AM14" s="361"/>
      <c r="AN14" s="362"/>
      <c r="AO14" s="360"/>
      <c r="AP14" s="360"/>
      <c r="AQ14" s="369"/>
      <c r="AR14" s="103"/>
      <c r="AS14" s="103">
        <f t="shared" si="27"/>
        <v>0</v>
      </c>
      <c r="AT14" s="103"/>
      <c r="AU14" s="103"/>
      <c r="AV14" s="103"/>
      <c r="AW14" s="103"/>
      <c r="AZ14" s="193"/>
      <c r="BA14" s="196">
        <f t="shared" si="10"/>
        <v>0</v>
      </c>
      <c r="BB14" s="197">
        <f t="shared" si="11"/>
        <v>0</v>
      </c>
      <c r="BC14" s="197">
        <f t="shared" si="12"/>
        <v>0</v>
      </c>
      <c r="BD14" s="197">
        <f t="shared" si="13"/>
        <v>0</v>
      </c>
      <c r="BE14" s="197">
        <f t="shared" si="14"/>
        <v>0</v>
      </c>
      <c r="BF14" s="197">
        <f t="shared" si="15"/>
        <v>0</v>
      </c>
      <c r="BG14" s="197">
        <f t="shared" si="16"/>
        <v>0</v>
      </c>
      <c r="BH14" s="197">
        <f t="shared" si="17"/>
        <v>0</v>
      </c>
      <c r="BI14" s="197">
        <f t="shared" si="18"/>
        <v>0</v>
      </c>
      <c r="BJ14" s="197">
        <f t="shared" si="19"/>
        <v>0</v>
      </c>
      <c r="BK14" s="197">
        <f t="shared" si="20"/>
        <v>0</v>
      </c>
      <c r="BL14" s="197">
        <f t="shared" si="21"/>
        <v>0</v>
      </c>
      <c r="BM14" s="197">
        <f t="shared" si="22"/>
        <v>0</v>
      </c>
      <c r="BN14" s="197">
        <f t="shared" si="23"/>
        <v>0</v>
      </c>
      <c r="BO14" s="197">
        <f t="shared" si="24"/>
        <v>0</v>
      </c>
      <c r="BP14" s="197">
        <f t="shared" si="25"/>
        <v>0</v>
      </c>
      <c r="BQ14" s="197">
        <f t="shared" si="26"/>
        <v>0</v>
      </c>
      <c r="BR14" s="211"/>
      <c r="BS14" s="195">
        <f t="shared" si="0"/>
        <v>0</v>
      </c>
      <c r="BT14" s="201">
        <f t="shared" si="1"/>
        <v>0</v>
      </c>
      <c r="BU14" s="201">
        <f>第5期!AQ116*0.5</f>
        <v>0</v>
      </c>
      <c r="BV14" s="205" t="e">
        <f>AVERAGE(BT39:CI39)*初始化表!B$31</f>
        <v>#DIV/0!</v>
      </c>
      <c r="BW14" s="205" t="e">
        <f>$BT14*(AL116-BW$25)/BW$26*初始化表!B$30</f>
        <v>#DIV/0!</v>
      </c>
      <c r="BX14" s="205" t="e">
        <f>$BT14*(AM116-BX$25)/BX$26*初始化表!B$33</f>
        <v>#DIV/0!</v>
      </c>
      <c r="BY14" s="205" t="e">
        <f>$BT14*(AN116-BY$25)/BY$26*初始化表!B$32</f>
        <v>#DIV/0!</v>
      </c>
      <c r="BZ14" s="205" t="e">
        <f>$BT14*(AP116-BZ$25)/BZ$26*初始化表!B$34</f>
        <v>#DIV/0!</v>
      </c>
      <c r="CA14" s="205" t="e">
        <f>$BT$5*(AW116-CA$25)/CA$26*初始化表!B$36</f>
        <v>#DIV/0!</v>
      </c>
      <c r="CB14" s="205" t="e">
        <f t="shared" si="4"/>
        <v>#DIV/0!</v>
      </c>
      <c r="CC14" s="201">
        <f t="shared" si="5"/>
        <v>0</v>
      </c>
      <c r="CD14" s="229" t="e">
        <f t="shared" si="6"/>
        <v>#DIV/0!</v>
      </c>
      <c r="CE14" s="229">
        <f t="shared" si="7"/>
        <v>0</v>
      </c>
      <c r="CF14" s="229">
        <f t="shared" si="8"/>
        <v>0</v>
      </c>
      <c r="CG14" s="226"/>
      <c r="CH14" s="226"/>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c r="DP14" s="228"/>
      <c r="DQ14" s="228"/>
    </row>
    <row r="15" s="61" customFormat="1" ht="16" customHeight="1" spans="1:121">
      <c r="A15" s="269" t="s">
        <v>524</v>
      </c>
      <c r="B15" s="71">
        <f t="shared" si="33"/>
        <v>0</v>
      </c>
      <c r="C15" s="71">
        <f t="shared" si="32"/>
        <v>0</v>
      </c>
      <c r="D15" s="71">
        <f t="shared" si="32"/>
        <v>0</v>
      </c>
      <c r="E15" s="71">
        <f t="shared" si="32"/>
        <v>0</v>
      </c>
      <c r="F15" s="272" t="e">
        <f>F64</f>
        <v>#DIV/0!</v>
      </c>
      <c r="G15" s="73"/>
      <c r="H15" s="269" t="s">
        <v>542</v>
      </c>
      <c r="I15" s="87" t="e">
        <f>第5期!H17/第5期!N49</f>
        <v>#DIV/0!</v>
      </c>
      <c r="J15" s="87" t="e">
        <f>N49*I14-H17</f>
        <v>#DIV/0!</v>
      </c>
      <c r="K15" s="87" t="e">
        <f>N49*I15-H17</f>
        <v>#DIV/0!</v>
      </c>
      <c r="L15" s="77" t="e">
        <f>C22+I15*(O49-N49)</f>
        <v>#DIV/0!</v>
      </c>
      <c r="M15" s="85"/>
      <c r="N15" s="269" t="s">
        <v>198</v>
      </c>
      <c r="O15" s="71" t="e">
        <f t="shared" ref="O15:R16" si="34">INT((1+O10+IF(V42&gt;V17,(V17-V42)/V17/15,(V17-V42)/V17/10))*V23)</f>
        <v>#DIV/0!</v>
      </c>
      <c r="P15" s="71" t="e">
        <f t="shared" si="34"/>
        <v>#DIV/0!</v>
      </c>
      <c r="Q15" s="71" t="e">
        <f t="shared" si="34"/>
        <v>#DIV/0!</v>
      </c>
      <c r="R15" s="71" t="e">
        <f t="shared" si="34"/>
        <v>#DIV/0!</v>
      </c>
      <c r="S15" s="126"/>
      <c r="T15" s="120"/>
      <c r="U15" s="123"/>
      <c r="V15" s="74"/>
      <c r="W15" s="74"/>
      <c r="X15" s="74"/>
      <c r="Y15" s="74"/>
      <c r="Z15" s="74"/>
      <c r="AA15" s="73"/>
      <c r="AB15" s="155"/>
      <c r="AC15" s="155"/>
      <c r="AD15" s="155"/>
      <c r="AE15" s="155"/>
      <c r="AF15" s="155"/>
      <c r="AG15" s="155"/>
      <c r="AH15" s="73"/>
      <c r="AI15" s="359"/>
      <c r="AJ15" s="359"/>
      <c r="AK15" s="360"/>
      <c r="AL15" s="360">
        <f>X43</f>
        <v>0</v>
      </c>
      <c r="AM15" s="361"/>
      <c r="AN15" s="362"/>
      <c r="AO15" s="360"/>
      <c r="AP15" s="360"/>
      <c r="AQ15" s="369"/>
      <c r="AR15" s="103"/>
      <c r="AS15" s="103">
        <f t="shared" si="27"/>
        <v>0</v>
      </c>
      <c r="AT15" s="103"/>
      <c r="AU15" s="103"/>
      <c r="AV15" s="103"/>
      <c r="AW15" s="103"/>
      <c r="AZ15" s="193"/>
      <c r="BA15" s="196">
        <f t="shared" si="10"/>
        <v>0</v>
      </c>
      <c r="BB15" s="197">
        <f t="shared" si="11"/>
        <v>0</v>
      </c>
      <c r="BC15" s="197">
        <f t="shared" si="12"/>
        <v>0</v>
      </c>
      <c r="BD15" s="197">
        <f t="shared" si="13"/>
        <v>0</v>
      </c>
      <c r="BE15" s="197">
        <f t="shared" si="14"/>
        <v>0</v>
      </c>
      <c r="BF15" s="197">
        <f t="shared" si="15"/>
        <v>0</v>
      </c>
      <c r="BG15" s="197">
        <f t="shared" si="16"/>
        <v>0</v>
      </c>
      <c r="BH15" s="197">
        <f t="shared" si="17"/>
        <v>0</v>
      </c>
      <c r="BI15" s="197">
        <f t="shared" si="18"/>
        <v>0</v>
      </c>
      <c r="BJ15" s="197">
        <f t="shared" si="19"/>
        <v>0</v>
      </c>
      <c r="BK15" s="197">
        <f t="shared" si="20"/>
        <v>0</v>
      </c>
      <c r="BL15" s="197">
        <f t="shared" si="21"/>
        <v>0</v>
      </c>
      <c r="BM15" s="197">
        <f t="shared" si="22"/>
        <v>0</v>
      </c>
      <c r="BN15" s="197">
        <f t="shared" si="23"/>
        <v>0</v>
      </c>
      <c r="BO15" s="197">
        <f t="shared" si="24"/>
        <v>0</v>
      </c>
      <c r="BP15" s="197">
        <f t="shared" si="25"/>
        <v>0</v>
      </c>
      <c r="BQ15" s="197">
        <f t="shared" si="26"/>
        <v>0</v>
      </c>
      <c r="BR15" s="211"/>
      <c r="BS15" s="195">
        <f t="shared" si="0"/>
        <v>0</v>
      </c>
      <c r="BT15" s="201">
        <f t="shared" si="1"/>
        <v>0</v>
      </c>
      <c r="BU15" s="201">
        <f>第5期!AQ117*0.5</f>
        <v>0</v>
      </c>
      <c r="BV15" s="205" t="e">
        <f>AVERAGE(BT40:CI40)*初始化表!B$31</f>
        <v>#DIV/0!</v>
      </c>
      <c r="BW15" s="205" t="e">
        <f>$BT15*(AL117-BW$25)/BW$26*初始化表!B$30</f>
        <v>#DIV/0!</v>
      </c>
      <c r="BX15" s="205" t="e">
        <f>$BT15*(AM117-BX$25)/BX$26*初始化表!B$33</f>
        <v>#DIV/0!</v>
      </c>
      <c r="BY15" s="205" t="e">
        <f>$BT15*(AN117-BY$25)/BY$26*初始化表!B$32</f>
        <v>#DIV/0!</v>
      </c>
      <c r="BZ15" s="205" t="e">
        <f>$BT15*(AP117-BZ$25)/BZ$26*初始化表!B$34</f>
        <v>#DIV/0!</v>
      </c>
      <c r="CA15" s="205" t="e">
        <f>$BT$5*(AW117-CA$25)/CA$26*初始化表!B$36</f>
        <v>#DIV/0!</v>
      </c>
      <c r="CB15" s="205" t="e">
        <f t="shared" si="4"/>
        <v>#DIV/0!</v>
      </c>
      <c r="CC15" s="201">
        <f t="shared" si="5"/>
        <v>0</v>
      </c>
      <c r="CD15" s="229" t="e">
        <f t="shared" si="6"/>
        <v>#DIV/0!</v>
      </c>
      <c r="CE15" s="229">
        <f t="shared" si="7"/>
        <v>0</v>
      </c>
      <c r="CF15" s="229">
        <f t="shared" si="8"/>
        <v>0</v>
      </c>
      <c r="CG15" s="226"/>
      <c r="CH15" s="226"/>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c r="DP15" s="228"/>
      <c r="DQ15" s="228"/>
    </row>
    <row r="16" s="61" customFormat="1" ht="16" customHeight="1" spans="1:121">
      <c r="A16" s="269" t="s">
        <v>298</v>
      </c>
      <c r="B16" s="269" t="s">
        <v>103</v>
      </c>
      <c r="C16" s="269" t="s">
        <v>299</v>
      </c>
      <c r="D16" s="269" t="s">
        <v>104</v>
      </c>
      <c r="E16" s="269" t="s">
        <v>300</v>
      </c>
      <c r="F16" s="269" t="s">
        <v>110</v>
      </c>
      <c r="G16" s="73"/>
      <c r="H16" s="269" t="s">
        <v>543</v>
      </c>
      <c r="I16" s="269" t="s">
        <v>544</v>
      </c>
      <c r="J16" s="269" t="s">
        <v>545</v>
      </c>
      <c r="K16" s="269" t="s">
        <v>546</v>
      </c>
      <c r="L16" s="269" t="s">
        <v>547</v>
      </c>
      <c r="M16" s="85"/>
      <c r="N16" s="269" t="s">
        <v>202</v>
      </c>
      <c r="O16" s="71" t="e">
        <f t="shared" si="34"/>
        <v>#DIV/0!</v>
      </c>
      <c r="P16" s="71" t="e">
        <f t="shared" si="34"/>
        <v>#DIV/0!</v>
      </c>
      <c r="Q16" s="71" t="e">
        <f t="shared" si="34"/>
        <v>#DIV/0!</v>
      </c>
      <c r="R16" s="71" t="e">
        <f t="shared" si="34"/>
        <v>#DIV/0!</v>
      </c>
      <c r="S16" s="126"/>
      <c r="T16" s="120"/>
      <c r="U16" s="269" t="s">
        <v>548</v>
      </c>
      <c r="V16" s="269" t="s">
        <v>513</v>
      </c>
      <c r="W16" s="269" t="s">
        <v>514</v>
      </c>
      <c r="X16" s="269" t="s">
        <v>515</v>
      </c>
      <c r="Y16" s="269" t="s">
        <v>516</v>
      </c>
      <c r="Z16" s="269" t="s">
        <v>549</v>
      </c>
      <c r="AA16" s="73"/>
      <c r="AB16" s="151" t="s">
        <v>550</v>
      </c>
      <c r="AC16" s="151" t="s">
        <v>459</v>
      </c>
      <c r="AD16" s="151" t="s">
        <v>460</v>
      </c>
      <c r="AE16" s="151" t="s">
        <v>461</v>
      </c>
      <c r="AF16" s="151" t="s">
        <v>462</v>
      </c>
      <c r="AG16" s="74"/>
      <c r="AH16" s="73"/>
      <c r="AI16" s="359"/>
      <c r="AJ16" s="359"/>
      <c r="AK16" s="360"/>
      <c r="AL16" s="360">
        <f>Y43</f>
        <v>0</v>
      </c>
      <c r="AM16" s="361"/>
      <c r="AN16" s="362"/>
      <c r="AO16" s="360"/>
      <c r="AP16" s="360"/>
      <c r="AQ16" s="369"/>
      <c r="AR16" s="103">
        <f>SUM(AL13:AL16)</f>
        <v>0</v>
      </c>
      <c r="AS16" s="103">
        <f t="shared" si="27"/>
        <v>0</v>
      </c>
      <c r="AT16" s="103">
        <f>SUMIF(AS13:AS16,"&gt;=0",AS13:AS16)</f>
        <v>0</v>
      </c>
      <c r="AU16" s="103">
        <f>SUM(AO13:AO16)</f>
        <v>0</v>
      </c>
      <c r="AV16" s="103">
        <f>SUM(AP13:AP16)</f>
        <v>0</v>
      </c>
      <c r="AW16" s="103">
        <f>SUM(AQ13:AQ16)</f>
        <v>0</v>
      </c>
      <c r="AZ16" s="193"/>
      <c r="BA16" s="196">
        <f t="shared" si="10"/>
        <v>0</v>
      </c>
      <c r="BB16" s="197">
        <f t="shared" si="11"/>
        <v>0</v>
      </c>
      <c r="BC16" s="197">
        <f t="shared" si="12"/>
        <v>0</v>
      </c>
      <c r="BD16" s="197">
        <f t="shared" si="13"/>
        <v>0</v>
      </c>
      <c r="BE16" s="197">
        <f t="shared" si="14"/>
        <v>0</v>
      </c>
      <c r="BF16" s="197">
        <f t="shared" si="15"/>
        <v>0</v>
      </c>
      <c r="BG16" s="197">
        <f t="shared" si="16"/>
        <v>0</v>
      </c>
      <c r="BH16" s="197">
        <f t="shared" si="17"/>
        <v>0</v>
      </c>
      <c r="BI16" s="197">
        <f t="shared" si="18"/>
        <v>0</v>
      </c>
      <c r="BJ16" s="197">
        <f t="shared" si="19"/>
        <v>0</v>
      </c>
      <c r="BK16" s="197">
        <f t="shared" si="20"/>
        <v>0</v>
      </c>
      <c r="BL16" s="197">
        <f t="shared" si="21"/>
        <v>0</v>
      </c>
      <c r="BM16" s="197">
        <f t="shared" si="22"/>
        <v>0</v>
      </c>
      <c r="BN16" s="197">
        <f t="shared" si="23"/>
        <v>0</v>
      </c>
      <c r="BO16" s="197">
        <f t="shared" si="24"/>
        <v>0</v>
      </c>
      <c r="BP16" s="197">
        <f t="shared" si="25"/>
        <v>0</v>
      </c>
      <c r="BQ16" s="197">
        <f t="shared" si="26"/>
        <v>0</v>
      </c>
      <c r="BR16" s="211"/>
      <c r="BS16" s="195">
        <f t="shared" si="0"/>
        <v>0</v>
      </c>
      <c r="BT16" s="201">
        <f t="shared" si="1"/>
        <v>0</v>
      </c>
      <c r="BU16" s="201">
        <f>第5期!AQ118*0.5</f>
        <v>0</v>
      </c>
      <c r="BV16" s="205" t="e">
        <f>AVERAGE(BT41:CI41)*初始化表!B$31</f>
        <v>#DIV/0!</v>
      </c>
      <c r="BW16" s="205" t="e">
        <f>$BT16*(AL118-BW$25)/BW$26*初始化表!B$30</f>
        <v>#DIV/0!</v>
      </c>
      <c r="BX16" s="205" t="e">
        <f>$BT16*(AM118-BX$25)/BX$26*初始化表!B$33</f>
        <v>#DIV/0!</v>
      </c>
      <c r="BY16" s="205" t="e">
        <f>$BT16*(AN118-BY$25)/BY$26*初始化表!B$32</f>
        <v>#DIV/0!</v>
      </c>
      <c r="BZ16" s="205" t="e">
        <f>$BT16*(AP118-BZ$25)/BZ$26*初始化表!B$34</f>
        <v>#DIV/0!</v>
      </c>
      <c r="CA16" s="205" t="e">
        <f>$BT$5*(AW118-CA$25)/CA$26*初始化表!B$36</f>
        <v>#DIV/0!</v>
      </c>
      <c r="CB16" s="205" t="e">
        <f t="shared" si="4"/>
        <v>#DIV/0!</v>
      </c>
      <c r="CC16" s="201">
        <f t="shared" si="5"/>
        <v>0</v>
      </c>
      <c r="CD16" s="229" t="e">
        <f t="shared" si="6"/>
        <v>#DIV/0!</v>
      </c>
      <c r="CE16" s="229">
        <f t="shared" si="7"/>
        <v>0</v>
      </c>
      <c r="CF16" s="229">
        <f t="shared" si="8"/>
        <v>0</v>
      </c>
      <c r="CG16" s="226"/>
      <c r="CH16" s="226"/>
      <c r="CI16" s="227"/>
      <c r="CJ16" s="228"/>
      <c r="CK16" s="227"/>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c r="DQ16" s="228"/>
    </row>
    <row r="17" s="61" customFormat="1" ht="16" customHeight="1" spans="1:121">
      <c r="A17" s="269" t="s">
        <v>521</v>
      </c>
      <c r="B17" s="71">
        <f>I25</f>
        <v>0</v>
      </c>
      <c r="C17" s="71">
        <f t="shared" ref="C17:E20" si="35">J25</f>
        <v>0</v>
      </c>
      <c r="D17" s="71">
        <f t="shared" si="35"/>
        <v>0</v>
      </c>
      <c r="E17" s="71">
        <f t="shared" si="35"/>
        <v>0</v>
      </c>
      <c r="F17" s="72">
        <f>J6</f>
        <v>0</v>
      </c>
      <c r="G17" s="73"/>
      <c r="H17" s="77">
        <f>第5期!F68</f>
        <v>0</v>
      </c>
      <c r="I17" s="77">
        <f>INT(0.5*H17)</f>
        <v>0</v>
      </c>
      <c r="J17" s="77">
        <f>IF(初始化表!B1=1,INT(3%*H17),INT(3%*H17+0.99))</f>
        <v>0</v>
      </c>
      <c r="K17" s="77">
        <f>INT(0.1*H17)</f>
        <v>0</v>
      </c>
      <c r="L17" s="77">
        <f>H17+B22-C22</f>
        <v>0</v>
      </c>
      <c r="M17" s="85"/>
      <c r="N17" s="269" t="s">
        <v>206</v>
      </c>
      <c r="O17" s="71" t="e">
        <f t="shared" ref="O17:R18" si="36">INT((1+O12+IF(V44&gt;V19,(V19-V44)/V19/20,(V19-V44)/V19/8))*V25)</f>
        <v>#DIV/0!</v>
      </c>
      <c r="P17" s="71" t="e">
        <f t="shared" si="36"/>
        <v>#DIV/0!</v>
      </c>
      <c r="Q17" s="71" t="e">
        <f t="shared" si="36"/>
        <v>#DIV/0!</v>
      </c>
      <c r="R17" s="71" t="e">
        <f t="shared" si="36"/>
        <v>#DIV/0!</v>
      </c>
      <c r="S17" s="126"/>
      <c r="T17" s="120"/>
      <c r="U17" s="269" t="s">
        <v>521</v>
      </c>
      <c r="V17" s="115">
        <f>第5期!AL9</f>
        <v>0</v>
      </c>
      <c r="W17" s="115">
        <f>第5期!AL10</f>
        <v>0</v>
      </c>
      <c r="X17" s="115">
        <f>第5期!AL11</f>
        <v>0</v>
      </c>
      <c r="Y17" s="115">
        <f>第5期!AL12</f>
        <v>0</v>
      </c>
      <c r="Z17" s="115">
        <f>SUM(V17:Y17)</f>
        <v>0</v>
      </c>
      <c r="AA17" s="73"/>
      <c r="AB17" s="151" t="s">
        <v>198</v>
      </c>
      <c r="AC17" s="156" t="e">
        <f>AC11/初始化表!$E$18</f>
        <v>#DIV/0!</v>
      </c>
      <c r="AD17" s="156" t="e">
        <f>AD11/初始化表!$E$18</f>
        <v>#DIV/0!</v>
      </c>
      <c r="AE17" s="156" t="e">
        <f>AE11/初始化表!$E$18</f>
        <v>#DIV/0!</v>
      </c>
      <c r="AF17" s="156" t="e">
        <f>AF11/初始化表!$E$18</f>
        <v>#DIV/0!</v>
      </c>
      <c r="AG17" s="74"/>
      <c r="AH17" s="73"/>
      <c r="AI17" s="359"/>
      <c r="AJ17" s="359"/>
      <c r="AK17" s="360"/>
      <c r="AL17" s="360">
        <f>V44</f>
        <v>0</v>
      </c>
      <c r="AM17" s="361"/>
      <c r="AN17" s="362"/>
      <c r="AO17" s="360"/>
      <c r="AP17" s="360"/>
      <c r="AQ17" s="369"/>
      <c r="AR17" s="103"/>
      <c r="AS17" s="103">
        <f t="shared" si="27"/>
        <v>0</v>
      </c>
      <c r="AT17" s="103"/>
      <c r="AU17" s="103"/>
      <c r="AV17" s="103"/>
      <c r="AW17" s="103"/>
      <c r="AZ17" s="193"/>
      <c r="BA17" s="196">
        <f t="shared" si="10"/>
        <v>0</v>
      </c>
      <c r="BB17" s="197">
        <f t="shared" si="11"/>
        <v>0</v>
      </c>
      <c r="BC17" s="197">
        <f t="shared" si="12"/>
        <v>0</v>
      </c>
      <c r="BD17" s="197">
        <f t="shared" si="13"/>
        <v>0</v>
      </c>
      <c r="BE17" s="197">
        <f t="shared" si="14"/>
        <v>0</v>
      </c>
      <c r="BF17" s="197">
        <f t="shared" si="15"/>
        <v>0</v>
      </c>
      <c r="BG17" s="197">
        <f t="shared" si="16"/>
        <v>0</v>
      </c>
      <c r="BH17" s="197">
        <f t="shared" si="17"/>
        <v>0</v>
      </c>
      <c r="BI17" s="197">
        <f t="shared" si="18"/>
        <v>0</v>
      </c>
      <c r="BJ17" s="197">
        <f t="shared" si="19"/>
        <v>0</v>
      </c>
      <c r="BK17" s="197">
        <f t="shared" si="20"/>
        <v>0</v>
      </c>
      <c r="BL17" s="197">
        <f t="shared" si="21"/>
        <v>0</v>
      </c>
      <c r="BM17" s="197">
        <f t="shared" si="22"/>
        <v>0</v>
      </c>
      <c r="BN17" s="197">
        <f t="shared" si="23"/>
        <v>0</v>
      </c>
      <c r="BO17" s="197">
        <f t="shared" si="24"/>
        <v>0</v>
      </c>
      <c r="BP17" s="197">
        <f t="shared" si="25"/>
        <v>0</v>
      </c>
      <c r="BQ17" s="197">
        <f t="shared" si="26"/>
        <v>0</v>
      </c>
      <c r="BR17" s="211"/>
      <c r="BS17" s="195">
        <f t="shared" si="0"/>
        <v>0</v>
      </c>
      <c r="BT17" s="201">
        <f t="shared" si="1"/>
        <v>0</v>
      </c>
      <c r="BU17" s="201">
        <f>第5期!AQ119*0.5</f>
        <v>0</v>
      </c>
      <c r="BV17" s="205" t="e">
        <f>AVERAGE(BT42:CI42)*初始化表!B$31</f>
        <v>#DIV/0!</v>
      </c>
      <c r="BW17" s="205" t="e">
        <f>$BT17*(AL119-BW$25)/BW$26*初始化表!B$30</f>
        <v>#DIV/0!</v>
      </c>
      <c r="BX17" s="205" t="e">
        <f>$BT17*(AM119-BX$25)/BX$26*初始化表!B$33</f>
        <v>#DIV/0!</v>
      </c>
      <c r="BY17" s="205" t="e">
        <f>$BT17*(AN119-BY$25)/BY$26*初始化表!B$32</f>
        <v>#DIV/0!</v>
      </c>
      <c r="BZ17" s="205" t="e">
        <f>$BT17*(AP119-BZ$25)/BZ$26*初始化表!B$34</f>
        <v>#DIV/0!</v>
      </c>
      <c r="CA17" s="205" t="e">
        <f>$BT$5*(AW119-CA$25)/CA$26*初始化表!B$36</f>
        <v>#DIV/0!</v>
      </c>
      <c r="CB17" s="205" t="e">
        <f t="shared" si="4"/>
        <v>#DIV/0!</v>
      </c>
      <c r="CC17" s="201">
        <f t="shared" si="5"/>
        <v>0</v>
      </c>
      <c r="CD17" s="229" t="e">
        <f t="shared" si="6"/>
        <v>#DIV/0!</v>
      </c>
      <c r="CE17" s="229">
        <f t="shared" si="7"/>
        <v>0</v>
      </c>
      <c r="CF17" s="229">
        <f t="shared" si="8"/>
        <v>0</v>
      </c>
      <c r="CG17" s="226"/>
      <c r="CH17" s="226"/>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c r="DP17" s="228"/>
      <c r="DQ17" s="228"/>
    </row>
    <row r="18" s="61" customFormat="1" ht="16" customHeight="1" spans="1:121">
      <c r="A18" s="269" t="s">
        <v>522</v>
      </c>
      <c r="B18" s="71">
        <f t="shared" ref="B18:B20" si="37">I26</f>
        <v>0</v>
      </c>
      <c r="C18" s="71">
        <f t="shared" si="35"/>
        <v>0</v>
      </c>
      <c r="D18" s="71">
        <f t="shared" si="35"/>
        <v>0</v>
      </c>
      <c r="E18" s="71">
        <f t="shared" si="35"/>
        <v>0</v>
      </c>
      <c r="F18" s="72">
        <f t="shared" ref="F18:F20" si="38">J7</f>
        <v>0</v>
      </c>
      <c r="G18" s="73"/>
      <c r="H18" s="352" t="s">
        <v>551</v>
      </c>
      <c r="I18" s="355"/>
      <c r="J18" s="352" t="s">
        <v>552</v>
      </c>
      <c r="K18" s="356">
        <f>J17</f>
        <v>0</v>
      </c>
      <c r="L18" s="74"/>
      <c r="M18" s="85"/>
      <c r="N18" s="269" t="s">
        <v>208</v>
      </c>
      <c r="O18" s="71" t="e">
        <f t="shared" si="36"/>
        <v>#DIV/0!</v>
      </c>
      <c r="P18" s="71" t="e">
        <f t="shared" si="36"/>
        <v>#DIV/0!</v>
      </c>
      <c r="Q18" s="71" t="e">
        <f t="shared" si="36"/>
        <v>#DIV/0!</v>
      </c>
      <c r="R18" s="71" t="e">
        <f t="shared" si="36"/>
        <v>#DIV/0!</v>
      </c>
      <c r="S18" s="126"/>
      <c r="T18" s="287" t="s">
        <v>716</v>
      </c>
      <c r="U18" s="269" t="s">
        <v>522</v>
      </c>
      <c r="V18" s="115">
        <f>第5期!AL13</f>
        <v>0</v>
      </c>
      <c r="W18" s="115">
        <f>第5期!AL14</f>
        <v>0</v>
      </c>
      <c r="X18" s="115">
        <f>第5期!AL15</f>
        <v>0</v>
      </c>
      <c r="Y18" s="115">
        <f>第5期!AL16</f>
        <v>0</v>
      </c>
      <c r="Z18" s="115">
        <f>SUM(V18:Y18)</f>
        <v>0</v>
      </c>
      <c r="AA18" s="73"/>
      <c r="AB18" s="151" t="s">
        <v>202</v>
      </c>
      <c r="AC18" s="156" t="e">
        <f>AC12/初始化表!$F$18</f>
        <v>#DIV/0!</v>
      </c>
      <c r="AD18" s="156" t="e">
        <f>AD12/初始化表!$F$18</f>
        <v>#DIV/0!</v>
      </c>
      <c r="AE18" s="156" t="e">
        <f>AE12/初始化表!$F$18</f>
        <v>#DIV/0!</v>
      </c>
      <c r="AF18" s="156" t="e">
        <f>AF12/初始化表!$F$18</f>
        <v>#DIV/0!</v>
      </c>
      <c r="AG18" s="74"/>
      <c r="AH18" s="73"/>
      <c r="AI18" s="359"/>
      <c r="AJ18" s="359"/>
      <c r="AK18" s="360"/>
      <c r="AL18" s="360">
        <f>W44</f>
        <v>0</v>
      </c>
      <c r="AM18" s="361"/>
      <c r="AN18" s="362"/>
      <c r="AO18" s="360"/>
      <c r="AP18" s="360"/>
      <c r="AQ18" s="369"/>
      <c r="AR18" s="103"/>
      <c r="AS18" s="103">
        <f t="shared" si="27"/>
        <v>0</v>
      </c>
      <c r="AT18" s="103"/>
      <c r="AU18" s="103"/>
      <c r="AV18" s="103"/>
      <c r="AW18" s="103"/>
      <c r="AZ18" s="193"/>
      <c r="BA18" s="196">
        <f t="shared" si="10"/>
        <v>0</v>
      </c>
      <c r="BB18" s="197">
        <f t="shared" si="11"/>
        <v>0</v>
      </c>
      <c r="BC18" s="197">
        <f t="shared" si="12"/>
        <v>0</v>
      </c>
      <c r="BD18" s="197">
        <f t="shared" si="13"/>
        <v>0</v>
      </c>
      <c r="BE18" s="197">
        <f t="shared" si="14"/>
        <v>0</v>
      </c>
      <c r="BF18" s="197">
        <f t="shared" si="15"/>
        <v>0</v>
      </c>
      <c r="BG18" s="197">
        <f t="shared" si="16"/>
        <v>0</v>
      </c>
      <c r="BH18" s="197">
        <f t="shared" si="17"/>
        <v>0</v>
      </c>
      <c r="BI18" s="197">
        <f t="shared" si="18"/>
        <v>0</v>
      </c>
      <c r="BJ18" s="197">
        <f t="shared" si="19"/>
        <v>0</v>
      </c>
      <c r="BK18" s="197">
        <f t="shared" si="20"/>
        <v>0</v>
      </c>
      <c r="BL18" s="197">
        <f t="shared" si="21"/>
        <v>0</v>
      </c>
      <c r="BM18" s="197">
        <f t="shared" si="22"/>
        <v>0</v>
      </c>
      <c r="BN18" s="197">
        <f t="shared" si="23"/>
        <v>0</v>
      </c>
      <c r="BO18" s="197">
        <f t="shared" si="24"/>
        <v>0</v>
      </c>
      <c r="BP18" s="197">
        <f t="shared" si="25"/>
        <v>0</v>
      </c>
      <c r="BQ18" s="197">
        <f t="shared" si="26"/>
        <v>0</v>
      </c>
      <c r="BR18" s="211"/>
      <c r="BS18" s="195">
        <f t="shared" si="0"/>
        <v>0</v>
      </c>
      <c r="BT18" s="201">
        <f t="shared" si="1"/>
        <v>0</v>
      </c>
      <c r="BU18" s="201">
        <f>第5期!AQ120*0.5</f>
        <v>0</v>
      </c>
      <c r="BV18" s="205" t="e">
        <f>AVERAGE(BT43:CI43)*初始化表!B$31</f>
        <v>#DIV/0!</v>
      </c>
      <c r="BW18" s="205" t="e">
        <f>$BT18*(AL120-BW$25)/BW$26*初始化表!B$30</f>
        <v>#DIV/0!</v>
      </c>
      <c r="BX18" s="205" t="e">
        <f>$BT18*(AM120-BX$25)/BX$26*初始化表!B$33</f>
        <v>#DIV/0!</v>
      </c>
      <c r="BY18" s="205" t="e">
        <f>$BT18*(AN120-BY$25)/BY$26*初始化表!B$32</f>
        <v>#DIV/0!</v>
      </c>
      <c r="BZ18" s="205" t="e">
        <f>$BT18*(AP120-BZ$25)/BZ$26*初始化表!B$34</f>
        <v>#DIV/0!</v>
      </c>
      <c r="CA18" s="205" t="e">
        <f>$BT$5*(AW120-CA$25)/CA$26*初始化表!B$36</f>
        <v>#DIV/0!</v>
      </c>
      <c r="CB18" s="205" t="e">
        <f t="shared" si="4"/>
        <v>#DIV/0!</v>
      </c>
      <c r="CC18" s="201">
        <f t="shared" si="5"/>
        <v>0</v>
      </c>
      <c r="CD18" s="229" t="e">
        <f t="shared" si="6"/>
        <v>#DIV/0!</v>
      </c>
      <c r="CE18" s="229">
        <f t="shared" si="7"/>
        <v>0</v>
      </c>
      <c r="CF18" s="229">
        <f t="shared" si="8"/>
        <v>0</v>
      </c>
      <c r="CG18" s="226"/>
      <c r="CH18" s="226"/>
      <c r="CI18" s="227"/>
      <c r="CJ18" s="228"/>
      <c r="CK18" s="227"/>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c r="DP18" s="228"/>
      <c r="DQ18" s="228"/>
    </row>
    <row r="19" s="61" customFormat="1" ht="16" customHeight="1" spans="1:121">
      <c r="A19" s="269" t="s">
        <v>523</v>
      </c>
      <c r="B19" s="71">
        <f t="shared" si="37"/>
        <v>0</v>
      </c>
      <c r="C19" s="71">
        <f t="shared" si="35"/>
        <v>0</v>
      </c>
      <c r="D19" s="71">
        <f t="shared" si="35"/>
        <v>0</v>
      </c>
      <c r="E19" s="71">
        <f t="shared" si="35"/>
        <v>0</v>
      </c>
      <c r="F19" s="72">
        <f t="shared" si="38"/>
        <v>0</v>
      </c>
      <c r="G19" s="73"/>
      <c r="H19" s="270"/>
      <c r="I19" s="269" t="s">
        <v>554</v>
      </c>
      <c r="J19" s="269" t="s">
        <v>555</v>
      </c>
      <c r="K19" s="269" t="s">
        <v>556</v>
      </c>
      <c r="L19" s="91"/>
      <c r="M19" s="85"/>
      <c r="N19" s="269" t="s">
        <v>557</v>
      </c>
      <c r="O19" s="269" t="s">
        <v>513</v>
      </c>
      <c r="P19" s="269" t="s">
        <v>514</v>
      </c>
      <c r="Q19" s="269" t="s">
        <v>515</v>
      </c>
      <c r="R19" s="269" t="s">
        <v>516</v>
      </c>
      <c r="S19" s="121"/>
      <c r="T19" s="287"/>
      <c r="U19" s="269" t="s">
        <v>523</v>
      </c>
      <c r="V19" s="115">
        <f>第5期!AL17</f>
        <v>0</v>
      </c>
      <c r="W19" s="115">
        <f>第5期!AL18</f>
        <v>0</v>
      </c>
      <c r="X19" s="115">
        <f>第5期!AL19</f>
        <v>0</v>
      </c>
      <c r="Y19" s="115">
        <f>第5期!AL20</f>
        <v>0</v>
      </c>
      <c r="Z19" s="115">
        <f>SUM(V19:Y19)</f>
        <v>0</v>
      </c>
      <c r="AA19" s="73"/>
      <c r="AB19" s="151" t="s">
        <v>206</v>
      </c>
      <c r="AC19" s="156" t="e">
        <f>AC13/初始化表!$G$18</f>
        <v>#DIV/0!</v>
      </c>
      <c r="AD19" s="156" t="e">
        <f>AD13/初始化表!$G$18</f>
        <v>#DIV/0!</v>
      </c>
      <c r="AE19" s="156" t="e">
        <f>AE13/初始化表!$G$18</f>
        <v>#DIV/0!</v>
      </c>
      <c r="AF19" s="156" t="e">
        <f>AF13/初始化表!$G$18</f>
        <v>#DIV/0!</v>
      </c>
      <c r="AG19" s="74"/>
      <c r="AH19" s="73"/>
      <c r="AI19" s="359"/>
      <c r="AJ19" s="359"/>
      <c r="AK19" s="360"/>
      <c r="AL19" s="360">
        <f>X44</f>
        <v>0</v>
      </c>
      <c r="AM19" s="361"/>
      <c r="AN19" s="362"/>
      <c r="AO19" s="360"/>
      <c r="AP19" s="360"/>
      <c r="AQ19" s="369"/>
      <c r="AR19" s="103"/>
      <c r="AS19" s="103">
        <f t="shared" si="27"/>
        <v>0</v>
      </c>
      <c r="AT19" s="103"/>
      <c r="AU19" s="103"/>
      <c r="AV19" s="103"/>
      <c r="AW19" s="103"/>
      <c r="AZ19" s="193"/>
      <c r="BA19" s="196">
        <f t="shared" si="10"/>
        <v>0</v>
      </c>
      <c r="BB19" s="197">
        <f t="shared" si="11"/>
        <v>0</v>
      </c>
      <c r="BC19" s="197">
        <f t="shared" si="12"/>
        <v>0</v>
      </c>
      <c r="BD19" s="197">
        <f t="shared" si="13"/>
        <v>0</v>
      </c>
      <c r="BE19" s="197">
        <f t="shared" si="14"/>
        <v>0</v>
      </c>
      <c r="BF19" s="197">
        <f t="shared" si="15"/>
        <v>0</v>
      </c>
      <c r="BG19" s="197">
        <f t="shared" si="16"/>
        <v>0</v>
      </c>
      <c r="BH19" s="197">
        <f t="shared" si="17"/>
        <v>0</v>
      </c>
      <c r="BI19" s="197">
        <f t="shared" si="18"/>
        <v>0</v>
      </c>
      <c r="BJ19" s="197">
        <f t="shared" si="19"/>
        <v>0</v>
      </c>
      <c r="BK19" s="197">
        <f t="shared" si="20"/>
        <v>0</v>
      </c>
      <c r="BL19" s="197">
        <f t="shared" si="21"/>
        <v>0</v>
      </c>
      <c r="BM19" s="197">
        <f t="shared" si="22"/>
        <v>0</v>
      </c>
      <c r="BN19" s="197">
        <f t="shared" si="23"/>
        <v>0</v>
      </c>
      <c r="BO19" s="197">
        <f t="shared" si="24"/>
        <v>0</v>
      </c>
      <c r="BP19" s="197">
        <f t="shared" si="25"/>
        <v>0</v>
      </c>
      <c r="BQ19" s="197">
        <f t="shared" si="26"/>
        <v>0</v>
      </c>
      <c r="BR19" s="211"/>
      <c r="BS19" s="195">
        <f t="shared" si="0"/>
        <v>0</v>
      </c>
      <c r="BT19" s="201">
        <f t="shared" si="1"/>
        <v>0</v>
      </c>
      <c r="BU19" s="201">
        <f>第5期!AQ121*0.5</f>
        <v>0</v>
      </c>
      <c r="BV19" s="205" t="e">
        <f>AVERAGE(BT44:CI44)*初始化表!B$31</f>
        <v>#DIV/0!</v>
      </c>
      <c r="BW19" s="205" t="e">
        <f>$BT19*(AL121-BW$25)/BW$26*初始化表!B$30</f>
        <v>#DIV/0!</v>
      </c>
      <c r="BX19" s="205" t="e">
        <f>$BT19*(AM121-BX$25)/BX$26*初始化表!B$33</f>
        <v>#DIV/0!</v>
      </c>
      <c r="BY19" s="205" t="e">
        <f>$BT19*(AN121-BY$25)/BY$26*初始化表!B$32</f>
        <v>#DIV/0!</v>
      </c>
      <c r="BZ19" s="205" t="e">
        <f>$BT19*(AP121-BZ$25)/BZ$26*初始化表!B$34</f>
        <v>#DIV/0!</v>
      </c>
      <c r="CA19" s="205" t="e">
        <f>$BT$5*(AW121-CA$25)/CA$26*初始化表!B$36</f>
        <v>#DIV/0!</v>
      </c>
      <c r="CB19" s="205" t="e">
        <f t="shared" si="4"/>
        <v>#DIV/0!</v>
      </c>
      <c r="CC19" s="201">
        <f t="shared" si="5"/>
        <v>0</v>
      </c>
      <c r="CD19" s="229" t="e">
        <f t="shared" si="6"/>
        <v>#DIV/0!</v>
      </c>
      <c r="CE19" s="229">
        <f t="shared" si="7"/>
        <v>0</v>
      </c>
      <c r="CF19" s="229">
        <f t="shared" si="8"/>
        <v>0</v>
      </c>
      <c r="CG19" s="226"/>
      <c r="CH19" s="226"/>
      <c r="CI19" s="228"/>
      <c r="CJ19" s="228"/>
      <c r="CK19" s="228"/>
      <c r="CL19" s="228"/>
      <c r="CM19" s="228"/>
      <c r="CN19" s="228"/>
      <c r="CO19" s="228"/>
      <c r="CP19" s="228"/>
      <c r="CQ19" s="228"/>
      <c r="CR19" s="228"/>
      <c r="CS19" s="228"/>
      <c r="CT19" s="228"/>
      <c r="CU19" s="228"/>
      <c r="CV19" s="228"/>
      <c r="CW19" s="228"/>
      <c r="CX19" s="228"/>
      <c r="CY19" s="228"/>
      <c r="CZ19" s="228"/>
      <c r="DA19" s="228"/>
      <c r="DB19" s="228"/>
      <c r="DC19" s="228"/>
      <c r="DD19" s="228"/>
      <c r="DE19" s="228"/>
      <c r="DF19" s="228"/>
      <c r="DG19" s="228"/>
      <c r="DH19" s="228"/>
      <c r="DI19" s="228"/>
      <c r="DJ19" s="228"/>
      <c r="DK19" s="228"/>
      <c r="DL19" s="228"/>
      <c r="DM19" s="228"/>
      <c r="DN19" s="228"/>
      <c r="DO19" s="228"/>
      <c r="DP19" s="228"/>
      <c r="DQ19" s="228"/>
    </row>
    <row r="20" s="61" customFormat="1" ht="16" customHeight="1" spans="1:121">
      <c r="A20" s="269" t="s">
        <v>524</v>
      </c>
      <c r="B20" s="71">
        <f t="shared" si="37"/>
        <v>0</v>
      </c>
      <c r="C20" s="71">
        <f t="shared" si="35"/>
        <v>0</v>
      </c>
      <c r="D20" s="71">
        <f t="shared" si="35"/>
        <v>0</v>
      </c>
      <c r="E20" s="71">
        <f t="shared" si="35"/>
        <v>0</v>
      </c>
      <c r="F20" s="72">
        <f t="shared" si="38"/>
        <v>0</v>
      </c>
      <c r="G20" s="73"/>
      <c r="H20" s="269" t="s">
        <v>558</v>
      </c>
      <c r="I20" s="92" t="e">
        <f>(H17-K18)/N49</f>
        <v>#DIV/0!</v>
      </c>
      <c r="J20" s="92" t="e">
        <f>(H17-K18+I17/4)/N49</f>
        <v>#DIV/0!</v>
      </c>
      <c r="K20" s="92" t="e">
        <f>(H17-K18+I18/4)/N49</f>
        <v>#DIV/0!</v>
      </c>
      <c r="L20" s="91"/>
      <c r="M20" s="85"/>
      <c r="N20" s="269" t="s">
        <v>198</v>
      </c>
      <c r="O20" s="93" t="e">
        <f>O15</f>
        <v>#DIV/0!</v>
      </c>
      <c r="P20" s="93" t="e">
        <f t="shared" ref="P20:R20" si="39">P15</f>
        <v>#DIV/0!</v>
      </c>
      <c r="Q20" s="93" t="e">
        <f t="shared" si="39"/>
        <v>#DIV/0!</v>
      </c>
      <c r="R20" s="93" t="e">
        <f t="shared" si="39"/>
        <v>#DIV/0!</v>
      </c>
      <c r="S20" s="128"/>
      <c r="T20" s="358" t="e">
        <f>MAX(AC23,AD23,AE23,AF23)-MIN(AC23,AD23,AE23,AF23)</f>
        <v>#DIV/0!</v>
      </c>
      <c r="U20" s="269" t="s">
        <v>524</v>
      </c>
      <c r="V20" s="115">
        <f>第5期!AL21</f>
        <v>0</v>
      </c>
      <c r="W20" s="115">
        <f>第5期!AL22</f>
        <v>0</v>
      </c>
      <c r="X20" s="115">
        <f>第5期!AL23</f>
        <v>0</v>
      </c>
      <c r="Y20" s="115">
        <f>第5期!AL24</f>
        <v>0</v>
      </c>
      <c r="Z20" s="115">
        <f>SUM(V20:Y20)</f>
        <v>0</v>
      </c>
      <c r="AA20" s="73"/>
      <c r="AB20" s="151" t="s">
        <v>208</v>
      </c>
      <c r="AC20" s="156" t="e">
        <f>AC14/初始化表!$H$18</f>
        <v>#DIV/0!</v>
      </c>
      <c r="AD20" s="156" t="e">
        <f>AD14/初始化表!$H$18</f>
        <v>#DIV/0!</v>
      </c>
      <c r="AE20" s="156" t="e">
        <f>AE14/初始化表!$H$18</f>
        <v>#DIV/0!</v>
      </c>
      <c r="AF20" s="156" t="e">
        <f>AF14/初始化表!$H$18</f>
        <v>#DIV/0!</v>
      </c>
      <c r="AG20" s="74"/>
      <c r="AH20" s="73"/>
      <c r="AI20" s="359"/>
      <c r="AJ20" s="359"/>
      <c r="AK20" s="360"/>
      <c r="AL20" s="360">
        <f>Y44</f>
        <v>0</v>
      </c>
      <c r="AM20" s="361"/>
      <c r="AN20" s="362"/>
      <c r="AO20" s="360"/>
      <c r="AP20" s="360"/>
      <c r="AQ20" s="369"/>
      <c r="AR20" s="103">
        <f>SUM(AL17:AL20)</f>
        <v>0</v>
      </c>
      <c r="AS20" s="103">
        <f t="shared" si="27"/>
        <v>0</v>
      </c>
      <c r="AT20" s="103">
        <f>SUMIF(AS17:AS20,"&gt;=0",AS17:AS20)</f>
        <v>0</v>
      </c>
      <c r="AU20" s="103">
        <f>SUM(AO17:AO20)</f>
        <v>0</v>
      </c>
      <c r="AV20" s="103">
        <f>SUM(AP17:AP20)</f>
        <v>0</v>
      </c>
      <c r="AW20" s="103">
        <f>SUM(AQ17:AQ20)</f>
        <v>0</v>
      </c>
      <c r="AZ20" s="193"/>
      <c r="BA20" s="196">
        <f t="shared" si="10"/>
        <v>0</v>
      </c>
      <c r="BB20" s="197">
        <f t="shared" si="11"/>
        <v>0</v>
      </c>
      <c r="BC20" s="197">
        <f t="shared" si="12"/>
        <v>0</v>
      </c>
      <c r="BD20" s="197">
        <f t="shared" si="13"/>
        <v>0</v>
      </c>
      <c r="BE20" s="197">
        <f t="shared" si="14"/>
        <v>0</v>
      </c>
      <c r="BF20" s="197">
        <f t="shared" si="15"/>
        <v>0</v>
      </c>
      <c r="BG20" s="197">
        <f t="shared" si="16"/>
        <v>0</v>
      </c>
      <c r="BH20" s="197">
        <f t="shared" si="17"/>
        <v>0</v>
      </c>
      <c r="BI20" s="197">
        <f t="shared" si="18"/>
        <v>0</v>
      </c>
      <c r="BJ20" s="197">
        <f t="shared" si="19"/>
        <v>0</v>
      </c>
      <c r="BK20" s="197">
        <f t="shared" si="20"/>
        <v>0</v>
      </c>
      <c r="BL20" s="197">
        <f t="shared" si="21"/>
        <v>0</v>
      </c>
      <c r="BM20" s="197">
        <f t="shared" si="22"/>
        <v>0</v>
      </c>
      <c r="BN20" s="197">
        <f t="shared" si="23"/>
        <v>0</v>
      </c>
      <c r="BO20" s="197">
        <f t="shared" si="24"/>
        <v>0</v>
      </c>
      <c r="BP20" s="197">
        <f t="shared" si="25"/>
        <v>0</v>
      </c>
      <c r="BQ20" s="197">
        <f t="shared" si="26"/>
        <v>0</v>
      </c>
      <c r="BR20" s="211"/>
      <c r="BS20" s="195">
        <f t="shared" si="0"/>
        <v>0</v>
      </c>
      <c r="BT20" s="201">
        <f t="shared" si="1"/>
        <v>0</v>
      </c>
      <c r="BU20" s="201">
        <f>第5期!AQ122*0.5</f>
        <v>0</v>
      </c>
      <c r="BV20" s="205" t="e">
        <f>AVERAGE(BT45:CI45)*初始化表!B$31</f>
        <v>#DIV/0!</v>
      </c>
      <c r="BW20" s="205" t="e">
        <f>$BT20*(AL122-BW$25)/BW$26*初始化表!B$30</f>
        <v>#DIV/0!</v>
      </c>
      <c r="BX20" s="205" t="e">
        <f>$BT20*(AM122-BX$25)/BX$26*初始化表!B$33</f>
        <v>#DIV/0!</v>
      </c>
      <c r="BY20" s="205" t="e">
        <f>$BT20*(AN122-BY$25)/BY$26*初始化表!B$32</f>
        <v>#DIV/0!</v>
      </c>
      <c r="BZ20" s="205" t="e">
        <f>$BT20*(AP122-BZ$25)/BZ$26*初始化表!B$34</f>
        <v>#DIV/0!</v>
      </c>
      <c r="CA20" s="205" t="e">
        <f>$BT$5*(AW122-CA$25)/CA$26*初始化表!B$36</f>
        <v>#DIV/0!</v>
      </c>
      <c r="CB20" s="205" t="e">
        <f t="shared" si="4"/>
        <v>#DIV/0!</v>
      </c>
      <c r="CC20" s="201">
        <f t="shared" si="5"/>
        <v>0</v>
      </c>
      <c r="CD20" s="229" t="e">
        <f t="shared" si="6"/>
        <v>#DIV/0!</v>
      </c>
      <c r="CE20" s="229">
        <f t="shared" si="7"/>
        <v>0</v>
      </c>
      <c r="CF20" s="229">
        <f t="shared" si="8"/>
        <v>0</v>
      </c>
      <c r="CG20" s="226"/>
      <c r="CH20" s="226"/>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c r="DP20" s="228"/>
      <c r="DQ20" s="228"/>
    </row>
    <row r="21" s="61" customFormat="1" ht="16" customHeight="1" spans="1:121">
      <c r="A21" s="269" t="s">
        <v>303</v>
      </c>
      <c r="B21" s="269" t="s">
        <v>304</v>
      </c>
      <c r="C21" s="269" t="s">
        <v>305</v>
      </c>
      <c r="D21" s="269" t="s">
        <v>306</v>
      </c>
      <c r="E21" s="269" t="s">
        <v>307</v>
      </c>
      <c r="F21" s="270"/>
      <c r="G21" s="73"/>
      <c r="H21" s="269" t="s">
        <v>559</v>
      </c>
      <c r="I21" s="92" t="e">
        <f>(L17-ROUND(L17*0.03,0))/O49</f>
        <v>#DIV/0!</v>
      </c>
      <c r="J21" s="92" t="e">
        <f>(L17-ROUND(L17*0.03,0)+ROUNDDOWN(L17/2,0)/4)/O49</f>
        <v>#DIV/0!</v>
      </c>
      <c r="K21" s="269" t="s">
        <v>235</v>
      </c>
      <c r="L21" s="94" t="e">
        <f>初始化表!I20</f>
        <v>#DIV/0!</v>
      </c>
      <c r="M21" s="85"/>
      <c r="N21" s="269" t="s">
        <v>202</v>
      </c>
      <c r="O21" s="93" t="e">
        <f t="shared" ref="O21:R23" si="40">O16</f>
        <v>#DIV/0!</v>
      </c>
      <c r="P21" s="93" t="e">
        <f t="shared" si="40"/>
        <v>#DIV/0!</v>
      </c>
      <c r="Q21" s="93" t="e">
        <f t="shared" si="40"/>
        <v>#DIV/0!</v>
      </c>
      <c r="R21" s="93" t="e">
        <f t="shared" si="40"/>
        <v>#DIV/0!</v>
      </c>
      <c r="S21" s="128"/>
      <c r="T21" s="358" t="e">
        <f t="shared" ref="T21:T23" si="41">MAX(AC24,AD24,AE24,AF24)-MIN(AC24,AD24,AE24,AF24)</f>
        <v>#DIV/0!</v>
      </c>
      <c r="U21" s="123"/>
      <c r="V21" s="74"/>
      <c r="W21" s="74"/>
      <c r="X21" s="74"/>
      <c r="Y21" s="74"/>
      <c r="Z21" s="74"/>
      <c r="AA21" s="73"/>
      <c r="AB21" s="155"/>
      <c r="AC21" s="155"/>
      <c r="AD21" s="155"/>
      <c r="AE21" s="155"/>
      <c r="AF21" s="155"/>
      <c r="AG21" s="155"/>
      <c r="AH21" s="73"/>
      <c r="AI21" s="359"/>
      <c r="AJ21" s="359"/>
      <c r="AK21" s="360"/>
      <c r="AL21" s="360">
        <f>V45</f>
        <v>0</v>
      </c>
      <c r="AM21" s="361"/>
      <c r="AN21" s="362"/>
      <c r="AO21" s="360"/>
      <c r="AP21" s="360"/>
      <c r="AQ21" s="369"/>
      <c r="AR21" s="103"/>
      <c r="AS21" s="103">
        <f t="shared" si="27"/>
        <v>0</v>
      </c>
      <c r="AT21" s="103"/>
      <c r="AU21" s="103"/>
      <c r="AV21" s="103"/>
      <c r="AW21" s="103"/>
      <c r="AZ21" s="193"/>
      <c r="BA21" s="196">
        <f t="shared" si="10"/>
        <v>0</v>
      </c>
      <c r="BB21" s="197">
        <f t="shared" si="11"/>
        <v>0</v>
      </c>
      <c r="BC21" s="197">
        <f t="shared" si="12"/>
        <v>0</v>
      </c>
      <c r="BD21" s="197">
        <f t="shared" si="13"/>
        <v>0</v>
      </c>
      <c r="BE21" s="197">
        <f t="shared" si="14"/>
        <v>0</v>
      </c>
      <c r="BF21" s="197">
        <f t="shared" si="15"/>
        <v>0</v>
      </c>
      <c r="BG21" s="197">
        <f t="shared" si="16"/>
        <v>0</v>
      </c>
      <c r="BH21" s="197">
        <f t="shared" si="17"/>
        <v>0</v>
      </c>
      <c r="BI21" s="197">
        <f t="shared" si="18"/>
        <v>0</v>
      </c>
      <c r="BJ21" s="197">
        <f t="shared" si="19"/>
        <v>0</v>
      </c>
      <c r="BK21" s="197">
        <f t="shared" si="20"/>
        <v>0</v>
      </c>
      <c r="BL21" s="197">
        <f t="shared" si="21"/>
        <v>0</v>
      </c>
      <c r="BM21" s="197">
        <f t="shared" si="22"/>
        <v>0</v>
      </c>
      <c r="BN21" s="197">
        <f t="shared" si="23"/>
        <v>0</v>
      </c>
      <c r="BO21" s="197">
        <f t="shared" si="24"/>
        <v>0</v>
      </c>
      <c r="BP21" s="197">
        <f t="shared" si="25"/>
        <v>0</v>
      </c>
      <c r="BQ21" s="197">
        <f t="shared" si="26"/>
        <v>0</v>
      </c>
      <c r="BR21" s="211"/>
      <c r="BS21" s="195">
        <f t="shared" si="0"/>
        <v>0</v>
      </c>
      <c r="BT21" s="201">
        <f t="shared" si="1"/>
        <v>0</v>
      </c>
      <c r="BU21" s="201">
        <f>第5期!AQ123*0.5</f>
        <v>0</v>
      </c>
      <c r="BV21" s="205" t="e">
        <f>AVERAGE(BT46:CI46)*初始化表!B$31</f>
        <v>#DIV/0!</v>
      </c>
      <c r="BW21" s="205" t="e">
        <f>$BT21*(AL123-BW$25)/BW$26*初始化表!B$30</f>
        <v>#DIV/0!</v>
      </c>
      <c r="BX21" s="205" t="e">
        <f>$BT21*(AM123-BX$25)/BX$26*初始化表!B$33</f>
        <v>#DIV/0!</v>
      </c>
      <c r="BY21" s="205" t="e">
        <f>$BT21*(AN123-BY$25)/BY$26*初始化表!B$32</f>
        <v>#DIV/0!</v>
      </c>
      <c r="BZ21" s="205" t="e">
        <f>$BT21*(AP123-BZ$25)/BZ$26*初始化表!B$34</f>
        <v>#DIV/0!</v>
      </c>
      <c r="CA21" s="205" t="e">
        <f>$BT$5*(AW123-CA$25)/CA$26*初始化表!B$36</f>
        <v>#DIV/0!</v>
      </c>
      <c r="CB21" s="205" t="e">
        <f t="shared" si="4"/>
        <v>#DIV/0!</v>
      </c>
      <c r="CC21" s="201">
        <f t="shared" si="5"/>
        <v>0</v>
      </c>
      <c r="CD21" s="229" t="e">
        <f t="shared" si="6"/>
        <v>#DIV/0!</v>
      </c>
      <c r="CE21" s="229">
        <f t="shared" si="7"/>
        <v>0</v>
      </c>
      <c r="CF21" s="229">
        <f t="shared" si="8"/>
        <v>0</v>
      </c>
      <c r="CG21" s="226"/>
      <c r="CH21" s="226"/>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c r="DP21" s="228"/>
      <c r="DQ21" s="228"/>
    </row>
    <row r="22" s="61" customFormat="1" ht="16" customHeight="1" spans="1:121">
      <c r="A22" s="270"/>
      <c r="B22" s="77">
        <f>I18</f>
        <v>0</v>
      </c>
      <c r="C22" s="77">
        <f>K18</f>
        <v>0</v>
      </c>
      <c r="D22" s="72">
        <f>R49</f>
        <v>0</v>
      </c>
      <c r="E22" s="72">
        <f>K43</f>
        <v>0</v>
      </c>
      <c r="F22" s="270"/>
      <c r="G22" s="73"/>
      <c r="H22" s="353" t="s">
        <v>560</v>
      </c>
      <c r="I22" s="278" t="e">
        <f>(M25*初始化表!B4+SUM(V5:Z5)-SUM(V11:Y11)-Z17)/Z17</f>
        <v>#DIV/0!</v>
      </c>
      <c r="J22" s="278" t="e">
        <f>(M26*初始化表!B4+SUM(V6:Z6)-SUM(V12:Y12)-Z18)/Z18</f>
        <v>#DIV/0!</v>
      </c>
      <c r="K22" s="278" t="e">
        <f>(M27*初始化表!B4+SUM(V7:Z7)-SUM(V13:Y13)-Z19)/Z19</f>
        <v>#DIV/0!</v>
      </c>
      <c r="L22" s="278" t="e">
        <f>(M28*初始化表!B4+SUM(V8:Z8)-SUM(V14:Y14)-Z20)/Z20</f>
        <v>#DIV/0!</v>
      </c>
      <c r="M22" s="85"/>
      <c r="N22" s="269" t="s">
        <v>206</v>
      </c>
      <c r="O22" s="93" t="e">
        <f t="shared" si="40"/>
        <v>#DIV/0!</v>
      </c>
      <c r="P22" s="93" t="e">
        <f t="shared" si="40"/>
        <v>#DIV/0!</v>
      </c>
      <c r="Q22" s="93" t="e">
        <f t="shared" si="40"/>
        <v>#DIV/0!</v>
      </c>
      <c r="R22" s="93" t="e">
        <f t="shared" si="40"/>
        <v>#DIV/0!</v>
      </c>
      <c r="S22" s="128"/>
      <c r="T22" s="358" t="e">
        <f t="shared" si="41"/>
        <v>#DIV/0!</v>
      </c>
      <c r="U22" s="269" t="s">
        <v>561</v>
      </c>
      <c r="V22" s="269" t="s">
        <v>513</v>
      </c>
      <c r="W22" s="269" t="s">
        <v>514</v>
      </c>
      <c r="X22" s="269" t="s">
        <v>515</v>
      </c>
      <c r="Y22" s="269" t="s">
        <v>516</v>
      </c>
      <c r="Z22" s="269" t="s">
        <v>276</v>
      </c>
      <c r="AA22" s="73"/>
      <c r="AB22" s="151" t="s">
        <v>562</v>
      </c>
      <c r="AC22" s="151" t="s">
        <v>459</v>
      </c>
      <c r="AD22" s="151" t="s">
        <v>460</v>
      </c>
      <c r="AE22" s="151" t="s">
        <v>461</v>
      </c>
      <c r="AF22" s="151" t="s">
        <v>462</v>
      </c>
      <c r="AG22" s="74"/>
      <c r="AH22" s="73"/>
      <c r="AI22" s="359"/>
      <c r="AJ22" s="359"/>
      <c r="AK22" s="360"/>
      <c r="AL22" s="360">
        <f>W45</f>
        <v>0</v>
      </c>
      <c r="AM22" s="361"/>
      <c r="AN22" s="362"/>
      <c r="AO22" s="360"/>
      <c r="AP22" s="360"/>
      <c r="AQ22" s="369"/>
      <c r="AR22" s="103"/>
      <c r="AS22" s="103">
        <f t="shared" si="27"/>
        <v>0</v>
      </c>
      <c r="AT22" s="103"/>
      <c r="AU22" s="103"/>
      <c r="AV22" s="103"/>
      <c r="AW22" s="103"/>
      <c r="AZ22" s="193"/>
      <c r="BA22" s="196">
        <f t="shared" si="10"/>
        <v>0</v>
      </c>
      <c r="BB22" s="197">
        <f t="shared" si="11"/>
        <v>0</v>
      </c>
      <c r="BC22" s="197">
        <f t="shared" si="12"/>
        <v>0</v>
      </c>
      <c r="BD22" s="197">
        <f t="shared" si="13"/>
        <v>0</v>
      </c>
      <c r="BE22" s="197">
        <f t="shared" si="14"/>
        <v>0</v>
      </c>
      <c r="BF22" s="197">
        <f t="shared" si="15"/>
        <v>0</v>
      </c>
      <c r="BG22" s="197">
        <f t="shared" si="16"/>
        <v>0</v>
      </c>
      <c r="BH22" s="197">
        <f t="shared" si="17"/>
        <v>0</v>
      </c>
      <c r="BI22" s="197">
        <f t="shared" si="18"/>
        <v>0</v>
      </c>
      <c r="BJ22" s="197">
        <f t="shared" si="19"/>
        <v>0</v>
      </c>
      <c r="BK22" s="197">
        <f t="shared" si="20"/>
        <v>0</v>
      </c>
      <c r="BL22" s="197">
        <f t="shared" si="21"/>
        <v>0</v>
      </c>
      <c r="BM22" s="197">
        <f t="shared" si="22"/>
        <v>0</v>
      </c>
      <c r="BN22" s="197">
        <f t="shared" si="23"/>
        <v>0</v>
      </c>
      <c r="BO22" s="197">
        <f t="shared" si="24"/>
        <v>0</v>
      </c>
      <c r="BP22" s="197">
        <f t="shared" si="25"/>
        <v>0</v>
      </c>
      <c r="BQ22" s="197">
        <f t="shared" si="26"/>
        <v>0</v>
      </c>
      <c r="BR22" s="211"/>
      <c r="BS22" s="195">
        <f t="shared" si="0"/>
        <v>0</v>
      </c>
      <c r="BT22" s="201">
        <f t="shared" si="1"/>
        <v>0</v>
      </c>
      <c r="BU22" s="201">
        <f>第5期!AQ124*0.5</f>
        <v>0</v>
      </c>
      <c r="BV22" s="205" t="e">
        <f>AVERAGE(BT47:CI47)*初始化表!B$31</f>
        <v>#DIV/0!</v>
      </c>
      <c r="BW22" s="205" t="e">
        <f>$BT22*(AL124-BW$25)/BW$26*初始化表!B$30</f>
        <v>#DIV/0!</v>
      </c>
      <c r="BX22" s="205" t="e">
        <f>$BT22*(AM124-BX$25)/BX$26*初始化表!B$33</f>
        <v>#DIV/0!</v>
      </c>
      <c r="BY22" s="205" t="e">
        <f>$BT22*(AN124-BY$25)/BY$26*初始化表!B$32</f>
        <v>#DIV/0!</v>
      </c>
      <c r="BZ22" s="205" t="e">
        <f>$BT22*(AP124-BZ$25)/BZ$26*初始化表!B$34</f>
        <v>#DIV/0!</v>
      </c>
      <c r="CA22" s="205" t="e">
        <f>$BT$5*(AW124-CA$25)/CA$26*初始化表!B$36</f>
        <v>#DIV/0!</v>
      </c>
      <c r="CB22" s="205" t="e">
        <f t="shared" si="4"/>
        <v>#DIV/0!</v>
      </c>
      <c r="CC22" s="201">
        <f t="shared" si="5"/>
        <v>0</v>
      </c>
      <c r="CD22" s="229" t="e">
        <f t="shared" si="6"/>
        <v>#DIV/0!</v>
      </c>
      <c r="CE22" s="229">
        <f t="shared" si="7"/>
        <v>0</v>
      </c>
      <c r="CF22" s="229">
        <f t="shared" si="8"/>
        <v>0</v>
      </c>
      <c r="CG22" s="226"/>
      <c r="CH22" s="226"/>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c r="DP22" s="228"/>
      <c r="DQ22" s="228"/>
    </row>
    <row r="23" s="61" customFormat="1" ht="16" customHeight="1" spans="1:121">
      <c r="A23" s="269" t="s">
        <v>308</v>
      </c>
      <c r="B23" s="269" t="s">
        <v>309</v>
      </c>
      <c r="C23" s="269" t="s">
        <v>310</v>
      </c>
      <c r="D23" s="269" t="s">
        <v>311</v>
      </c>
      <c r="E23" s="269" t="s">
        <v>312</v>
      </c>
      <c r="F23" s="269" t="s">
        <v>313</v>
      </c>
      <c r="G23" s="73"/>
      <c r="H23" s="269" t="s">
        <v>298</v>
      </c>
      <c r="I23" s="270"/>
      <c r="J23" s="270"/>
      <c r="K23" s="270"/>
      <c r="L23" s="270"/>
      <c r="M23" s="269" t="s">
        <v>563</v>
      </c>
      <c r="N23" s="269" t="s">
        <v>208</v>
      </c>
      <c r="O23" s="93" t="e">
        <f t="shared" si="40"/>
        <v>#DIV/0!</v>
      </c>
      <c r="P23" s="93" t="e">
        <f t="shared" si="40"/>
        <v>#DIV/0!</v>
      </c>
      <c r="Q23" s="93" t="e">
        <f t="shared" si="40"/>
        <v>#DIV/0!</v>
      </c>
      <c r="R23" s="93" t="e">
        <f t="shared" si="40"/>
        <v>#DIV/0!</v>
      </c>
      <c r="S23" s="128"/>
      <c r="T23" s="358" t="e">
        <f t="shared" si="41"/>
        <v>#DIV/0!</v>
      </c>
      <c r="U23" s="269" t="s">
        <v>521</v>
      </c>
      <c r="V23" s="115" t="e">
        <f>第5期!B6</f>
        <v>#DIV/0!</v>
      </c>
      <c r="W23" s="115" t="e">
        <f>第5期!C6</f>
        <v>#DIV/0!</v>
      </c>
      <c r="X23" s="115" t="e">
        <f>第5期!D6</f>
        <v>#DIV/0!</v>
      </c>
      <c r="Y23" s="115" t="e">
        <f>第5期!E6</f>
        <v>#DIV/0!</v>
      </c>
      <c r="Z23" s="102" t="e">
        <f>第5期!F6</f>
        <v>#DIV/0!</v>
      </c>
      <c r="AA23" s="73"/>
      <c r="AB23" s="151" t="s">
        <v>464</v>
      </c>
      <c r="AC23" s="157" t="e">
        <f>AC11/初始化表!$E$17</f>
        <v>#DIV/0!</v>
      </c>
      <c r="AD23" s="157" t="e">
        <f>AD11/初始化表!$E$17</f>
        <v>#DIV/0!</v>
      </c>
      <c r="AE23" s="157" t="e">
        <f>AE11/初始化表!$E$17</f>
        <v>#DIV/0!</v>
      </c>
      <c r="AF23" s="157" t="e">
        <f>AF11/初始化表!$E$17</f>
        <v>#DIV/0!</v>
      </c>
      <c r="AG23" s="74"/>
      <c r="AH23" s="73"/>
      <c r="AI23" s="359"/>
      <c r="AJ23" s="359"/>
      <c r="AK23" s="360"/>
      <c r="AL23" s="360">
        <f>X45</f>
        <v>0</v>
      </c>
      <c r="AM23" s="361"/>
      <c r="AN23" s="362"/>
      <c r="AO23" s="360"/>
      <c r="AP23" s="360"/>
      <c r="AQ23" s="369"/>
      <c r="AR23" s="103"/>
      <c r="AS23" s="103">
        <f t="shared" si="27"/>
        <v>0</v>
      </c>
      <c r="AT23" s="103"/>
      <c r="AU23" s="103"/>
      <c r="AV23" s="103"/>
      <c r="AW23" s="103"/>
      <c r="AZ23" s="193"/>
      <c r="BA23" s="196">
        <f t="shared" si="10"/>
        <v>0</v>
      </c>
      <c r="BB23" s="197">
        <f t="shared" si="11"/>
        <v>0</v>
      </c>
      <c r="BC23" s="197">
        <f t="shared" si="12"/>
        <v>0</v>
      </c>
      <c r="BD23" s="197">
        <f t="shared" si="13"/>
        <v>0</v>
      </c>
      <c r="BE23" s="197">
        <f t="shared" si="14"/>
        <v>0</v>
      </c>
      <c r="BF23" s="197">
        <f t="shared" si="15"/>
        <v>0</v>
      </c>
      <c r="BG23" s="197">
        <f t="shared" si="16"/>
        <v>0</v>
      </c>
      <c r="BH23" s="197">
        <f t="shared" si="17"/>
        <v>0</v>
      </c>
      <c r="BI23" s="197">
        <f t="shared" si="18"/>
        <v>0</v>
      </c>
      <c r="BJ23" s="197">
        <f t="shared" si="19"/>
        <v>0</v>
      </c>
      <c r="BK23" s="197">
        <f t="shared" si="20"/>
        <v>0</v>
      </c>
      <c r="BL23" s="197">
        <f t="shared" si="21"/>
        <v>0</v>
      </c>
      <c r="BM23" s="197">
        <f t="shared" si="22"/>
        <v>0</v>
      </c>
      <c r="BN23" s="197">
        <f t="shared" si="23"/>
        <v>0</v>
      </c>
      <c r="BO23" s="197">
        <f t="shared" si="24"/>
        <v>0</v>
      </c>
      <c r="BP23" s="197">
        <f t="shared" si="25"/>
        <v>0</v>
      </c>
      <c r="BQ23" s="197">
        <f t="shared" si="26"/>
        <v>0</v>
      </c>
      <c r="BR23" s="211"/>
      <c r="BS23" s="195">
        <f t="shared" si="0"/>
        <v>0</v>
      </c>
      <c r="BT23" s="201">
        <f t="shared" si="1"/>
        <v>0</v>
      </c>
      <c r="BU23" s="201">
        <f>第5期!AQ125*0.5</f>
        <v>0</v>
      </c>
      <c r="BV23" s="205" t="e">
        <f>AVERAGE(BT48:CI48)*初始化表!B$31</f>
        <v>#DIV/0!</v>
      </c>
      <c r="BW23" s="205" t="e">
        <f>$BT23*(AL125-BW$25)/BW$26*初始化表!B$30</f>
        <v>#DIV/0!</v>
      </c>
      <c r="BX23" s="205" t="e">
        <f>$BT23*(AM125-BX$25)/BX$26*初始化表!B$33</f>
        <v>#DIV/0!</v>
      </c>
      <c r="BY23" s="205" t="e">
        <f>$BT23*(AN125-BY$25)/BY$26*初始化表!B$32</f>
        <v>#DIV/0!</v>
      </c>
      <c r="BZ23" s="205" t="e">
        <f>$BT23*(AP125-BZ$25)/BZ$26*初始化表!B$34</f>
        <v>#DIV/0!</v>
      </c>
      <c r="CA23" s="205" t="e">
        <f>$BT$5*(AW125-CA$25)/CA$26*初始化表!B$36</f>
        <v>#DIV/0!</v>
      </c>
      <c r="CB23" s="205" t="e">
        <f t="shared" si="4"/>
        <v>#DIV/0!</v>
      </c>
      <c r="CC23" s="201">
        <f t="shared" si="5"/>
        <v>0</v>
      </c>
      <c r="CD23" s="229" t="e">
        <f t="shared" si="6"/>
        <v>#DIV/0!</v>
      </c>
      <c r="CE23" s="229">
        <f t="shared" si="7"/>
        <v>0</v>
      </c>
      <c r="CF23" s="229">
        <f t="shared" si="8"/>
        <v>0</v>
      </c>
      <c r="CG23" s="226"/>
      <c r="CH23" s="226"/>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c r="DP23" s="228"/>
      <c r="DQ23" s="228"/>
    </row>
    <row r="24" s="61" customFormat="1" ht="16" customHeight="1" spans="1:121">
      <c r="A24" s="270"/>
      <c r="B24" s="72">
        <f>Q33</f>
        <v>0</v>
      </c>
      <c r="C24" s="72">
        <f>R35</f>
        <v>0</v>
      </c>
      <c r="D24" s="72">
        <f>O37</f>
        <v>0</v>
      </c>
      <c r="E24" s="72" t="e">
        <f>-C63</f>
        <v>#DIV/0!</v>
      </c>
      <c r="F24" s="77">
        <f>R45</f>
        <v>1</v>
      </c>
      <c r="G24" s="73"/>
      <c r="H24" s="270"/>
      <c r="I24" s="269" t="s">
        <v>103</v>
      </c>
      <c r="J24" s="269" t="s">
        <v>299</v>
      </c>
      <c r="K24" s="269" t="s">
        <v>104</v>
      </c>
      <c r="L24" s="269" t="s">
        <v>300</v>
      </c>
      <c r="M24" s="269"/>
      <c r="N24" s="269" t="s">
        <v>564</v>
      </c>
      <c r="O24" s="269" t="s">
        <v>565</v>
      </c>
      <c r="P24" s="269" t="s">
        <v>566</v>
      </c>
      <c r="Q24" s="269" t="s">
        <v>567</v>
      </c>
      <c r="R24" s="269" t="s">
        <v>568</v>
      </c>
      <c r="S24" s="121"/>
      <c r="T24" s="120"/>
      <c r="U24" s="269" t="s">
        <v>522</v>
      </c>
      <c r="V24" s="115" t="e">
        <f>第5期!B7</f>
        <v>#DIV/0!</v>
      </c>
      <c r="W24" s="115" t="e">
        <f>第5期!C7</f>
        <v>#DIV/0!</v>
      </c>
      <c r="X24" s="115" t="e">
        <f>第5期!D7</f>
        <v>#DIV/0!</v>
      </c>
      <c r="Y24" s="115" t="e">
        <f>第5期!E7</f>
        <v>#DIV/0!</v>
      </c>
      <c r="Z24" s="102" t="e">
        <f>第5期!F7</f>
        <v>#DIV/0!</v>
      </c>
      <c r="AA24" s="73"/>
      <c r="AB24" s="151" t="s">
        <v>465</v>
      </c>
      <c r="AC24" s="157" t="e">
        <f>AC12/初始化表!$F$17</f>
        <v>#DIV/0!</v>
      </c>
      <c r="AD24" s="157" t="e">
        <f>AD12/初始化表!$F$17</f>
        <v>#DIV/0!</v>
      </c>
      <c r="AE24" s="157" t="e">
        <f>AE12/初始化表!$F$17</f>
        <v>#DIV/0!</v>
      </c>
      <c r="AF24" s="157" t="e">
        <f>AF12/初始化表!$F$17</f>
        <v>#DIV/0!</v>
      </c>
      <c r="AG24" s="74"/>
      <c r="AH24" s="73"/>
      <c r="AI24" s="359"/>
      <c r="AJ24" s="359"/>
      <c r="AK24" s="360"/>
      <c r="AL24" s="360">
        <f>Y45</f>
        <v>0</v>
      </c>
      <c r="AM24" s="361"/>
      <c r="AN24" s="362"/>
      <c r="AO24" s="360"/>
      <c r="AP24" s="360"/>
      <c r="AQ24" s="369"/>
      <c r="AR24" s="103">
        <f>SUM(AL21:AL24)</f>
        <v>0</v>
      </c>
      <c r="AS24" s="103">
        <f t="shared" si="27"/>
        <v>0</v>
      </c>
      <c r="AT24" s="103">
        <f>SUMIF(AS21:AS24,"&gt;=0",AS21:AS24)</f>
        <v>0</v>
      </c>
      <c r="AU24" s="103">
        <f>SUM(AO21:AO24)</f>
        <v>0</v>
      </c>
      <c r="AV24" s="103">
        <f>SUM(AP21:AP24)</f>
        <v>0</v>
      </c>
      <c r="AW24" s="103">
        <f>SUM(AQ21:AQ24)</f>
        <v>0</v>
      </c>
      <c r="AZ24" s="193"/>
      <c r="BA24" s="196">
        <f t="shared" si="10"/>
        <v>0</v>
      </c>
      <c r="BB24" s="197">
        <f t="shared" si="11"/>
        <v>0</v>
      </c>
      <c r="BC24" s="197">
        <f t="shared" si="12"/>
        <v>0</v>
      </c>
      <c r="BD24" s="197">
        <f t="shared" si="13"/>
        <v>0</v>
      </c>
      <c r="BE24" s="197">
        <f t="shared" si="14"/>
        <v>0</v>
      </c>
      <c r="BF24" s="197">
        <f t="shared" si="15"/>
        <v>0</v>
      </c>
      <c r="BG24" s="197">
        <f t="shared" si="16"/>
        <v>0</v>
      </c>
      <c r="BH24" s="197">
        <f t="shared" si="17"/>
        <v>0</v>
      </c>
      <c r="BI24" s="197">
        <f t="shared" si="18"/>
        <v>0</v>
      </c>
      <c r="BJ24" s="197">
        <f t="shared" si="19"/>
        <v>0</v>
      </c>
      <c r="BK24" s="197">
        <f t="shared" si="20"/>
        <v>0</v>
      </c>
      <c r="BL24" s="197">
        <f t="shared" si="21"/>
        <v>0</v>
      </c>
      <c r="BM24" s="197">
        <f t="shared" si="22"/>
        <v>0</v>
      </c>
      <c r="BN24" s="197">
        <f t="shared" si="23"/>
        <v>0</v>
      </c>
      <c r="BO24" s="197">
        <f t="shared" si="24"/>
        <v>0</v>
      </c>
      <c r="BP24" s="197">
        <f t="shared" si="25"/>
        <v>0</v>
      </c>
      <c r="BQ24" s="197">
        <f t="shared" si="26"/>
        <v>0</v>
      </c>
      <c r="BR24" s="211"/>
      <c r="BS24" s="195">
        <f t="shared" si="0"/>
        <v>0</v>
      </c>
      <c r="BT24" s="201">
        <f t="shared" si="1"/>
        <v>0</v>
      </c>
      <c r="BU24" s="201">
        <f>第5期!AQ126*0.5</f>
        <v>0</v>
      </c>
      <c r="BV24" s="205" t="e">
        <f>AVERAGE(BT49:CI49)*初始化表!B$31</f>
        <v>#DIV/0!</v>
      </c>
      <c r="BW24" s="205" t="e">
        <f>$BT24*(AL126-BW$25)/BW$26*初始化表!B$30</f>
        <v>#DIV/0!</v>
      </c>
      <c r="BX24" s="205" t="e">
        <f>$BT24*(AM126-BX$25)/BX$26*初始化表!B$33</f>
        <v>#DIV/0!</v>
      </c>
      <c r="BY24" s="205" t="e">
        <f>$BT24*(AN126-BY$25)/BY$26*初始化表!B$32</f>
        <v>#DIV/0!</v>
      </c>
      <c r="BZ24" s="205" t="e">
        <f>$BT24*(AP126-BZ$25)/BZ$26*初始化表!B$34</f>
        <v>#DIV/0!</v>
      </c>
      <c r="CA24" s="205" t="e">
        <f>$BT$5*(AW126-CA$25)/CA$26*初始化表!B$36</f>
        <v>#DIV/0!</v>
      </c>
      <c r="CB24" s="205" t="e">
        <f t="shared" si="4"/>
        <v>#DIV/0!</v>
      </c>
      <c r="CC24" s="201">
        <f t="shared" si="5"/>
        <v>0</v>
      </c>
      <c r="CD24" s="229" t="e">
        <f t="shared" si="6"/>
        <v>#DIV/0!</v>
      </c>
      <c r="CE24" s="229">
        <f t="shared" si="7"/>
        <v>0</v>
      </c>
      <c r="CF24" s="229">
        <f t="shared" si="8"/>
        <v>0</v>
      </c>
      <c r="CG24" s="226"/>
      <c r="CH24" s="226"/>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c r="DP24" s="228"/>
      <c r="DQ24" s="228"/>
    </row>
    <row r="25" s="61" customFormat="1" ht="16" customHeight="1" spans="1:121">
      <c r="A25" s="90"/>
      <c r="B25" s="90"/>
      <c r="C25" s="90"/>
      <c r="D25" s="90"/>
      <c r="E25" s="90"/>
      <c r="F25" s="90"/>
      <c r="G25" s="73"/>
      <c r="H25" s="269" t="s">
        <v>521</v>
      </c>
      <c r="I25" s="280"/>
      <c r="J25" s="97"/>
      <c r="K25" s="97"/>
      <c r="L25" s="97"/>
      <c r="M25" s="97">
        <f>I25+J25+K25+L25</f>
        <v>0</v>
      </c>
      <c r="N25" s="269" t="s">
        <v>276</v>
      </c>
      <c r="O25" s="83" t="e">
        <f>INT(SUMPRODUCT(V42:Y42,B6:E6)*O6/1000+0.5)*1000</f>
        <v>#DIV/0!</v>
      </c>
      <c r="P25" s="83" t="e">
        <f>INT(SUMPRODUCT(V43:Y43,B7:E7)*P6/1000+0.5)*1000</f>
        <v>#DIV/0!</v>
      </c>
      <c r="Q25" s="83" t="e">
        <f>INT(SUMPRODUCT(V44:Y44,B8:E8)*Q6/1000+0.5)*1000</f>
        <v>#DIV/0!</v>
      </c>
      <c r="R25" s="83" t="e">
        <f>INT(SUMPRODUCT(V45:Y45,B9:E9)*R6/1000+0.5)*1000</f>
        <v>#DIV/0!</v>
      </c>
      <c r="S25" s="131"/>
      <c r="T25" s="120"/>
      <c r="U25" s="269" t="s">
        <v>523</v>
      </c>
      <c r="V25" s="115" t="e">
        <f>第5期!B8</f>
        <v>#DIV/0!</v>
      </c>
      <c r="W25" s="115" t="e">
        <f>第5期!C8</f>
        <v>#DIV/0!</v>
      </c>
      <c r="X25" s="115" t="e">
        <f>第5期!D8</f>
        <v>#DIV/0!</v>
      </c>
      <c r="Y25" s="115" t="e">
        <f>第5期!E8</f>
        <v>#DIV/0!</v>
      </c>
      <c r="Z25" s="102" t="e">
        <f>第5期!F8</f>
        <v>#DIV/0!</v>
      </c>
      <c r="AA25" s="73"/>
      <c r="AB25" s="151" t="s">
        <v>466</v>
      </c>
      <c r="AC25" s="157" t="e">
        <f>AC13/初始化表!$G$17</f>
        <v>#DIV/0!</v>
      </c>
      <c r="AD25" s="157" t="e">
        <f>AD13/初始化表!$G$17</f>
        <v>#DIV/0!</v>
      </c>
      <c r="AE25" s="157" t="e">
        <f>AE13/初始化表!$G$17</f>
        <v>#DIV/0!</v>
      </c>
      <c r="AF25" s="157" t="e">
        <f>AF13/初始化表!$G$17</f>
        <v>#DIV/0!</v>
      </c>
      <c r="AG25" s="74"/>
      <c r="AH25" s="73"/>
      <c r="AI25" s="363"/>
      <c r="AJ25" s="363"/>
      <c r="AK25" s="363"/>
      <c r="AL25" s="363"/>
      <c r="AM25" s="363"/>
      <c r="AN25" s="363"/>
      <c r="AO25" s="370"/>
      <c r="AP25" s="370"/>
      <c r="AQ25" s="371"/>
      <c r="AR25" s="103"/>
      <c r="AS25" s="103"/>
      <c r="AT25" s="103"/>
      <c r="AU25" s="189">
        <f>(AU12*初始化表!E17+AU16*初始化表!F17+AU20*初始化表!G17+AU24*初始化表!H17)/1300</f>
        <v>0</v>
      </c>
      <c r="AV25" s="189">
        <f>(AV12*初始化表!E17+AV16*初始化表!F17+AV20*初始化表!G17+AV24*初始化表!H17)/1300</f>
        <v>0</v>
      </c>
      <c r="AW25" s="189">
        <f>(AW12*初始化表!E17+AW16*初始化表!F17+AW20*初始化表!G17+AW24*初始化表!H17)/1300</f>
        <v>0</v>
      </c>
      <c r="AZ25" s="193"/>
      <c r="BA25" s="196">
        <f t="shared" si="10"/>
        <v>0</v>
      </c>
      <c r="BB25" s="197">
        <f t="shared" si="11"/>
        <v>0</v>
      </c>
      <c r="BC25" s="197">
        <f t="shared" si="12"/>
        <v>0</v>
      </c>
      <c r="BD25" s="197">
        <f t="shared" si="13"/>
        <v>0</v>
      </c>
      <c r="BE25" s="197">
        <f t="shared" si="14"/>
        <v>0</v>
      </c>
      <c r="BF25" s="197">
        <f t="shared" si="15"/>
        <v>0</v>
      </c>
      <c r="BG25" s="197">
        <f t="shared" si="16"/>
        <v>0</v>
      </c>
      <c r="BH25" s="197">
        <f t="shared" si="17"/>
        <v>0</v>
      </c>
      <c r="BI25" s="197">
        <f t="shared" si="18"/>
        <v>0</v>
      </c>
      <c r="BJ25" s="197">
        <f t="shared" si="19"/>
        <v>0</v>
      </c>
      <c r="BK25" s="197">
        <f t="shared" si="20"/>
        <v>0</v>
      </c>
      <c r="BL25" s="197">
        <f t="shared" si="21"/>
        <v>0</v>
      </c>
      <c r="BM25" s="197">
        <f t="shared" si="22"/>
        <v>0</v>
      </c>
      <c r="BN25" s="197">
        <f t="shared" si="23"/>
        <v>0</v>
      </c>
      <c r="BO25" s="197">
        <f t="shared" si="24"/>
        <v>0</v>
      </c>
      <c r="BP25" s="197">
        <f t="shared" si="25"/>
        <v>0</v>
      </c>
      <c r="BQ25" s="197">
        <f t="shared" si="26"/>
        <v>0</v>
      </c>
      <c r="BR25" s="211"/>
      <c r="BS25" s="194" t="s">
        <v>569</v>
      </c>
      <c r="BT25" s="208"/>
      <c r="BU25" s="208"/>
      <c r="BV25" s="208"/>
      <c r="BW25" s="201" t="e">
        <f>SUM(AL107:AL126)/初始化表!$B5</f>
        <v>#DIV/0!</v>
      </c>
      <c r="BX25" s="201" t="e">
        <f>SUM(AM107:AM126)/初始化表!$B5</f>
        <v>#DIV/0!</v>
      </c>
      <c r="BY25" s="201" t="e">
        <f>SUM(AN107:AN126)/初始化表!$B5</f>
        <v>#DIV/0!</v>
      </c>
      <c r="BZ25" s="201" t="e">
        <f>SUM(AP107:AP126)/初始化表!$B5</f>
        <v>#DIV/0!</v>
      </c>
      <c r="CA25" s="201" t="e">
        <f>SUM(AW107:AW126)/初始化表!$B5</f>
        <v>#DIV/0!</v>
      </c>
      <c r="CB25" s="203"/>
      <c r="CC25" s="203"/>
      <c r="CD25" s="203"/>
      <c r="CE25" s="203"/>
      <c r="CF25" s="203"/>
      <c r="CG25" s="203"/>
      <c r="CH25" s="203"/>
      <c r="CI25" s="203"/>
      <c r="CJ25" s="226"/>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row>
    <row r="26" s="61" customFormat="1" ht="16" customHeight="1" spans="1:121">
      <c r="A26" s="269" t="s">
        <v>422</v>
      </c>
      <c r="B26" s="270"/>
      <c r="C26" s="270"/>
      <c r="D26" s="270"/>
      <c r="E26" s="270"/>
      <c r="F26" s="270"/>
      <c r="G26" s="73"/>
      <c r="H26" s="269" t="s">
        <v>522</v>
      </c>
      <c r="I26" s="280"/>
      <c r="J26" s="97"/>
      <c r="K26" s="97"/>
      <c r="L26" s="97"/>
      <c r="M26" s="97">
        <f t="shared" ref="M26:M28" si="42">I26+J26+K26+L26</f>
        <v>0</v>
      </c>
      <c r="N26" s="269" t="s">
        <v>280</v>
      </c>
      <c r="O26" s="83" t="e">
        <f>INT(SUMPRODUCT(V42:V45,B6:B9)*O8/1000+0.5)*1000</f>
        <v>#DIV/0!</v>
      </c>
      <c r="P26" s="83" t="e">
        <f>INT(SUMPRODUCT(W42:W45,C6:C9)*P8/1000+0.5)*1000</f>
        <v>#DIV/0!</v>
      </c>
      <c r="Q26" s="83" t="e">
        <f>INT(SUMPRODUCT(X42:X45,D6:D9)*Q8/1000+0.5)*1000</f>
        <v>#DIV/0!</v>
      </c>
      <c r="R26" s="83" t="e">
        <f>INT(SUMPRODUCT(Y42:Y45,E6:E9)*R8/1000+0.5)*1000</f>
        <v>#DIV/0!</v>
      </c>
      <c r="S26" s="131"/>
      <c r="T26" s="120"/>
      <c r="U26" s="269" t="s">
        <v>524</v>
      </c>
      <c r="V26" s="115" t="e">
        <f>第5期!B9</f>
        <v>#DIV/0!</v>
      </c>
      <c r="W26" s="115" t="e">
        <f>第5期!C9</f>
        <v>#DIV/0!</v>
      </c>
      <c r="X26" s="115" t="e">
        <f>第5期!D9</f>
        <v>#DIV/0!</v>
      </c>
      <c r="Y26" s="115" t="e">
        <f>第5期!E9</f>
        <v>#DIV/0!</v>
      </c>
      <c r="Z26" s="102" t="e">
        <f>第5期!F9</f>
        <v>#DIV/0!</v>
      </c>
      <c r="AA26" s="73"/>
      <c r="AB26" s="151" t="s">
        <v>468</v>
      </c>
      <c r="AC26" s="157" t="e">
        <f>AC14/初始化表!$H$17</f>
        <v>#DIV/0!</v>
      </c>
      <c r="AD26" s="157" t="e">
        <f>AD14/初始化表!$H$17</f>
        <v>#DIV/0!</v>
      </c>
      <c r="AE26" s="157" t="e">
        <f>AE14/初始化表!$H$17</f>
        <v>#DIV/0!</v>
      </c>
      <c r="AF26" s="157" t="e">
        <f>AF14/初始化表!$H$17</f>
        <v>#DIV/0!</v>
      </c>
      <c r="AG26" s="74"/>
      <c r="AH26" s="73"/>
      <c r="AI26" s="359"/>
      <c r="AJ26" s="360">
        <f>I56</f>
        <v>0</v>
      </c>
      <c r="AK26" s="364"/>
      <c r="AL26" s="364"/>
      <c r="AM26" s="360"/>
      <c r="AN26" s="365">
        <f>O43</f>
        <v>0.95</v>
      </c>
      <c r="AO26" s="370"/>
      <c r="AP26" s="370"/>
      <c r="AQ26" s="371"/>
      <c r="AR26" s="103"/>
      <c r="AS26" s="190" t="s">
        <v>449</v>
      </c>
      <c r="AT26" s="189">
        <f>(SUM(AM9:AM12)*初始化表!E17+SUM(AM13:AM16)*初始化表!F17+SUM(AM17:AM20)*初始化表!G17+SUM(AM21:AM24)*初始化表!H17)/1300</f>
        <v>0</v>
      </c>
      <c r="AU26" s="103"/>
      <c r="AV26" s="103"/>
      <c r="AW26" s="103"/>
      <c r="AZ26" s="193"/>
      <c r="BA26" s="196">
        <f t="shared" si="10"/>
        <v>0</v>
      </c>
      <c r="BB26" s="197">
        <f t="shared" si="11"/>
        <v>0</v>
      </c>
      <c r="BC26" s="197">
        <f t="shared" si="12"/>
        <v>0</v>
      </c>
      <c r="BD26" s="197">
        <f t="shared" si="13"/>
        <v>0</v>
      </c>
      <c r="BE26" s="197">
        <f t="shared" si="14"/>
        <v>0</v>
      </c>
      <c r="BF26" s="197">
        <f t="shared" si="15"/>
        <v>0</v>
      </c>
      <c r="BG26" s="197">
        <f t="shared" si="16"/>
        <v>0</v>
      </c>
      <c r="BH26" s="197">
        <f t="shared" si="17"/>
        <v>0</v>
      </c>
      <c r="BI26" s="197">
        <f t="shared" si="18"/>
        <v>0</v>
      </c>
      <c r="BJ26" s="197">
        <f t="shared" si="19"/>
        <v>0</v>
      </c>
      <c r="BK26" s="197">
        <f t="shared" si="20"/>
        <v>0</v>
      </c>
      <c r="BL26" s="197">
        <f t="shared" si="21"/>
        <v>0</v>
      </c>
      <c r="BM26" s="197">
        <f t="shared" si="22"/>
        <v>0</v>
      </c>
      <c r="BN26" s="197">
        <f t="shared" si="23"/>
        <v>0</v>
      </c>
      <c r="BO26" s="197">
        <f t="shared" si="24"/>
        <v>0</v>
      </c>
      <c r="BP26" s="197">
        <f t="shared" si="25"/>
        <v>0</v>
      </c>
      <c r="BQ26" s="197">
        <f t="shared" si="26"/>
        <v>0</v>
      </c>
      <c r="BR26" s="211"/>
      <c r="BS26" s="374" t="s">
        <v>570</v>
      </c>
      <c r="BT26" s="203"/>
      <c r="BU26" s="203"/>
      <c r="BV26" s="203"/>
      <c r="BW26" s="222" t="e">
        <f>STDEV.P(AL107:AL126)</f>
        <v>#DIV/0!</v>
      </c>
      <c r="BX26" s="222" t="e">
        <f>STDEV.P(AM107:AM126)</f>
        <v>#DIV/0!</v>
      </c>
      <c r="BY26" s="222" t="e">
        <f>STDEV.P(AN107:AN126)</f>
        <v>#DIV/0!</v>
      </c>
      <c r="BZ26" s="222" t="e">
        <f>STDEV.P(AP107:AP126)</f>
        <v>#DIV/0!</v>
      </c>
      <c r="CA26" s="375" t="e">
        <f>STDEV.P(AW107:AW126)</f>
        <v>#DIV/0!</v>
      </c>
      <c r="CB26" s="203"/>
      <c r="CC26" s="203"/>
      <c r="CD26" s="203"/>
      <c r="CE26" s="203"/>
      <c r="CF26" s="203"/>
      <c r="CG26" s="203"/>
      <c r="CH26" s="203"/>
      <c r="CI26" s="203"/>
      <c r="CJ26" s="226"/>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row>
    <row r="27" s="61" customFormat="1" ht="16" customHeight="1" spans="1:121">
      <c r="A27" s="269" t="s">
        <v>571</v>
      </c>
      <c r="B27" s="270"/>
      <c r="C27" s="269" t="s">
        <v>572</v>
      </c>
      <c r="D27" s="269" t="s">
        <v>573</v>
      </c>
      <c r="E27" s="269" t="s">
        <v>574</v>
      </c>
      <c r="F27" s="269" t="s">
        <v>575</v>
      </c>
      <c r="G27" s="73"/>
      <c r="H27" s="269" t="s">
        <v>523</v>
      </c>
      <c r="I27" s="97"/>
      <c r="J27" s="97"/>
      <c r="K27" s="280"/>
      <c r="L27" s="280"/>
      <c r="M27" s="97">
        <f t="shared" si="42"/>
        <v>0</v>
      </c>
      <c r="N27" s="269" t="s">
        <v>576</v>
      </c>
      <c r="O27" s="269" t="s">
        <v>565</v>
      </c>
      <c r="P27" s="269" t="s">
        <v>566</v>
      </c>
      <c r="Q27" s="269" t="s">
        <v>567</v>
      </c>
      <c r="R27" s="269" t="s">
        <v>568</v>
      </c>
      <c r="S27" s="121"/>
      <c r="T27" s="120"/>
      <c r="U27" s="269" t="s">
        <v>280</v>
      </c>
      <c r="V27" s="102" t="e">
        <f>第5期!B10</f>
        <v>#DIV/0!</v>
      </c>
      <c r="W27" s="102" t="e">
        <f>第5期!C10</f>
        <v>#DIV/0!</v>
      </c>
      <c r="X27" s="102" t="e">
        <f>第5期!D10</f>
        <v>#DIV/0!</v>
      </c>
      <c r="Y27" s="102" t="e">
        <f>第5期!E10</f>
        <v>#DIV/0!</v>
      </c>
      <c r="Z27" s="115"/>
      <c r="AA27" s="73"/>
      <c r="AB27" s="155"/>
      <c r="AC27" s="155"/>
      <c r="AD27" s="155"/>
      <c r="AE27" s="155"/>
      <c r="AF27" s="155"/>
      <c r="AG27" s="155"/>
      <c r="AH27" s="73"/>
      <c r="AI27" s="359"/>
      <c r="AJ27" s="360">
        <f>J56</f>
        <v>0</v>
      </c>
      <c r="AK27" s="364"/>
      <c r="AL27" s="364"/>
      <c r="AM27" s="360"/>
      <c r="AN27" s="365">
        <f>P43</f>
        <v>0.95</v>
      </c>
      <c r="AO27" s="370"/>
      <c r="AP27" s="370"/>
      <c r="AQ27" s="371"/>
      <c r="AR27" s="103"/>
      <c r="AS27" s="190" t="s">
        <v>453</v>
      </c>
      <c r="AT27" s="189">
        <f>(AR12*初始化表!E17+AR16*初始化表!F17+AR20*初始化表!G17+AR24*初始化表!H17)/1300</f>
        <v>0</v>
      </c>
      <c r="AU27" s="103"/>
      <c r="AV27" s="103"/>
      <c r="AW27" s="103"/>
      <c r="AZ27" s="193"/>
      <c r="BA27" s="194" t="s">
        <v>577</v>
      </c>
      <c r="BB27" s="198">
        <f t="shared" ref="BB27:BQ27" si="43">INT(SUMPRODUCT(AJ37:AJ56,AJ61:AJ80))</f>
        <v>0</v>
      </c>
      <c r="BC27" s="198">
        <f t="shared" si="43"/>
        <v>0</v>
      </c>
      <c r="BD27" s="198">
        <f t="shared" si="43"/>
        <v>0</v>
      </c>
      <c r="BE27" s="198">
        <f t="shared" si="43"/>
        <v>0</v>
      </c>
      <c r="BF27" s="198">
        <f t="shared" si="43"/>
        <v>0</v>
      </c>
      <c r="BG27" s="198">
        <f t="shared" si="43"/>
        <v>0</v>
      </c>
      <c r="BH27" s="198">
        <f t="shared" si="43"/>
        <v>0</v>
      </c>
      <c r="BI27" s="198">
        <f t="shared" si="43"/>
        <v>0</v>
      </c>
      <c r="BJ27" s="198">
        <f t="shared" si="43"/>
        <v>0</v>
      </c>
      <c r="BK27" s="198">
        <f t="shared" si="43"/>
        <v>0</v>
      </c>
      <c r="BL27" s="198">
        <f t="shared" si="43"/>
        <v>0</v>
      </c>
      <c r="BM27" s="198">
        <f t="shared" si="43"/>
        <v>0</v>
      </c>
      <c r="BN27" s="198">
        <f t="shared" si="43"/>
        <v>0</v>
      </c>
      <c r="BO27" s="198">
        <f t="shared" si="43"/>
        <v>0</v>
      </c>
      <c r="BP27" s="198">
        <f t="shared" si="43"/>
        <v>0</v>
      </c>
      <c r="BQ27" s="198">
        <f t="shared" si="43"/>
        <v>0</v>
      </c>
      <c r="BR27" s="211"/>
      <c r="BS27" s="212" t="s">
        <v>578</v>
      </c>
      <c r="BT27" s="212"/>
      <c r="BU27" s="212"/>
      <c r="BV27" s="212"/>
      <c r="BW27" s="223" t="e">
        <f>100000/BW26*初始化表!B30</f>
        <v>#DIV/0!</v>
      </c>
      <c r="BX27" s="223" t="e">
        <f>100000/BX26*初始化表!B33</f>
        <v>#DIV/0!</v>
      </c>
      <c r="BY27" s="223" t="e">
        <f>100000/BY26*初始化表!B32</f>
        <v>#DIV/0!</v>
      </c>
      <c r="BZ27" s="223" t="e">
        <f>100000/BZ26*初始化表!B34</f>
        <v>#DIV/0!</v>
      </c>
      <c r="CA27" s="211"/>
      <c r="CB27" s="211"/>
      <c r="CC27" s="211"/>
      <c r="CD27" s="211"/>
      <c r="CE27" s="211"/>
      <c r="CF27" s="211"/>
      <c r="CG27" s="211"/>
      <c r="CH27" s="211"/>
      <c r="CI27" s="211"/>
      <c r="CJ27" s="226"/>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row>
    <row r="28" s="61" customFormat="1" ht="16" customHeight="1" spans="1:121">
      <c r="A28" s="269" t="s">
        <v>361</v>
      </c>
      <c r="B28" s="270"/>
      <c r="C28" s="79" t="e">
        <f>第5期!F64</f>
        <v>#DIV/0!</v>
      </c>
      <c r="D28" s="79"/>
      <c r="E28" s="79"/>
      <c r="F28" s="79"/>
      <c r="G28" s="73"/>
      <c r="H28" s="269" t="s">
        <v>524</v>
      </c>
      <c r="I28" s="97"/>
      <c r="J28" s="97"/>
      <c r="K28" s="280"/>
      <c r="L28" s="280"/>
      <c r="M28" s="97">
        <f t="shared" si="42"/>
        <v>0</v>
      </c>
      <c r="N28" s="269" t="s">
        <v>276</v>
      </c>
      <c r="O28" s="93" t="e">
        <f>O25</f>
        <v>#DIV/0!</v>
      </c>
      <c r="P28" s="93" t="e">
        <f t="shared" ref="P28:R28" si="44">P25</f>
        <v>#DIV/0!</v>
      </c>
      <c r="Q28" s="93" t="e">
        <f t="shared" si="44"/>
        <v>#DIV/0!</v>
      </c>
      <c r="R28" s="93" t="e">
        <f t="shared" si="44"/>
        <v>#DIV/0!</v>
      </c>
      <c r="S28" s="131"/>
      <c r="T28" s="120"/>
      <c r="U28" s="123"/>
      <c r="V28" s="74"/>
      <c r="W28" s="74"/>
      <c r="X28" s="74"/>
      <c r="Y28" s="74"/>
      <c r="Z28" s="74"/>
      <c r="AA28" s="73"/>
      <c r="AB28" s="151" t="s">
        <v>579</v>
      </c>
      <c r="AC28" s="151" t="s">
        <v>459</v>
      </c>
      <c r="AD28" s="151" t="s">
        <v>460</v>
      </c>
      <c r="AE28" s="151" t="s">
        <v>461</v>
      </c>
      <c r="AF28" s="151" t="s">
        <v>462</v>
      </c>
      <c r="AG28" s="74"/>
      <c r="AH28" s="73"/>
      <c r="AI28" s="359"/>
      <c r="AJ28" s="360">
        <f>K56</f>
        <v>0</v>
      </c>
      <c r="AK28" s="364"/>
      <c r="AL28" s="364"/>
      <c r="AM28" s="360"/>
      <c r="AN28" s="365">
        <f>Q43</f>
        <v>0.95</v>
      </c>
      <c r="AO28" s="370"/>
      <c r="AP28" s="370"/>
      <c r="AQ28" s="371"/>
      <c r="AR28" s="103"/>
      <c r="AS28" s="190" t="s">
        <v>454</v>
      </c>
      <c r="AT28" s="189">
        <f>(AT12*初始化表!E17+AT16*初始化表!F17+AT20*初始化表!G17+AT24*初始化表!H17)/1300</f>
        <v>0</v>
      </c>
      <c r="AU28" s="103"/>
      <c r="AV28" s="190" t="s">
        <v>580</v>
      </c>
      <c r="AW28" s="189">
        <f>(SUM(I25:L25)*初始化表!E17+SUM(I26:L26)*初始化表!F17+SUM(I27:L27)*初始化表!G17+SUM(I28:L28)*初始化表!H17)/1300</f>
        <v>0</v>
      </c>
      <c r="AZ28" s="193"/>
      <c r="BA28" s="194" t="s">
        <v>581</v>
      </c>
      <c r="BB28" s="199">
        <f>IF(ISERROR(AM9/AN9),0,AM9/AN9)</f>
        <v>0</v>
      </c>
      <c r="BC28" s="199">
        <f>IF(ISERROR($AM$10/$AN$10),0,$AM$10/$AN$10)</f>
        <v>0</v>
      </c>
      <c r="BD28" s="199">
        <f>IF(ISERROR($AM$11/$AN$11),0,$AM$11/$AN$11)</f>
        <v>0</v>
      </c>
      <c r="BE28" s="199">
        <f>IF(ISERROR($AM$12/$AN$12),0,$AM$12/$AN$12)</f>
        <v>0</v>
      </c>
      <c r="BF28" s="199">
        <f>IF(ISERROR($AM$13/$AN$13),0,$AM$13/$AN$13)</f>
        <v>0</v>
      </c>
      <c r="BG28" s="199">
        <f>IF(ISERROR($AM$14/$AN$14),0,$AM$14/$AN$14)</f>
        <v>0</v>
      </c>
      <c r="BH28" s="199">
        <f>IF(ISERROR($AM$15/$AN$15),0,$AM$15/$AN$15)</f>
        <v>0</v>
      </c>
      <c r="BI28" s="199">
        <f>IF(ISERROR($AM$16/$AN$16),0,$AM$16/$AN$16)</f>
        <v>0</v>
      </c>
      <c r="BJ28" s="199">
        <f>IF(ISERROR($AM$17/$AN$17),0,$AM$17/$AN$17)</f>
        <v>0</v>
      </c>
      <c r="BK28" s="199">
        <f>IF(ISERROR($AM$18/$AN$18),0,$AM$18/$AN$18)</f>
        <v>0</v>
      </c>
      <c r="BL28" s="199">
        <f>IF(ISERROR($AM$19/$AN$19),0,$AM$19/$AN$19)</f>
        <v>0</v>
      </c>
      <c r="BM28" s="199">
        <f>IF(ISERROR($AM$20/$AN$20),0,$AM$20/$AN$20)</f>
        <v>0</v>
      </c>
      <c r="BN28" s="199">
        <f>IF(ISERROR($AM$21/$AN$21),0,$AM$21/$AN$21)</f>
        <v>0</v>
      </c>
      <c r="BO28" s="199">
        <f>IF(ISERROR($AM$22/$AN$22),0,$AM$22/$AN$22)</f>
        <v>0</v>
      </c>
      <c r="BP28" s="199">
        <f>IF(ISERROR($AM$23/$AN$23),0,$AM$23/$AN$23)</f>
        <v>0</v>
      </c>
      <c r="BQ28" s="199">
        <f>IF(ISERROR($AM$24/$AN$24),0,$AM$24/$AN$24)</f>
        <v>0</v>
      </c>
      <c r="BR28" s="211"/>
      <c r="BS28" s="194" t="s">
        <v>37</v>
      </c>
      <c r="BT28" s="194" t="s">
        <v>521</v>
      </c>
      <c r="BU28" s="195"/>
      <c r="BV28" s="195"/>
      <c r="BW28" s="195"/>
      <c r="BX28" s="194" t="s">
        <v>522</v>
      </c>
      <c r="BY28" s="195"/>
      <c r="BZ28" s="195"/>
      <c r="CA28" s="195"/>
      <c r="CB28" s="194" t="s">
        <v>523</v>
      </c>
      <c r="CC28" s="195"/>
      <c r="CD28" s="195"/>
      <c r="CE28" s="195"/>
      <c r="CF28" s="194" t="s">
        <v>524</v>
      </c>
      <c r="CG28" s="195"/>
      <c r="CH28" s="195"/>
      <c r="CI28" s="195"/>
      <c r="CJ28" s="226"/>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row>
    <row r="29" s="61" customFormat="1" ht="16" customHeight="1" spans="1:121">
      <c r="A29" s="269" t="s">
        <v>309</v>
      </c>
      <c r="B29" s="270"/>
      <c r="C29" s="77">
        <f>B24</f>
        <v>0</v>
      </c>
      <c r="D29" s="79"/>
      <c r="E29" s="79"/>
      <c r="F29" s="79" t="e">
        <f>C28+C29</f>
        <v>#DIV/0!</v>
      </c>
      <c r="G29" s="73"/>
      <c r="H29" s="354" t="s">
        <v>582</v>
      </c>
      <c r="I29" s="81">
        <f>(H17-C22+初始化表!H4*B22)-((B17+D17)*初始化表!E18+(B18+D18)*初始化表!F18+(B19+D19)*初始化表!G18+(B20+D20)*初始化表!H18)/520</f>
        <v>0</v>
      </c>
      <c r="J29" s="354" t="s">
        <v>583</v>
      </c>
      <c r="K29" s="99">
        <f>H43-(SUM(B17:E17)*初始化表!E19+SUM(B18:E18)*初始化表!F19+SUM(B19:E19)*初始化表!G19+SUM(B20:E20)*初始化表!H19)</f>
        <v>0</v>
      </c>
      <c r="L29" s="99"/>
      <c r="M29" s="85"/>
      <c r="N29" s="269" t="s">
        <v>280</v>
      </c>
      <c r="O29" s="93" t="e">
        <f>O26</f>
        <v>#DIV/0!</v>
      </c>
      <c r="P29" s="93" t="e">
        <f t="shared" ref="P29:R29" si="45">P26</f>
        <v>#DIV/0!</v>
      </c>
      <c r="Q29" s="93" t="e">
        <f t="shared" si="45"/>
        <v>#DIV/0!</v>
      </c>
      <c r="R29" s="93" t="e">
        <f t="shared" si="45"/>
        <v>#DIV/0!</v>
      </c>
      <c r="S29" s="131"/>
      <c r="T29" s="120"/>
      <c r="U29" s="269" t="s">
        <v>584</v>
      </c>
      <c r="V29" s="269" t="s">
        <v>513</v>
      </c>
      <c r="W29" s="269" t="s">
        <v>514</v>
      </c>
      <c r="X29" s="269" t="s">
        <v>515</v>
      </c>
      <c r="Y29" s="269" t="s">
        <v>516</v>
      </c>
      <c r="Z29" s="74"/>
      <c r="AA29" s="73"/>
      <c r="AB29" s="151" t="s">
        <v>198</v>
      </c>
      <c r="AC29" s="156" t="e">
        <f t="shared" ref="AC29:AF32" si="46">AC11/AD5</f>
        <v>#DIV/0!</v>
      </c>
      <c r="AD29" s="156" t="e">
        <f t="shared" si="46"/>
        <v>#DIV/0!</v>
      </c>
      <c r="AE29" s="156" t="e">
        <f t="shared" si="46"/>
        <v>#DIV/0!</v>
      </c>
      <c r="AF29" s="156" t="e">
        <f t="shared" si="46"/>
        <v>#DIV/0!</v>
      </c>
      <c r="AG29" s="74"/>
      <c r="AH29" s="73"/>
      <c r="AI29" s="359"/>
      <c r="AJ29" s="366">
        <f>L56</f>
        <v>0</v>
      </c>
      <c r="AK29" s="364"/>
      <c r="AL29" s="364"/>
      <c r="AM29" s="360"/>
      <c r="AN29" s="365">
        <f>R43</f>
        <v>0.95</v>
      </c>
      <c r="AO29" s="370"/>
      <c r="AP29" s="370"/>
      <c r="AQ29" s="371"/>
      <c r="AR29" s="103"/>
      <c r="AS29" s="190" t="s">
        <v>455</v>
      </c>
      <c r="AT29" s="189">
        <f>(SUM(AK9:AK12)*初始化表!E17+SUM(AK13:AK16)*初始化表!F17+SUM(AK17:AK20)*初始化表!G17+SUM(AK21:AK24)*初始化表!H17)/1300</f>
        <v>0</v>
      </c>
      <c r="AU29" s="103"/>
      <c r="AV29" s="190"/>
      <c r="AW29" s="189"/>
      <c r="AZ29" s="193"/>
      <c r="BA29" s="200" t="s">
        <v>585</v>
      </c>
      <c r="BB29" s="201" t="e">
        <f>B6</f>
        <v>#DIV/0!</v>
      </c>
      <c r="BC29" s="201" t="e">
        <f>C6</f>
        <v>#DIV/0!</v>
      </c>
      <c r="BD29" s="201" t="e">
        <f>D6</f>
        <v>#DIV/0!</v>
      </c>
      <c r="BE29" s="201" t="e">
        <f>E6</f>
        <v>#DIV/0!</v>
      </c>
      <c r="BF29" s="201" t="e">
        <f>B7</f>
        <v>#DIV/0!</v>
      </c>
      <c r="BG29" s="201" t="e">
        <f>C7</f>
        <v>#DIV/0!</v>
      </c>
      <c r="BH29" s="201" t="e">
        <f>D7</f>
        <v>#DIV/0!</v>
      </c>
      <c r="BI29" s="201" t="e">
        <f>E7</f>
        <v>#DIV/0!</v>
      </c>
      <c r="BJ29" s="201" t="e">
        <f>B8</f>
        <v>#DIV/0!</v>
      </c>
      <c r="BK29" s="201" t="e">
        <f>C8</f>
        <v>#DIV/0!</v>
      </c>
      <c r="BL29" s="201" t="e">
        <f>D8</f>
        <v>#DIV/0!</v>
      </c>
      <c r="BM29" s="201" t="e">
        <f>E8</f>
        <v>#DIV/0!</v>
      </c>
      <c r="BN29" s="201" t="e">
        <f>B9</f>
        <v>#DIV/0!</v>
      </c>
      <c r="BO29" s="201" t="e">
        <f>C9</f>
        <v>#DIV/0!</v>
      </c>
      <c r="BP29" s="201" t="e">
        <f>D9</f>
        <v>#DIV/0!</v>
      </c>
      <c r="BQ29" s="201" t="e">
        <f>E9</f>
        <v>#DIV/0!</v>
      </c>
      <c r="BR29" s="211"/>
      <c r="BS29" s="195"/>
      <c r="BT29" s="194" t="s">
        <v>513</v>
      </c>
      <c r="BU29" s="194" t="s">
        <v>514</v>
      </c>
      <c r="BV29" s="194" t="s">
        <v>515</v>
      </c>
      <c r="BW29" s="194" t="s">
        <v>516</v>
      </c>
      <c r="BX29" s="194" t="s">
        <v>513</v>
      </c>
      <c r="BY29" s="194" t="s">
        <v>514</v>
      </c>
      <c r="BZ29" s="194" t="s">
        <v>515</v>
      </c>
      <c r="CA29" s="194" t="s">
        <v>516</v>
      </c>
      <c r="CB29" s="194" t="s">
        <v>513</v>
      </c>
      <c r="CC29" s="194" t="s">
        <v>514</v>
      </c>
      <c r="CD29" s="194" t="s">
        <v>515</v>
      </c>
      <c r="CE29" s="194" t="s">
        <v>516</v>
      </c>
      <c r="CF29" s="194" t="s">
        <v>513</v>
      </c>
      <c r="CG29" s="194" t="s">
        <v>514</v>
      </c>
      <c r="CH29" s="194" t="s">
        <v>515</v>
      </c>
      <c r="CI29" s="194" t="s">
        <v>516</v>
      </c>
      <c r="CJ29" s="226"/>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row>
    <row r="30" s="61" customFormat="1" ht="16" customHeight="1" spans="1:121">
      <c r="A30" s="269" t="s">
        <v>362</v>
      </c>
      <c r="B30" s="270"/>
      <c r="C30" s="77">
        <f>C24</f>
        <v>0</v>
      </c>
      <c r="D30" s="79"/>
      <c r="E30" s="79"/>
      <c r="F30" s="79" t="e">
        <f t="shared" ref="F30:F38" si="47">F29+C30</f>
        <v>#DIV/0!</v>
      </c>
      <c r="G30" s="73"/>
      <c r="H30" s="354" t="s">
        <v>586</v>
      </c>
      <c r="I30" s="354" t="s">
        <v>587</v>
      </c>
      <c r="J30" s="354" t="s">
        <v>588</v>
      </c>
      <c r="K30" s="354" t="s">
        <v>589</v>
      </c>
      <c r="L30" s="354" t="s">
        <v>590</v>
      </c>
      <c r="M30" s="85"/>
      <c r="N30" s="90"/>
      <c r="O30" s="90"/>
      <c r="P30" s="90"/>
      <c r="Q30" s="90"/>
      <c r="R30" s="90"/>
      <c r="S30" s="74"/>
      <c r="T30" s="120"/>
      <c r="U30" s="269" t="s">
        <v>521</v>
      </c>
      <c r="V30" s="115">
        <f>第5期!BB27</f>
        <v>0</v>
      </c>
      <c r="W30" s="115">
        <f>第5期!BC27</f>
        <v>0</v>
      </c>
      <c r="X30" s="115">
        <f>第5期!BD27</f>
        <v>0</v>
      </c>
      <c r="Y30" s="115">
        <f>第5期!BE27</f>
        <v>0</v>
      </c>
      <c r="Z30" s="74"/>
      <c r="AA30" s="73"/>
      <c r="AB30" s="151" t="s">
        <v>202</v>
      </c>
      <c r="AC30" s="156" t="e">
        <f t="shared" si="46"/>
        <v>#DIV/0!</v>
      </c>
      <c r="AD30" s="156" t="e">
        <f t="shared" si="46"/>
        <v>#DIV/0!</v>
      </c>
      <c r="AE30" s="156" t="e">
        <f t="shared" si="46"/>
        <v>#DIV/0!</v>
      </c>
      <c r="AF30" s="156" t="e">
        <f t="shared" si="46"/>
        <v>#DIV/0!</v>
      </c>
      <c r="AG30" s="74"/>
      <c r="AH30" s="73"/>
      <c r="AR30" s="103"/>
      <c r="AS30" s="190" t="s">
        <v>456</v>
      </c>
      <c r="AT30" s="189">
        <f>(AJ26*初始化表!E17+AJ27*初始化表!F17+AJ28*初始化表!G17+AJ29*初始化表!H17)/1300</f>
        <v>0</v>
      </c>
      <c r="AU30" s="103"/>
      <c r="AV30" s="103"/>
      <c r="AW30" s="103"/>
      <c r="AZ30" s="193"/>
      <c r="BA30" s="194" t="s">
        <v>37</v>
      </c>
      <c r="BB30" s="194" t="s">
        <v>591</v>
      </c>
      <c r="BC30" s="194" t="s">
        <v>592</v>
      </c>
      <c r="BD30" s="194" t="s">
        <v>593</v>
      </c>
      <c r="BE30" s="194" t="s">
        <v>594</v>
      </c>
      <c r="BF30" s="194" t="s">
        <v>595</v>
      </c>
      <c r="BG30" s="194" t="s">
        <v>596</v>
      </c>
      <c r="BH30" s="194" t="s">
        <v>597</v>
      </c>
      <c r="BI30" s="372" t="s">
        <v>598</v>
      </c>
      <c r="BJ30" s="194" t="s">
        <v>599</v>
      </c>
      <c r="BK30" s="194" t="s">
        <v>600</v>
      </c>
      <c r="BL30" s="203"/>
      <c r="BM30" s="194" t="s">
        <v>601</v>
      </c>
      <c r="BN30" s="194"/>
      <c r="BO30" s="194"/>
      <c r="BP30" s="194"/>
      <c r="BQ30" s="194"/>
      <c r="BR30" s="211"/>
      <c r="BS30" s="196">
        <f t="shared" ref="BS30:BS49" si="48">BS5</f>
        <v>0</v>
      </c>
      <c r="BT30" s="213" t="e">
        <f t="shared" ref="BT30:BT49" si="49">$BT5*(AJ61-BT$50)/BT$51</f>
        <v>#DIV/0!</v>
      </c>
      <c r="BU30" s="213" t="e">
        <f t="shared" ref="BU30:BU49" si="50">$BT5*(AK61-BU$50)/BU$51</f>
        <v>#DIV/0!</v>
      </c>
      <c r="BV30" s="213" t="e">
        <f t="shared" ref="BV30:BV49" si="51">$BT5*(AL61-BV$50)/BV$51</f>
        <v>#DIV/0!</v>
      </c>
      <c r="BW30" s="213" t="e">
        <f t="shared" ref="BW30:BW49" si="52">$BT5*(AM61-BW$50)/BW$51</f>
        <v>#DIV/0!</v>
      </c>
      <c r="BX30" s="213" t="e">
        <f t="shared" ref="BX30:BX49" si="53">$BT5*(AN61-BX$50)/BX$51</f>
        <v>#DIV/0!</v>
      </c>
      <c r="BY30" s="213" t="e">
        <f t="shared" ref="BY30:BY49" si="54">$BT5*(AO61-BY$50)/BY$51</f>
        <v>#DIV/0!</v>
      </c>
      <c r="BZ30" s="213" t="e">
        <f t="shared" ref="BZ30:BZ49" si="55">$BT5*(AP61-BZ$50)/BZ$51</f>
        <v>#DIV/0!</v>
      </c>
      <c r="CA30" s="213" t="e">
        <f t="shared" ref="CA30:CA49" si="56">$BT5*(AQ61-CA$50)/CA$51</f>
        <v>#DIV/0!</v>
      </c>
      <c r="CB30" s="213" t="e">
        <f t="shared" ref="CB30:CB49" si="57">$BT5*(AR61-CB$50)/CB$51</f>
        <v>#DIV/0!</v>
      </c>
      <c r="CC30" s="213" t="e">
        <f t="shared" ref="CC30:CC49" si="58">$BT5*(AS61-CC$50)/CC$51</f>
        <v>#DIV/0!</v>
      </c>
      <c r="CD30" s="213" t="e">
        <f t="shared" ref="CD30:CD49" si="59">$BT5*(AT61-CD$50)/CD$51</f>
        <v>#DIV/0!</v>
      </c>
      <c r="CE30" s="213" t="e">
        <f t="shared" ref="CE30:CE49" si="60">$BT5*(AU61-CE$50)/CE$51</f>
        <v>#DIV/0!</v>
      </c>
      <c r="CF30" s="213" t="e">
        <f t="shared" ref="CF30:CF49" si="61">$BT5*(AV61-CF$50)/CF$51</f>
        <v>#DIV/0!</v>
      </c>
      <c r="CG30" s="213" t="e">
        <f t="shared" ref="CG30:CG49" si="62">$BT5*(AW61-CG$50)/CG$51</f>
        <v>#DIV/0!</v>
      </c>
      <c r="CH30" s="213" t="e">
        <f t="shared" ref="CH30:CH49" si="63">$BT5*(AX61-CH$50)/CH$51</f>
        <v>#DIV/0!</v>
      </c>
      <c r="CI30" s="213" t="e">
        <f t="shared" ref="CI30:CI49" si="64">$BT5*(AY61-CI$50)/CI$51</f>
        <v>#DIV/0!</v>
      </c>
      <c r="CJ30" s="226"/>
      <c r="CK30" s="228"/>
      <c r="CL30" s="228"/>
      <c r="CM30" s="228"/>
      <c r="CN30" s="228"/>
      <c r="CO30" s="228"/>
      <c r="CP30" s="228"/>
      <c r="CQ30" s="228"/>
      <c r="CR30" s="228"/>
      <c r="CS30" s="228"/>
      <c r="CT30" s="228"/>
      <c r="CU30" s="228"/>
      <c r="CV30" s="228"/>
      <c r="CW30" s="228"/>
      <c r="CX30" s="228"/>
      <c r="CY30" s="228"/>
      <c r="CZ30" s="228"/>
      <c r="DA30" s="228"/>
      <c r="DB30" s="228"/>
      <c r="DC30" s="228"/>
      <c r="DD30" s="228"/>
      <c r="DE30" s="228"/>
      <c r="DF30" s="228"/>
      <c r="DG30" s="228"/>
      <c r="DH30" s="228"/>
      <c r="DI30" s="228"/>
      <c r="DJ30" s="228"/>
      <c r="DK30" s="228"/>
      <c r="DL30" s="228"/>
      <c r="DM30" s="228"/>
      <c r="DN30" s="228"/>
      <c r="DO30" s="228"/>
      <c r="DP30" s="228"/>
      <c r="DQ30" s="228"/>
    </row>
    <row r="31" s="61" customFormat="1" ht="16" customHeight="1" spans="1:121">
      <c r="A31" s="269" t="s">
        <v>363</v>
      </c>
      <c r="B31" s="270"/>
      <c r="C31" s="77">
        <f>-N35*5%</f>
        <v>0</v>
      </c>
      <c r="D31" s="79"/>
      <c r="E31" s="79"/>
      <c r="F31" s="79" t="e">
        <f t="shared" si="47"/>
        <v>#DIV/0!</v>
      </c>
      <c r="G31" s="73"/>
      <c r="H31" s="81" t="e">
        <f>N49-(B17*初始化表!E17+B18*初始化表!F17+B19*初始化表!G17+B20*初始化表!H17)/520</f>
        <v>#DIV/0!</v>
      </c>
      <c r="I31" s="81" t="e">
        <f>N49-(D17*初始化表!E17+D18*初始化表!F17+D19*初始化表!G17+D20*初始化表!H17)/520-(C17*初始化表!E17+C18*初始化表!F17+C19*初始化表!G17+C20*初始化表!H17)/260</f>
        <v>#DIV/0!</v>
      </c>
      <c r="J31" s="81" t="e">
        <f>N49-(E17*初始化表!E17+E18*初始化表!F17+E19*初始化表!G17+E20*初始化表!H17)/260</f>
        <v>#DIV/0!</v>
      </c>
      <c r="K31" s="81">
        <f>((D17-2*E17)*初始化表!E18+(D18-2*E18)*初始化表!F18+(D19-2*E19)*初始化表!G18+(D20-2*E20)*初始化表!H18)/520</f>
        <v>0</v>
      </c>
      <c r="L31" s="81">
        <f>((B17-2*C17)*初始化表!E18+(B18-2*C18)*初始化表!F18+(B19-2*C19)*初始化表!G18+(B20-2*C20)*初始化表!H18)/520</f>
        <v>0</v>
      </c>
      <c r="M31" s="85"/>
      <c r="N31" s="269" t="s">
        <v>602</v>
      </c>
      <c r="O31" s="270"/>
      <c r="P31" s="270"/>
      <c r="Q31" s="270"/>
      <c r="R31" s="270"/>
      <c r="S31" s="74"/>
      <c r="T31" s="120"/>
      <c r="U31" s="269" t="s">
        <v>522</v>
      </c>
      <c r="V31" s="115">
        <f>第5期!BF27</f>
        <v>0</v>
      </c>
      <c r="W31" s="115">
        <f>第5期!BG27</f>
        <v>0</v>
      </c>
      <c r="X31" s="115">
        <f>第5期!BH27</f>
        <v>0</v>
      </c>
      <c r="Y31" s="115">
        <f>第5期!BI27</f>
        <v>0</v>
      </c>
      <c r="Z31" s="74"/>
      <c r="AA31" s="73"/>
      <c r="AB31" s="151" t="s">
        <v>206</v>
      </c>
      <c r="AC31" s="156" t="e">
        <f t="shared" si="46"/>
        <v>#DIV/0!</v>
      </c>
      <c r="AD31" s="156" t="e">
        <f t="shared" si="46"/>
        <v>#DIV/0!</v>
      </c>
      <c r="AE31" s="156" t="e">
        <f t="shared" si="46"/>
        <v>#DIV/0!</v>
      </c>
      <c r="AF31" s="156" t="e">
        <f t="shared" si="46"/>
        <v>#DIV/0!</v>
      </c>
      <c r="AG31" s="74"/>
      <c r="AH31" s="73"/>
      <c r="AI31" s="68" t="s">
        <v>603</v>
      </c>
      <c r="AJ31" s="69"/>
      <c r="AK31" s="69"/>
      <c r="AL31" s="69"/>
      <c r="AM31" s="69"/>
      <c r="AN31" s="69"/>
      <c r="AO31" s="69"/>
      <c r="AP31" s="69"/>
      <c r="AQ31" s="69"/>
      <c r="AR31" s="69"/>
      <c r="AS31" s="69"/>
      <c r="AT31" s="69"/>
      <c r="AU31" s="69"/>
      <c r="AV31" s="69"/>
      <c r="AW31" s="69"/>
      <c r="AX31" s="69"/>
      <c r="AY31" s="69"/>
      <c r="AZ31" s="193"/>
      <c r="BA31" s="196">
        <f t="shared" ref="BA31:BA50" si="65">BA7</f>
        <v>0</v>
      </c>
      <c r="BB31" s="201">
        <f t="shared" ref="BB31:BB50" si="66">SUM(BB7:BE7)</f>
        <v>0</v>
      </c>
      <c r="BC31" s="201">
        <f t="shared" ref="BC31:BC50" si="67">SUM(BF7:BI7)</f>
        <v>0</v>
      </c>
      <c r="BD31" s="201">
        <f t="shared" ref="BD31:BD50" si="68">SUM(BJ7:BM7)</f>
        <v>0</v>
      </c>
      <c r="BE31" s="201">
        <f t="shared" ref="BE31:BE50" si="69">SUM(BN7:BQ7)</f>
        <v>0</v>
      </c>
      <c r="BF31" s="202">
        <f>(BB31*初始化表!E$17+BC31*初始化表!F$17+BD31*初始化表!G$17+BE31*初始化表!H$17)/1300</f>
        <v>0</v>
      </c>
      <c r="BG31" s="207">
        <f t="shared" ref="BG31:BG50" si="70">IF(BF31=0,0,AL107/BF31)</f>
        <v>0</v>
      </c>
      <c r="BH31" s="207">
        <f t="shared" ref="BH31:BH50" si="71">IF(BF31=0,0,AJ107/BF31)</f>
        <v>0</v>
      </c>
      <c r="BI31" s="321">
        <f>$BI$51+MAX(0,第5期!BI31)-BF31</f>
        <v>0</v>
      </c>
      <c r="BJ31" s="373" t="str">
        <f t="shared" ref="BJ31:BJ50" si="72">IF(BA31=0,"",RANK(BG31,$BG$31:$BG$50))</f>
        <v/>
      </c>
      <c r="BK31" s="373" t="str">
        <f t="shared" ref="BK31:BK50" si="73">IF(BA31=0,"",RANK(BH31,$BH$31:$BH$50))</f>
        <v/>
      </c>
      <c r="BL31" s="203"/>
      <c r="BM31" s="195"/>
      <c r="BN31" s="194" t="s">
        <v>513</v>
      </c>
      <c r="BO31" s="194" t="s">
        <v>514</v>
      </c>
      <c r="BP31" s="194" t="s">
        <v>515</v>
      </c>
      <c r="BQ31" s="194" t="s">
        <v>516</v>
      </c>
      <c r="BR31" s="211"/>
      <c r="BS31" s="196">
        <f t="shared" si="48"/>
        <v>0</v>
      </c>
      <c r="BT31" s="213" t="e">
        <f t="shared" si="49"/>
        <v>#DIV/0!</v>
      </c>
      <c r="BU31" s="213" t="e">
        <f t="shared" si="50"/>
        <v>#DIV/0!</v>
      </c>
      <c r="BV31" s="213" t="e">
        <f t="shared" si="51"/>
        <v>#DIV/0!</v>
      </c>
      <c r="BW31" s="213" t="e">
        <f t="shared" si="52"/>
        <v>#DIV/0!</v>
      </c>
      <c r="BX31" s="213" t="e">
        <f t="shared" si="53"/>
        <v>#DIV/0!</v>
      </c>
      <c r="BY31" s="213" t="e">
        <f t="shared" si="54"/>
        <v>#DIV/0!</v>
      </c>
      <c r="BZ31" s="213" t="e">
        <f t="shared" si="55"/>
        <v>#DIV/0!</v>
      </c>
      <c r="CA31" s="213" t="e">
        <f t="shared" si="56"/>
        <v>#DIV/0!</v>
      </c>
      <c r="CB31" s="213" t="e">
        <f t="shared" si="57"/>
        <v>#DIV/0!</v>
      </c>
      <c r="CC31" s="213" t="e">
        <f t="shared" si="58"/>
        <v>#DIV/0!</v>
      </c>
      <c r="CD31" s="213" t="e">
        <f t="shared" si="59"/>
        <v>#DIV/0!</v>
      </c>
      <c r="CE31" s="213" t="e">
        <f t="shared" si="60"/>
        <v>#DIV/0!</v>
      </c>
      <c r="CF31" s="213" t="e">
        <f t="shared" si="61"/>
        <v>#DIV/0!</v>
      </c>
      <c r="CG31" s="213" t="e">
        <f t="shared" si="62"/>
        <v>#DIV/0!</v>
      </c>
      <c r="CH31" s="213" t="e">
        <f t="shared" si="63"/>
        <v>#DIV/0!</v>
      </c>
      <c r="CI31" s="213" t="e">
        <f t="shared" si="64"/>
        <v>#DIV/0!</v>
      </c>
      <c r="CJ31" s="226"/>
      <c r="CK31" s="228"/>
      <c r="CL31" s="228"/>
      <c r="CM31" s="228"/>
      <c r="CN31" s="228"/>
      <c r="CO31" s="228"/>
      <c r="CP31" s="228"/>
      <c r="CQ31" s="228"/>
      <c r="CR31" s="228"/>
      <c r="CS31" s="228"/>
      <c r="CT31" s="228"/>
      <c r="CU31" s="228"/>
      <c r="CV31" s="228"/>
      <c r="CW31" s="228"/>
      <c r="CX31" s="228"/>
      <c r="CY31" s="228"/>
      <c r="CZ31" s="228"/>
      <c r="DA31" s="228"/>
      <c r="DB31" s="228"/>
      <c r="DC31" s="228"/>
      <c r="DD31" s="228"/>
      <c r="DE31" s="228"/>
      <c r="DF31" s="228"/>
      <c r="DG31" s="228"/>
      <c r="DH31" s="228"/>
      <c r="DI31" s="228"/>
      <c r="DJ31" s="228"/>
      <c r="DK31" s="228"/>
      <c r="DL31" s="228"/>
      <c r="DM31" s="228"/>
      <c r="DN31" s="228"/>
      <c r="DO31" s="228"/>
      <c r="DP31" s="228"/>
      <c r="DQ31" s="228"/>
    </row>
    <row r="32" s="61" customFormat="1" ht="16" customHeight="1" spans="1:121">
      <c r="A32" s="269" t="s">
        <v>364</v>
      </c>
      <c r="B32" s="270"/>
      <c r="C32" s="77">
        <f>-O35*初始化表!B24/4</f>
        <v>0</v>
      </c>
      <c r="D32" s="79"/>
      <c r="E32" s="79">
        <f>-C32</f>
        <v>0</v>
      </c>
      <c r="F32" s="79" t="e">
        <f t="shared" si="47"/>
        <v>#DIV/0!</v>
      </c>
      <c r="G32" s="73"/>
      <c r="H32" s="354" t="s">
        <v>604</v>
      </c>
      <c r="I32" s="354" t="s">
        <v>605</v>
      </c>
      <c r="J32" s="354" t="s">
        <v>606</v>
      </c>
      <c r="K32" s="354" t="s">
        <v>607</v>
      </c>
      <c r="L32" s="101"/>
      <c r="M32" s="85"/>
      <c r="N32" s="269" t="s">
        <v>608</v>
      </c>
      <c r="O32" s="269" t="s">
        <v>609</v>
      </c>
      <c r="P32" s="269" t="s">
        <v>610</v>
      </c>
      <c r="Q32" s="269" t="s">
        <v>611</v>
      </c>
      <c r="R32" s="269" t="s">
        <v>612</v>
      </c>
      <c r="S32" s="132"/>
      <c r="T32" s="120"/>
      <c r="U32" s="269" t="s">
        <v>523</v>
      </c>
      <c r="V32" s="115">
        <f>第5期!BJ27</f>
        <v>0</v>
      </c>
      <c r="W32" s="115">
        <f>第5期!BK27</f>
        <v>0</v>
      </c>
      <c r="X32" s="115">
        <f>第5期!BL27</f>
        <v>0</v>
      </c>
      <c r="Y32" s="115">
        <f>第5期!BM27</f>
        <v>0</v>
      </c>
      <c r="Z32" s="74"/>
      <c r="AA32" s="73"/>
      <c r="AB32" s="151" t="s">
        <v>208</v>
      </c>
      <c r="AC32" s="156" t="e">
        <f t="shared" si="46"/>
        <v>#DIV/0!</v>
      </c>
      <c r="AD32" s="156" t="e">
        <f t="shared" si="46"/>
        <v>#DIV/0!</v>
      </c>
      <c r="AE32" s="156" t="e">
        <f t="shared" si="46"/>
        <v>#DIV/0!</v>
      </c>
      <c r="AF32" s="156" t="e">
        <f t="shared" si="46"/>
        <v>#DIV/0!</v>
      </c>
      <c r="AG32" s="74"/>
      <c r="AH32" s="73"/>
      <c r="AI32" s="69"/>
      <c r="AJ32" s="69"/>
      <c r="AK32" s="69"/>
      <c r="AL32" s="69"/>
      <c r="AM32" s="69"/>
      <c r="AN32" s="69"/>
      <c r="AO32" s="69"/>
      <c r="AP32" s="69"/>
      <c r="AQ32" s="69"/>
      <c r="AR32" s="69"/>
      <c r="AS32" s="69"/>
      <c r="AT32" s="69"/>
      <c r="AU32" s="69"/>
      <c r="AV32" s="69"/>
      <c r="AW32" s="69"/>
      <c r="AX32" s="69"/>
      <c r="AY32" s="69"/>
      <c r="AZ32" s="193"/>
      <c r="BA32" s="196">
        <f t="shared" si="65"/>
        <v>0</v>
      </c>
      <c r="BB32" s="201">
        <f t="shared" si="66"/>
        <v>0</v>
      </c>
      <c r="BC32" s="201">
        <f t="shared" si="67"/>
        <v>0</v>
      </c>
      <c r="BD32" s="201">
        <f t="shared" si="68"/>
        <v>0</v>
      </c>
      <c r="BE32" s="201">
        <f t="shared" si="69"/>
        <v>0</v>
      </c>
      <c r="BF32" s="202">
        <f>(BB32*初始化表!E$17+BC32*初始化表!F$17+BD32*初始化表!G$17+BE32*初始化表!H$17)/1300</f>
        <v>0</v>
      </c>
      <c r="BG32" s="207">
        <f t="shared" si="70"/>
        <v>0</v>
      </c>
      <c r="BH32" s="207">
        <f t="shared" si="71"/>
        <v>0</v>
      </c>
      <c r="BI32" s="321">
        <f>$BI$51+MAX(0,第5期!BI32)-BF32</f>
        <v>0</v>
      </c>
      <c r="BJ32" s="373" t="str">
        <f t="shared" si="72"/>
        <v/>
      </c>
      <c r="BK32" s="373" t="str">
        <f t="shared" si="73"/>
        <v/>
      </c>
      <c r="BL32" s="203"/>
      <c r="BM32" s="194" t="s">
        <v>521</v>
      </c>
      <c r="BN32" s="201">
        <f>COUNTIF(BB7:BB26,"&gt;0")</f>
        <v>0</v>
      </c>
      <c r="BO32" s="201">
        <f>COUNTIF(BC7:BC26,"&gt;0")</f>
        <v>0</v>
      </c>
      <c r="BP32" s="201">
        <f>COUNTIF(BD7:BD26,"&gt;0")</f>
        <v>0</v>
      </c>
      <c r="BQ32" s="201">
        <f>COUNTIF(BE7:BE26,"&gt;0")</f>
        <v>0</v>
      </c>
      <c r="BR32" s="211"/>
      <c r="BS32" s="196">
        <f t="shared" si="48"/>
        <v>0</v>
      </c>
      <c r="BT32" s="213" t="e">
        <f t="shared" si="49"/>
        <v>#DIV/0!</v>
      </c>
      <c r="BU32" s="213" t="e">
        <f t="shared" si="50"/>
        <v>#DIV/0!</v>
      </c>
      <c r="BV32" s="213" t="e">
        <f t="shared" si="51"/>
        <v>#DIV/0!</v>
      </c>
      <c r="BW32" s="213" t="e">
        <f t="shared" si="52"/>
        <v>#DIV/0!</v>
      </c>
      <c r="BX32" s="213" t="e">
        <f t="shared" si="53"/>
        <v>#DIV/0!</v>
      </c>
      <c r="BY32" s="213" t="e">
        <f t="shared" si="54"/>
        <v>#DIV/0!</v>
      </c>
      <c r="BZ32" s="213" t="e">
        <f t="shared" si="55"/>
        <v>#DIV/0!</v>
      </c>
      <c r="CA32" s="213" t="e">
        <f t="shared" si="56"/>
        <v>#DIV/0!</v>
      </c>
      <c r="CB32" s="213" t="e">
        <f t="shared" si="57"/>
        <v>#DIV/0!</v>
      </c>
      <c r="CC32" s="213" t="e">
        <f t="shared" si="58"/>
        <v>#DIV/0!</v>
      </c>
      <c r="CD32" s="213" t="e">
        <f t="shared" si="59"/>
        <v>#DIV/0!</v>
      </c>
      <c r="CE32" s="213" t="e">
        <f t="shared" si="60"/>
        <v>#DIV/0!</v>
      </c>
      <c r="CF32" s="213" t="e">
        <f t="shared" si="61"/>
        <v>#DIV/0!</v>
      </c>
      <c r="CG32" s="213" t="e">
        <f t="shared" si="62"/>
        <v>#DIV/0!</v>
      </c>
      <c r="CH32" s="213" t="e">
        <f t="shared" si="63"/>
        <v>#DIV/0!</v>
      </c>
      <c r="CI32" s="213" t="e">
        <f t="shared" si="64"/>
        <v>#DIV/0!</v>
      </c>
      <c r="CJ32" s="226"/>
      <c r="CK32" s="228"/>
      <c r="CL32" s="228"/>
      <c r="CM32" s="228"/>
      <c r="CN32" s="228"/>
      <c r="CO32" s="228"/>
      <c r="CP32" s="228"/>
      <c r="CQ32" s="228"/>
      <c r="CR32" s="228"/>
      <c r="CS32" s="228"/>
      <c r="CT32" s="228"/>
      <c r="CU32" s="228"/>
      <c r="CV32" s="228"/>
      <c r="CW32" s="228"/>
      <c r="CX32" s="228"/>
      <c r="CY32" s="228"/>
      <c r="CZ32" s="228"/>
      <c r="DA32" s="228"/>
      <c r="DB32" s="228"/>
      <c r="DC32" s="228"/>
      <c r="DD32" s="228"/>
      <c r="DE32" s="228"/>
      <c r="DF32" s="228"/>
      <c r="DG32" s="228"/>
      <c r="DH32" s="228"/>
      <c r="DI32" s="228"/>
      <c r="DJ32" s="228"/>
      <c r="DK32" s="228"/>
      <c r="DL32" s="228"/>
      <c r="DM32" s="228"/>
      <c r="DN32" s="228"/>
      <c r="DO32" s="228"/>
      <c r="DP32" s="228"/>
      <c r="DQ32" s="228"/>
    </row>
    <row r="33" s="61" customFormat="1" ht="16" customHeight="1" spans="1:121">
      <c r="A33" s="269" t="s">
        <v>365</v>
      </c>
      <c r="B33" s="270"/>
      <c r="C33" s="77">
        <f>-B22*初始化表!B13</f>
        <v>0</v>
      </c>
      <c r="D33" s="79"/>
      <c r="E33" s="79">
        <f>E32-C33</f>
        <v>0</v>
      </c>
      <c r="F33" s="79" t="e">
        <f t="shared" si="47"/>
        <v>#DIV/0!</v>
      </c>
      <c r="G33" s="73"/>
      <c r="H33" s="82" t="e">
        <f>520*H31</f>
        <v>#DIV/0!</v>
      </c>
      <c r="I33" s="82" t="e">
        <f>520*I31</f>
        <v>#DIV/0!</v>
      </c>
      <c r="J33" s="82" t="e">
        <f>260*J31</f>
        <v>#DIV/0!</v>
      </c>
      <c r="K33" s="82">
        <f>I29*520</f>
        <v>0</v>
      </c>
      <c r="L33" s="91"/>
      <c r="M33" s="85"/>
      <c r="N33" s="83" t="e">
        <f>INT(IF(C28&lt;初始化表!B21,MIN((初始化表!B21-C28),P33),0)+1)</f>
        <v>#DIV/0!</v>
      </c>
      <c r="O33" s="83" t="e">
        <f>MAX(N33,IF(F48&lt;0,INT(-F48+1),0))</f>
        <v>#DIV/0!</v>
      </c>
      <c r="P33" s="102">
        <f>第5期!P33-第5期!B24</f>
        <v>0</v>
      </c>
      <c r="Q33" s="107"/>
      <c r="R33" s="83" t="e">
        <f>第5期!C37</f>
        <v>#DIV/0!</v>
      </c>
      <c r="S33" s="74"/>
      <c r="T33" s="120"/>
      <c r="U33" s="269" t="s">
        <v>524</v>
      </c>
      <c r="V33" s="115">
        <f>第5期!BN27</f>
        <v>0</v>
      </c>
      <c r="W33" s="115">
        <f>第5期!BO27</f>
        <v>0</v>
      </c>
      <c r="X33" s="115">
        <f>第5期!BP27</f>
        <v>0</v>
      </c>
      <c r="Y33" s="115">
        <f>第5期!BQ27</f>
        <v>0</v>
      </c>
      <c r="Z33" s="74"/>
      <c r="AA33" s="73"/>
      <c r="AB33" s="155"/>
      <c r="AC33" s="155"/>
      <c r="AD33" s="155"/>
      <c r="AE33" s="155"/>
      <c r="AF33" s="155"/>
      <c r="AG33" s="155"/>
      <c r="AH33" s="73"/>
      <c r="AZ33" s="193"/>
      <c r="BA33" s="196">
        <f t="shared" si="65"/>
        <v>0</v>
      </c>
      <c r="BB33" s="201">
        <f t="shared" si="66"/>
        <v>0</v>
      </c>
      <c r="BC33" s="201">
        <f t="shared" si="67"/>
        <v>0</v>
      </c>
      <c r="BD33" s="201">
        <f t="shared" si="68"/>
        <v>0</v>
      </c>
      <c r="BE33" s="201">
        <f t="shared" si="69"/>
        <v>0</v>
      </c>
      <c r="BF33" s="202">
        <f>(BB33*初始化表!E$17+BC33*初始化表!F$17+BD33*初始化表!G$17+BE33*初始化表!H$17)/1300</f>
        <v>0</v>
      </c>
      <c r="BG33" s="207">
        <f t="shared" si="70"/>
        <v>0</v>
      </c>
      <c r="BH33" s="207">
        <f t="shared" si="71"/>
        <v>0</v>
      </c>
      <c r="BI33" s="321">
        <f>$BI$51+MAX(0,第5期!BI33)-BF33</f>
        <v>0</v>
      </c>
      <c r="BJ33" s="373" t="str">
        <f t="shared" si="72"/>
        <v/>
      </c>
      <c r="BK33" s="373" t="str">
        <f t="shared" si="73"/>
        <v/>
      </c>
      <c r="BL33" s="203"/>
      <c r="BM33" s="194" t="s">
        <v>522</v>
      </c>
      <c r="BN33" s="201">
        <f>COUNTIF(BF7:BF26,"&gt;0")</f>
        <v>0</v>
      </c>
      <c r="BO33" s="201">
        <f>COUNTIF(BG7:BG26,"&gt;0")</f>
        <v>0</v>
      </c>
      <c r="BP33" s="201">
        <f>COUNTIF(BH7:BH26,"&gt;0")</f>
        <v>0</v>
      </c>
      <c r="BQ33" s="201">
        <f>COUNTIF(BI7:BI26,"&gt;0")</f>
        <v>0</v>
      </c>
      <c r="BR33" s="211"/>
      <c r="BS33" s="196">
        <f t="shared" si="48"/>
        <v>0</v>
      </c>
      <c r="BT33" s="213" t="e">
        <f t="shared" si="49"/>
        <v>#DIV/0!</v>
      </c>
      <c r="BU33" s="213" t="e">
        <f t="shared" si="50"/>
        <v>#DIV/0!</v>
      </c>
      <c r="BV33" s="213" t="e">
        <f t="shared" si="51"/>
        <v>#DIV/0!</v>
      </c>
      <c r="BW33" s="213" t="e">
        <f t="shared" si="52"/>
        <v>#DIV/0!</v>
      </c>
      <c r="BX33" s="213" t="e">
        <f t="shared" si="53"/>
        <v>#DIV/0!</v>
      </c>
      <c r="BY33" s="213" t="e">
        <f t="shared" si="54"/>
        <v>#DIV/0!</v>
      </c>
      <c r="BZ33" s="213" t="e">
        <f t="shared" si="55"/>
        <v>#DIV/0!</v>
      </c>
      <c r="CA33" s="213" t="e">
        <f t="shared" si="56"/>
        <v>#DIV/0!</v>
      </c>
      <c r="CB33" s="213" t="e">
        <f t="shared" si="57"/>
        <v>#DIV/0!</v>
      </c>
      <c r="CC33" s="213" t="e">
        <f t="shared" si="58"/>
        <v>#DIV/0!</v>
      </c>
      <c r="CD33" s="213" t="e">
        <f t="shared" si="59"/>
        <v>#DIV/0!</v>
      </c>
      <c r="CE33" s="213" t="e">
        <f t="shared" si="60"/>
        <v>#DIV/0!</v>
      </c>
      <c r="CF33" s="213" t="e">
        <f t="shared" si="61"/>
        <v>#DIV/0!</v>
      </c>
      <c r="CG33" s="213" t="e">
        <f t="shared" si="62"/>
        <v>#DIV/0!</v>
      </c>
      <c r="CH33" s="213" t="e">
        <f t="shared" si="63"/>
        <v>#DIV/0!</v>
      </c>
      <c r="CI33" s="213" t="e">
        <f t="shared" si="64"/>
        <v>#DIV/0!</v>
      </c>
      <c r="CJ33" s="226"/>
      <c r="CK33" s="228"/>
      <c r="CL33" s="228"/>
      <c r="CM33" s="228"/>
      <c r="CN33" s="228"/>
      <c r="CO33" s="228"/>
      <c r="CP33" s="228"/>
      <c r="CQ33" s="228"/>
      <c r="CR33" s="228"/>
      <c r="CS33" s="228"/>
      <c r="CT33" s="228"/>
      <c r="CU33" s="228"/>
      <c r="CV33" s="228"/>
      <c r="CW33" s="228"/>
      <c r="CX33" s="228"/>
      <c r="CY33" s="228"/>
      <c r="CZ33" s="228"/>
      <c r="DA33" s="228"/>
      <c r="DB33" s="228"/>
      <c r="DC33" s="228"/>
      <c r="DD33" s="228"/>
      <c r="DE33" s="228"/>
      <c r="DF33" s="228"/>
      <c r="DG33" s="228"/>
      <c r="DH33" s="228"/>
      <c r="DI33" s="228"/>
      <c r="DJ33" s="228"/>
      <c r="DK33" s="228"/>
      <c r="DL33" s="228"/>
      <c r="DM33" s="228"/>
      <c r="DN33" s="228"/>
      <c r="DO33" s="228"/>
      <c r="DP33" s="228"/>
      <c r="DQ33" s="228"/>
    </row>
    <row r="34" s="61" customFormat="1" ht="16" customHeight="1" spans="1:121">
      <c r="A34" s="269" t="s">
        <v>366</v>
      </c>
      <c r="B34" s="270"/>
      <c r="C34" s="77">
        <f>-C22*初始化表!B14</f>
        <v>0</v>
      </c>
      <c r="D34" s="79"/>
      <c r="E34" s="79">
        <f>E33-C34</f>
        <v>0</v>
      </c>
      <c r="F34" s="79" t="e">
        <f t="shared" si="47"/>
        <v>#DIV/0!</v>
      </c>
      <c r="G34" s="73"/>
      <c r="H34" s="354" t="s">
        <v>244</v>
      </c>
      <c r="I34" s="103">
        <f>-C43</f>
        <v>0</v>
      </c>
      <c r="J34" s="270" t="s">
        <v>613</v>
      </c>
      <c r="K34" s="357" t="s">
        <v>614</v>
      </c>
      <c r="L34" s="357"/>
      <c r="M34" s="85"/>
      <c r="N34" s="269" t="s">
        <v>615</v>
      </c>
      <c r="O34" s="269" t="s">
        <v>616</v>
      </c>
      <c r="P34" s="269" t="s">
        <v>617</v>
      </c>
      <c r="Q34" s="269" t="s">
        <v>618</v>
      </c>
      <c r="R34" s="269" t="s">
        <v>619</v>
      </c>
      <c r="S34" s="121"/>
      <c r="T34" s="120"/>
      <c r="U34" s="123"/>
      <c r="V34" s="74"/>
      <c r="W34" s="74"/>
      <c r="X34" s="74"/>
      <c r="Y34" s="74"/>
      <c r="Z34" s="74"/>
      <c r="AA34" s="73"/>
      <c r="AB34" s="151" t="s">
        <v>500</v>
      </c>
      <c r="AC34" s="151" t="s">
        <v>499</v>
      </c>
      <c r="AD34" s="151" t="s">
        <v>38</v>
      </c>
      <c r="AE34" s="151" t="s">
        <v>39</v>
      </c>
      <c r="AF34" s="151" t="s">
        <v>40</v>
      </c>
      <c r="AG34" s="151" t="s">
        <v>41</v>
      </c>
      <c r="AH34" s="73"/>
      <c r="AI34" s="68" t="s">
        <v>480</v>
      </c>
      <c r="AJ34" s="69"/>
      <c r="AK34" s="69"/>
      <c r="AL34" s="69"/>
      <c r="AM34" s="69"/>
      <c r="AN34" s="69"/>
      <c r="AO34" s="69"/>
      <c r="AP34" s="69"/>
      <c r="AQ34" s="69"/>
      <c r="AR34" s="69"/>
      <c r="AS34" s="69"/>
      <c r="AT34" s="69"/>
      <c r="AU34" s="69"/>
      <c r="AV34" s="69"/>
      <c r="AW34" s="69"/>
      <c r="AX34" s="69"/>
      <c r="AY34" s="69"/>
      <c r="AZ34" s="193"/>
      <c r="BA34" s="196">
        <f t="shared" si="65"/>
        <v>0</v>
      </c>
      <c r="BB34" s="201">
        <f t="shared" si="66"/>
        <v>0</v>
      </c>
      <c r="BC34" s="201">
        <f t="shared" si="67"/>
        <v>0</v>
      </c>
      <c r="BD34" s="201">
        <f t="shared" si="68"/>
        <v>0</v>
      </c>
      <c r="BE34" s="201">
        <f t="shared" si="69"/>
        <v>0</v>
      </c>
      <c r="BF34" s="202">
        <f>(BB34*初始化表!E$17+BC34*初始化表!F$17+BD34*初始化表!G$17+BE34*初始化表!H$17)/1300</f>
        <v>0</v>
      </c>
      <c r="BG34" s="207">
        <f t="shared" si="70"/>
        <v>0</v>
      </c>
      <c r="BH34" s="207">
        <f t="shared" si="71"/>
        <v>0</v>
      </c>
      <c r="BI34" s="321">
        <f>$BI$51+MAX(0,第5期!BI34)-BF34</f>
        <v>0</v>
      </c>
      <c r="BJ34" s="373" t="str">
        <f t="shared" si="72"/>
        <v/>
      </c>
      <c r="BK34" s="373" t="str">
        <f t="shared" si="73"/>
        <v/>
      </c>
      <c r="BL34" s="203"/>
      <c r="BM34" s="194" t="s">
        <v>523</v>
      </c>
      <c r="BN34" s="201">
        <f>COUNTIF(BJ7:BJ26,"&gt;0")</f>
        <v>0</v>
      </c>
      <c r="BO34" s="201">
        <f>COUNTIF(BK7:BK26,"&gt;0")</f>
        <v>0</v>
      </c>
      <c r="BP34" s="201">
        <f>COUNTIF(BL7:BL26,"&gt;0")</f>
        <v>0</v>
      </c>
      <c r="BQ34" s="201">
        <f>COUNTIF(BM7:BM26,"&gt;0")</f>
        <v>0</v>
      </c>
      <c r="BR34" s="211"/>
      <c r="BS34" s="196">
        <f t="shared" si="48"/>
        <v>0</v>
      </c>
      <c r="BT34" s="213" t="e">
        <f t="shared" si="49"/>
        <v>#DIV/0!</v>
      </c>
      <c r="BU34" s="213" t="e">
        <f t="shared" si="50"/>
        <v>#DIV/0!</v>
      </c>
      <c r="BV34" s="213" t="e">
        <f t="shared" si="51"/>
        <v>#DIV/0!</v>
      </c>
      <c r="BW34" s="213" t="e">
        <f t="shared" si="52"/>
        <v>#DIV/0!</v>
      </c>
      <c r="BX34" s="213" t="e">
        <f t="shared" si="53"/>
        <v>#DIV/0!</v>
      </c>
      <c r="BY34" s="213" t="e">
        <f t="shared" si="54"/>
        <v>#DIV/0!</v>
      </c>
      <c r="BZ34" s="213" t="e">
        <f t="shared" si="55"/>
        <v>#DIV/0!</v>
      </c>
      <c r="CA34" s="213" t="e">
        <f t="shared" si="56"/>
        <v>#DIV/0!</v>
      </c>
      <c r="CB34" s="213" t="e">
        <f t="shared" si="57"/>
        <v>#DIV/0!</v>
      </c>
      <c r="CC34" s="213" t="e">
        <f t="shared" si="58"/>
        <v>#DIV/0!</v>
      </c>
      <c r="CD34" s="213" t="e">
        <f t="shared" si="59"/>
        <v>#DIV/0!</v>
      </c>
      <c r="CE34" s="213" t="e">
        <f t="shared" si="60"/>
        <v>#DIV/0!</v>
      </c>
      <c r="CF34" s="213" t="e">
        <f t="shared" si="61"/>
        <v>#DIV/0!</v>
      </c>
      <c r="CG34" s="213" t="e">
        <f t="shared" si="62"/>
        <v>#DIV/0!</v>
      </c>
      <c r="CH34" s="213" t="e">
        <f t="shared" si="63"/>
        <v>#DIV/0!</v>
      </c>
      <c r="CI34" s="213" t="e">
        <f t="shared" si="64"/>
        <v>#DIV/0!</v>
      </c>
      <c r="CJ34" s="226"/>
      <c r="CK34" s="228"/>
      <c r="CL34" s="228"/>
      <c r="CM34" s="228"/>
      <c r="CN34" s="228"/>
      <c r="CO34" s="228"/>
      <c r="CP34" s="228"/>
      <c r="CQ34" s="228"/>
      <c r="CR34" s="228"/>
      <c r="CS34" s="228"/>
      <c r="CT34" s="228"/>
      <c r="CU34" s="228"/>
      <c r="CV34" s="228"/>
      <c r="CW34" s="228"/>
      <c r="CX34" s="228"/>
      <c r="CY34" s="228"/>
      <c r="CZ34" s="228"/>
      <c r="DA34" s="228"/>
      <c r="DB34" s="228"/>
      <c r="DC34" s="228"/>
      <c r="DD34" s="228"/>
      <c r="DE34" s="228"/>
      <c r="DF34" s="228"/>
      <c r="DG34" s="228"/>
      <c r="DH34" s="228"/>
      <c r="DI34" s="228"/>
      <c r="DJ34" s="228"/>
      <c r="DK34" s="228"/>
      <c r="DL34" s="228"/>
      <c r="DM34" s="228"/>
      <c r="DN34" s="228"/>
      <c r="DO34" s="228"/>
      <c r="DP34" s="228"/>
      <c r="DQ34" s="228"/>
    </row>
    <row r="35" s="61" customFormat="1" ht="16" customHeight="1" spans="1:121">
      <c r="A35" s="269" t="s">
        <v>367</v>
      </c>
      <c r="B35" s="270"/>
      <c r="C35" s="77">
        <f>-(H17-C22+B22*初始化表!H4)*初始化表!B15*520*F24</f>
        <v>0</v>
      </c>
      <c r="D35" s="79"/>
      <c r="E35" s="79">
        <f>E34-C35</f>
        <v>0</v>
      </c>
      <c r="F35" s="79" t="e">
        <f t="shared" si="47"/>
        <v>#DIV/0!</v>
      </c>
      <c r="G35" s="73"/>
      <c r="H35" s="354" t="s">
        <v>223</v>
      </c>
      <c r="I35" s="103">
        <f>-C33</f>
        <v>0</v>
      </c>
      <c r="J35" s="77" t="e">
        <f>INT(($N$49*1300-SUMPRODUCT($L$177:$L$180,$H$177:$H$180))/H177)</f>
        <v>#DIV/0!</v>
      </c>
      <c r="K35" s="269" t="s">
        <v>198</v>
      </c>
      <c r="L35" s="90"/>
      <c r="M35" s="85"/>
      <c r="N35" s="102">
        <f>第5期!C24+第5期!N35</f>
        <v>0</v>
      </c>
      <c r="O35" s="102">
        <f>第5期!O35+第5期!C31+第5期!C30</f>
        <v>0</v>
      </c>
      <c r="P35" s="83" t="e">
        <f>INT(Q35)</f>
        <v>#DIV/0!</v>
      </c>
      <c r="Q35" s="133" t="e">
        <f>0.5*第5期!B80-O35</f>
        <v>#DIV/0!</v>
      </c>
      <c r="R35" s="107"/>
      <c r="S35" s="131"/>
      <c r="T35" s="120"/>
      <c r="U35" s="68" t="s">
        <v>620</v>
      </c>
      <c r="V35" s="68" t="s">
        <v>459</v>
      </c>
      <c r="W35" s="68" t="s">
        <v>460</v>
      </c>
      <c r="X35" s="68" t="s">
        <v>461</v>
      </c>
      <c r="Y35" s="68" t="s">
        <v>462</v>
      </c>
      <c r="Z35" s="74"/>
      <c r="AA35" s="73"/>
      <c r="AB35" s="151" t="s">
        <v>198</v>
      </c>
      <c r="AC35" s="152" t="e">
        <f>初始化表!$E$22-AC5</f>
        <v>#DIV/0!</v>
      </c>
      <c r="AD35" s="152" t="e">
        <f>初始化表!$E$22-AD5</f>
        <v>#DIV/0!</v>
      </c>
      <c r="AE35" s="152" t="e">
        <f>初始化表!$E$22-AE5</f>
        <v>#DIV/0!</v>
      </c>
      <c r="AF35" s="152" t="e">
        <f>初始化表!$E$22-AF5</f>
        <v>#DIV/0!</v>
      </c>
      <c r="AG35" s="152" t="e">
        <f>初始化表!$E$22-AG5</f>
        <v>#DIV/0!</v>
      </c>
      <c r="AH35" s="73"/>
      <c r="AI35" s="68" t="s">
        <v>37</v>
      </c>
      <c r="AJ35" s="68" t="s">
        <v>35</v>
      </c>
      <c r="AK35" s="69"/>
      <c r="AL35" s="69"/>
      <c r="AM35" s="69"/>
      <c r="AN35" s="68" t="s">
        <v>465</v>
      </c>
      <c r="AO35" s="69"/>
      <c r="AP35" s="69"/>
      <c r="AQ35" s="69"/>
      <c r="AR35" s="68" t="s">
        <v>466</v>
      </c>
      <c r="AS35" s="69"/>
      <c r="AT35" s="69"/>
      <c r="AU35" s="69"/>
      <c r="AV35" s="68" t="s">
        <v>468</v>
      </c>
      <c r="AW35" s="69"/>
      <c r="AX35" s="69"/>
      <c r="AY35" s="69"/>
      <c r="AZ35" s="193"/>
      <c r="BA35" s="196">
        <f t="shared" si="65"/>
        <v>0</v>
      </c>
      <c r="BB35" s="201">
        <f t="shared" si="66"/>
        <v>0</v>
      </c>
      <c r="BC35" s="201">
        <f t="shared" si="67"/>
        <v>0</v>
      </c>
      <c r="BD35" s="201">
        <f t="shared" si="68"/>
        <v>0</v>
      </c>
      <c r="BE35" s="201">
        <f t="shared" si="69"/>
        <v>0</v>
      </c>
      <c r="BF35" s="202">
        <f>(BB35*初始化表!E$17+BC35*初始化表!F$17+BD35*初始化表!G$17+BE35*初始化表!H$17)/1300</f>
        <v>0</v>
      </c>
      <c r="BG35" s="207">
        <f t="shared" si="70"/>
        <v>0</v>
      </c>
      <c r="BH35" s="207">
        <f t="shared" si="71"/>
        <v>0</v>
      </c>
      <c r="BI35" s="321">
        <f>$BI$51+MAX(0,第5期!BI35)-BF35</f>
        <v>0</v>
      </c>
      <c r="BJ35" s="373" t="str">
        <f t="shared" si="72"/>
        <v/>
      </c>
      <c r="BK35" s="373" t="str">
        <f t="shared" si="73"/>
        <v/>
      </c>
      <c r="BL35" s="203"/>
      <c r="BM35" s="194" t="s">
        <v>524</v>
      </c>
      <c r="BN35" s="201">
        <f>COUNTIF(BN7:BN26,"&gt;0")</f>
        <v>0</v>
      </c>
      <c r="BO35" s="201">
        <f>COUNTIF(BO7:BO26,"&gt;0")</f>
        <v>0</v>
      </c>
      <c r="BP35" s="201">
        <f>COUNTIF(BP7:BP26,"&gt;0")</f>
        <v>0</v>
      </c>
      <c r="BQ35" s="201">
        <f>COUNTIF(BQ7:BQ26,"&gt;0")</f>
        <v>0</v>
      </c>
      <c r="BR35" s="211"/>
      <c r="BS35" s="196">
        <f t="shared" si="48"/>
        <v>0</v>
      </c>
      <c r="BT35" s="213" t="e">
        <f t="shared" si="49"/>
        <v>#DIV/0!</v>
      </c>
      <c r="BU35" s="213" t="e">
        <f t="shared" si="50"/>
        <v>#DIV/0!</v>
      </c>
      <c r="BV35" s="213" t="e">
        <f t="shared" si="51"/>
        <v>#DIV/0!</v>
      </c>
      <c r="BW35" s="213" t="e">
        <f t="shared" si="52"/>
        <v>#DIV/0!</v>
      </c>
      <c r="BX35" s="213" t="e">
        <f t="shared" si="53"/>
        <v>#DIV/0!</v>
      </c>
      <c r="BY35" s="213" t="e">
        <f t="shared" si="54"/>
        <v>#DIV/0!</v>
      </c>
      <c r="BZ35" s="213" t="e">
        <f t="shared" si="55"/>
        <v>#DIV/0!</v>
      </c>
      <c r="CA35" s="213" t="e">
        <f t="shared" si="56"/>
        <v>#DIV/0!</v>
      </c>
      <c r="CB35" s="213" t="e">
        <f t="shared" si="57"/>
        <v>#DIV/0!</v>
      </c>
      <c r="CC35" s="213" t="e">
        <f t="shared" si="58"/>
        <v>#DIV/0!</v>
      </c>
      <c r="CD35" s="213" t="e">
        <f t="shared" si="59"/>
        <v>#DIV/0!</v>
      </c>
      <c r="CE35" s="213" t="e">
        <f t="shared" si="60"/>
        <v>#DIV/0!</v>
      </c>
      <c r="CF35" s="213" t="e">
        <f t="shared" si="61"/>
        <v>#DIV/0!</v>
      </c>
      <c r="CG35" s="213" t="e">
        <f t="shared" si="62"/>
        <v>#DIV/0!</v>
      </c>
      <c r="CH35" s="213" t="e">
        <f t="shared" si="63"/>
        <v>#DIV/0!</v>
      </c>
      <c r="CI35" s="213" t="e">
        <f t="shared" si="64"/>
        <v>#DIV/0!</v>
      </c>
      <c r="CJ35" s="226"/>
      <c r="CK35" s="228"/>
      <c r="CL35" s="228"/>
      <c r="CM35" s="228"/>
      <c r="CN35" s="228"/>
      <c r="CO35" s="228"/>
      <c r="CP35" s="228"/>
      <c r="CQ35" s="228"/>
      <c r="CR35" s="228"/>
      <c r="CS35" s="228"/>
      <c r="CT35" s="228"/>
      <c r="CU35" s="228"/>
      <c r="CV35" s="228"/>
      <c r="CW35" s="228"/>
      <c r="CX35" s="228"/>
      <c r="CY35" s="228"/>
      <c r="CZ35" s="228"/>
      <c r="DA35" s="228"/>
      <c r="DB35" s="228"/>
      <c r="DC35" s="228"/>
      <c r="DD35" s="228"/>
      <c r="DE35" s="228"/>
      <c r="DF35" s="228"/>
      <c r="DG35" s="228"/>
      <c r="DH35" s="228"/>
      <c r="DI35" s="228"/>
      <c r="DJ35" s="228"/>
      <c r="DK35" s="228"/>
      <c r="DL35" s="228"/>
      <c r="DM35" s="228"/>
      <c r="DN35" s="228"/>
      <c r="DO35" s="228"/>
      <c r="DP35" s="228"/>
      <c r="DQ35" s="228"/>
    </row>
    <row r="36" s="61" customFormat="1" ht="16" customHeight="1" spans="1:121">
      <c r="A36" s="269" t="s">
        <v>368</v>
      </c>
      <c r="B36" s="270"/>
      <c r="C36" s="77" t="e">
        <f>-N49*初始化表!B12</f>
        <v>#DIV/0!</v>
      </c>
      <c r="D36" s="79"/>
      <c r="E36" s="79" t="e">
        <f>E35-C36</f>
        <v>#DIV/0!</v>
      </c>
      <c r="F36" s="79" t="e">
        <f t="shared" si="47"/>
        <v>#DIV/0!</v>
      </c>
      <c r="G36" s="73"/>
      <c r="H36" s="354" t="s">
        <v>621</v>
      </c>
      <c r="I36" s="103">
        <f>-C34</f>
        <v>0</v>
      </c>
      <c r="J36" s="77" t="e">
        <f>INT(($N$49*1300-SUMPRODUCT($L$177:$L$180,$H$177:$H$180))/H178)</f>
        <v>#DIV/0!</v>
      </c>
      <c r="K36" s="269" t="s">
        <v>202</v>
      </c>
      <c r="L36" s="90"/>
      <c r="M36" s="85"/>
      <c r="N36" s="269" t="s">
        <v>622</v>
      </c>
      <c r="O36" s="269" t="s">
        <v>623</v>
      </c>
      <c r="P36" s="269" t="s">
        <v>624</v>
      </c>
      <c r="Q36" s="269" t="s">
        <v>625</v>
      </c>
      <c r="R36" s="269" t="s">
        <v>626</v>
      </c>
      <c r="S36" s="269" t="s">
        <v>739</v>
      </c>
      <c r="T36" s="269" t="s">
        <v>740</v>
      </c>
      <c r="U36" s="68" t="s">
        <v>464</v>
      </c>
      <c r="V36" s="115" t="e">
        <f>第5期!BN42</f>
        <v>#DIV/0!</v>
      </c>
      <c r="W36" s="115" t="e">
        <f>第5期!BO42</f>
        <v>#DIV/0!</v>
      </c>
      <c r="X36" s="115" t="e">
        <f>第5期!BP42</f>
        <v>#DIV/0!</v>
      </c>
      <c r="Y36" s="115" t="e">
        <f>第5期!BQ42</f>
        <v>#DIV/0!</v>
      </c>
      <c r="Z36" s="74"/>
      <c r="AA36" s="73"/>
      <c r="AB36" s="151" t="s">
        <v>202</v>
      </c>
      <c r="AC36" s="152" t="e">
        <f>初始化表!$F$22-AC6</f>
        <v>#DIV/0!</v>
      </c>
      <c r="AD36" s="152" t="e">
        <f>初始化表!$F$22-AD6</f>
        <v>#DIV/0!</v>
      </c>
      <c r="AE36" s="152" t="e">
        <f>初始化表!$F$22-AE6</f>
        <v>#DIV/0!</v>
      </c>
      <c r="AF36" s="152" t="e">
        <f>初始化表!$F$22-AF6</f>
        <v>#DIV/0!</v>
      </c>
      <c r="AG36" s="152" t="e">
        <f>初始化表!$F$22-AG6</f>
        <v>#DIV/0!</v>
      </c>
      <c r="AH36" s="73"/>
      <c r="AI36" s="69"/>
      <c r="AJ36" s="68" t="s">
        <v>320</v>
      </c>
      <c r="AK36" s="68" t="s">
        <v>321</v>
      </c>
      <c r="AL36" s="68" t="s">
        <v>322</v>
      </c>
      <c r="AM36" s="68" t="s">
        <v>319</v>
      </c>
      <c r="AN36" s="68" t="s">
        <v>320</v>
      </c>
      <c r="AO36" s="68" t="s">
        <v>321</v>
      </c>
      <c r="AP36" s="68" t="s">
        <v>322</v>
      </c>
      <c r="AQ36" s="68" t="s">
        <v>319</v>
      </c>
      <c r="AR36" s="68" t="s">
        <v>320</v>
      </c>
      <c r="AS36" s="68" t="s">
        <v>321</v>
      </c>
      <c r="AT36" s="68" t="s">
        <v>322</v>
      </c>
      <c r="AU36" s="68" t="s">
        <v>319</v>
      </c>
      <c r="AV36" s="68" t="s">
        <v>320</v>
      </c>
      <c r="AW36" s="68" t="s">
        <v>321</v>
      </c>
      <c r="AX36" s="68" t="s">
        <v>322</v>
      </c>
      <c r="AY36" s="68" t="s">
        <v>41</v>
      </c>
      <c r="AZ36" s="193"/>
      <c r="BA36" s="196">
        <f t="shared" si="65"/>
        <v>0</v>
      </c>
      <c r="BB36" s="201">
        <f t="shared" si="66"/>
        <v>0</v>
      </c>
      <c r="BC36" s="201">
        <f t="shared" si="67"/>
        <v>0</v>
      </c>
      <c r="BD36" s="201">
        <f t="shared" si="68"/>
        <v>0</v>
      </c>
      <c r="BE36" s="201">
        <f t="shared" si="69"/>
        <v>0</v>
      </c>
      <c r="BF36" s="202">
        <f>(BB36*初始化表!E$17+BC36*初始化表!F$17+BD36*初始化表!G$17+BE36*初始化表!H$17)/1300</f>
        <v>0</v>
      </c>
      <c r="BG36" s="207">
        <f t="shared" si="70"/>
        <v>0</v>
      </c>
      <c r="BH36" s="207">
        <f t="shared" si="71"/>
        <v>0</v>
      </c>
      <c r="BI36" s="321">
        <f>$BI$51+MAX(0,第5期!BI36)-BF36</f>
        <v>0</v>
      </c>
      <c r="BJ36" s="373" t="str">
        <f t="shared" si="72"/>
        <v/>
      </c>
      <c r="BK36" s="373" t="str">
        <f t="shared" si="73"/>
        <v/>
      </c>
      <c r="BL36" s="203"/>
      <c r="BM36" s="195"/>
      <c r="BN36" s="194" t="s">
        <v>513</v>
      </c>
      <c r="BO36" s="194" t="s">
        <v>514</v>
      </c>
      <c r="BP36" s="194" t="s">
        <v>515</v>
      </c>
      <c r="BQ36" s="194" t="s">
        <v>516</v>
      </c>
      <c r="BR36" s="211"/>
      <c r="BS36" s="196">
        <f t="shared" si="48"/>
        <v>0</v>
      </c>
      <c r="BT36" s="213" t="e">
        <f t="shared" si="49"/>
        <v>#DIV/0!</v>
      </c>
      <c r="BU36" s="213" t="e">
        <f t="shared" si="50"/>
        <v>#DIV/0!</v>
      </c>
      <c r="BV36" s="213" t="e">
        <f t="shared" si="51"/>
        <v>#DIV/0!</v>
      </c>
      <c r="BW36" s="213" t="e">
        <f t="shared" si="52"/>
        <v>#DIV/0!</v>
      </c>
      <c r="BX36" s="213" t="e">
        <f t="shared" si="53"/>
        <v>#DIV/0!</v>
      </c>
      <c r="BY36" s="213" t="e">
        <f t="shared" si="54"/>
        <v>#DIV/0!</v>
      </c>
      <c r="BZ36" s="213" t="e">
        <f t="shared" si="55"/>
        <v>#DIV/0!</v>
      </c>
      <c r="CA36" s="213" t="e">
        <f t="shared" si="56"/>
        <v>#DIV/0!</v>
      </c>
      <c r="CB36" s="213" t="e">
        <f t="shared" si="57"/>
        <v>#DIV/0!</v>
      </c>
      <c r="CC36" s="213" t="e">
        <f t="shared" si="58"/>
        <v>#DIV/0!</v>
      </c>
      <c r="CD36" s="213" t="e">
        <f t="shared" si="59"/>
        <v>#DIV/0!</v>
      </c>
      <c r="CE36" s="213" t="e">
        <f t="shared" si="60"/>
        <v>#DIV/0!</v>
      </c>
      <c r="CF36" s="213" t="e">
        <f t="shared" si="61"/>
        <v>#DIV/0!</v>
      </c>
      <c r="CG36" s="213" t="e">
        <f t="shared" si="62"/>
        <v>#DIV/0!</v>
      </c>
      <c r="CH36" s="213" t="e">
        <f t="shared" si="63"/>
        <v>#DIV/0!</v>
      </c>
      <c r="CI36" s="213" t="e">
        <f t="shared" si="64"/>
        <v>#DIV/0!</v>
      </c>
      <c r="CJ36" s="226"/>
      <c r="CK36" s="228"/>
      <c r="CL36" s="228"/>
      <c r="CM36" s="228"/>
      <c r="CN36" s="228"/>
      <c r="CO36" s="228"/>
      <c r="CP36" s="228"/>
      <c r="CQ36" s="228"/>
      <c r="CR36" s="228"/>
      <c r="CS36" s="228"/>
      <c r="CT36" s="228"/>
      <c r="CU36" s="228"/>
      <c r="CV36" s="228"/>
      <c r="CW36" s="228"/>
      <c r="CX36" s="228"/>
      <c r="CY36" s="228"/>
      <c r="CZ36" s="228"/>
      <c r="DA36" s="228"/>
      <c r="DB36" s="228"/>
      <c r="DC36" s="228"/>
      <c r="DD36" s="228"/>
      <c r="DE36" s="228"/>
      <c r="DF36" s="228"/>
      <c r="DG36" s="228"/>
      <c r="DH36" s="228"/>
      <c r="DI36" s="228"/>
      <c r="DJ36" s="228"/>
      <c r="DK36" s="228"/>
      <c r="DL36" s="228"/>
      <c r="DM36" s="228"/>
      <c r="DN36" s="228"/>
      <c r="DO36" s="228"/>
      <c r="DP36" s="228"/>
      <c r="DQ36" s="228"/>
    </row>
    <row r="37" s="61" customFormat="1" ht="16" customHeight="1" spans="1:121">
      <c r="A37" s="269" t="s">
        <v>369</v>
      </c>
      <c r="B37" s="270"/>
      <c r="C37" s="77" t="e">
        <f>IF(F36&lt;0,INT(1-F36),0)</f>
        <v>#DIV/0!</v>
      </c>
      <c r="D37" s="79"/>
      <c r="E37" s="79"/>
      <c r="F37" s="79" t="e">
        <f t="shared" si="47"/>
        <v>#DIV/0!</v>
      </c>
      <c r="G37" s="73"/>
      <c r="H37" s="354" t="s">
        <v>225</v>
      </c>
      <c r="I37" s="103">
        <f>-C35</f>
        <v>0</v>
      </c>
      <c r="J37" s="77" t="e">
        <f>INT(($N$49*1300-SUMPRODUCT($L$177:$L$180,$H$177:$H$180))/H179)</f>
        <v>#DIV/0!</v>
      </c>
      <c r="K37" s="269" t="s">
        <v>206</v>
      </c>
      <c r="L37" s="90"/>
      <c r="M37" s="85"/>
      <c r="N37" s="102">
        <f>第5期!D24</f>
        <v>0</v>
      </c>
      <c r="O37" s="107">
        <v>0</v>
      </c>
      <c r="P37" s="102" t="e">
        <f>MAX(0,INT(MIN(D56-E60+C61,F62-初始化表!B21)))</f>
        <v>#DIV/0!</v>
      </c>
      <c r="Q37" s="102" t="e">
        <f>MAX(0,INT(MIN(F62-MAX(E60,C28),F62+第7期!Q35+第7期!P33-F30+F48,P37)))</f>
        <v>#DIV/0!</v>
      </c>
      <c r="R37" s="107"/>
      <c r="S37" s="135" t="str">
        <f>IF(第5期!BA7=0,"未定",IF(第5期!BY27*(1-初始化表!B34*1.2)-(1-初始化表!B36)*第5期!BZ27&gt;0,"分红","不分红"))</f>
        <v>未定</v>
      </c>
      <c r="T37" s="135" t="str">
        <f>IF(第5期!BA7=0,"未定",ABS(第5期!BY27-第5期!BZ27))</f>
        <v>未定</v>
      </c>
      <c r="U37" s="68" t="s">
        <v>465</v>
      </c>
      <c r="V37" s="115" t="e">
        <f>第5期!BN43</f>
        <v>#DIV/0!</v>
      </c>
      <c r="W37" s="115" t="e">
        <f>第5期!BO43</f>
        <v>#DIV/0!</v>
      </c>
      <c r="X37" s="115" t="e">
        <f>第5期!BP43</f>
        <v>#DIV/0!</v>
      </c>
      <c r="Y37" s="115" t="e">
        <f>第5期!BQ43</f>
        <v>#DIV/0!</v>
      </c>
      <c r="Z37" s="74"/>
      <c r="AA37" s="73"/>
      <c r="AB37" s="151" t="s">
        <v>206</v>
      </c>
      <c r="AC37" s="152" t="e">
        <f>初始化表!$G$22-AC7</f>
        <v>#DIV/0!</v>
      </c>
      <c r="AD37" s="152" t="e">
        <f>初始化表!$G$22-AD7</f>
        <v>#DIV/0!</v>
      </c>
      <c r="AE37" s="152" t="e">
        <f>初始化表!$G$22-AE7</f>
        <v>#DIV/0!</v>
      </c>
      <c r="AF37" s="152" t="e">
        <f>初始化表!$G$22-AF7</f>
        <v>#DIV/0!</v>
      </c>
      <c r="AG37" s="152" t="e">
        <f>初始化表!$G$22-AG7</f>
        <v>#DIV/0!</v>
      </c>
      <c r="AH37" s="73"/>
      <c r="AI37" s="367"/>
      <c r="AJ37" s="368"/>
      <c r="AK37" s="368"/>
      <c r="AL37" s="368"/>
      <c r="AM37" s="368"/>
      <c r="AN37" s="368"/>
      <c r="AO37" s="368"/>
      <c r="AP37" s="368"/>
      <c r="AQ37" s="368"/>
      <c r="AR37" s="368"/>
      <c r="AS37" s="368"/>
      <c r="AT37" s="368"/>
      <c r="AU37" s="368"/>
      <c r="AV37" s="368"/>
      <c r="AW37" s="368"/>
      <c r="AX37" s="368"/>
      <c r="AY37" s="368"/>
      <c r="AZ37" s="193"/>
      <c r="BA37" s="196">
        <f t="shared" si="65"/>
        <v>0</v>
      </c>
      <c r="BB37" s="201">
        <f t="shared" si="66"/>
        <v>0</v>
      </c>
      <c r="BC37" s="201">
        <f t="shared" si="67"/>
        <v>0</v>
      </c>
      <c r="BD37" s="201">
        <f t="shared" si="68"/>
        <v>0</v>
      </c>
      <c r="BE37" s="201">
        <f t="shared" si="69"/>
        <v>0</v>
      </c>
      <c r="BF37" s="202">
        <f>(BB37*初始化表!E$17+BC37*初始化表!F$17+BD37*初始化表!G$17+BE37*初始化表!H$17)/1300</f>
        <v>0</v>
      </c>
      <c r="BG37" s="207">
        <f t="shared" si="70"/>
        <v>0</v>
      </c>
      <c r="BH37" s="207">
        <f t="shared" si="71"/>
        <v>0</v>
      </c>
      <c r="BI37" s="321">
        <f>$BI$51+MAX(0,第5期!BI37)-BF37</f>
        <v>0</v>
      </c>
      <c r="BJ37" s="373" t="str">
        <f t="shared" si="72"/>
        <v/>
      </c>
      <c r="BK37" s="373" t="str">
        <f t="shared" si="73"/>
        <v/>
      </c>
      <c r="BL37" s="203"/>
      <c r="BM37" s="194" t="s">
        <v>521</v>
      </c>
      <c r="BN37" s="201">
        <f>BB28</f>
        <v>0</v>
      </c>
      <c r="BO37" s="201">
        <f>BC28</f>
        <v>0</v>
      </c>
      <c r="BP37" s="201">
        <f>BD28</f>
        <v>0</v>
      </c>
      <c r="BQ37" s="201">
        <f>BE28</f>
        <v>0</v>
      </c>
      <c r="BR37" s="211"/>
      <c r="BS37" s="196">
        <f t="shared" si="48"/>
        <v>0</v>
      </c>
      <c r="BT37" s="213" t="e">
        <f t="shared" si="49"/>
        <v>#DIV/0!</v>
      </c>
      <c r="BU37" s="213" t="e">
        <f t="shared" si="50"/>
        <v>#DIV/0!</v>
      </c>
      <c r="BV37" s="213" t="e">
        <f t="shared" si="51"/>
        <v>#DIV/0!</v>
      </c>
      <c r="BW37" s="213" t="e">
        <f t="shared" si="52"/>
        <v>#DIV/0!</v>
      </c>
      <c r="BX37" s="213" t="e">
        <f t="shared" si="53"/>
        <v>#DIV/0!</v>
      </c>
      <c r="BY37" s="213" t="e">
        <f t="shared" si="54"/>
        <v>#DIV/0!</v>
      </c>
      <c r="BZ37" s="213" t="e">
        <f t="shared" si="55"/>
        <v>#DIV/0!</v>
      </c>
      <c r="CA37" s="213" t="e">
        <f t="shared" si="56"/>
        <v>#DIV/0!</v>
      </c>
      <c r="CB37" s="213" t="e">
        <f t="shared" si="57"/>
        <v>#DIV/0!</v>
      </c>
      <c r="CC37" s="213" t="e">
        <f t="shared" si="58"/>
        <v>#DIV/0!</v>
      </c>
      <c r="CD37" s="213" t="e">
        <f t="shared" si="59"/>
        <v>#DIV/0!</v>
      </c>
      <c r="CE37" s="213" t="e">
        <f t="shared" si="60"/>
        <v>#DIV/0!</v>
      </c>
      <c r="CF37" s="213" t="e">
        <f t="shared" si="61"/>
        <v>#DIV/0!</v>
      </c>
      <c r="CG37" s="213" t="e">
        <f t="shared" si="62"/>
        <v>#DIV/0!</v>
      </c>
      <c r="CH37" s="213" t="e">
        <f t="shared" si="63"/>
        <v>#DIV/0!</v>
      </c>
      <c r="CI37" s="213" t="e">
        <f t="shared" si="64"/>
        <v>#DIV/0!</v>
      </c>
      <c r="CJ37" s="226"/>
      <c r="CK37" s="228"/>
      <c r="CL37" s="228"/>
      <c r="CM37" s="228"/>
      <c r="CN37" s="228"/>
      <c r="CO37" s="228"/>
      <c r="CP37" s="228"/>
      <c r="CQ37" s="228"/>
      <c r="CR37" s="228"/>
      <c r="CS37" s="228"/>
      <c r="CT37" s="228"/>
      <c r="CU37" s="228"/>
      <c r="CV37" s="228"/>
      <c r="CW37" s="228"/>
      <c r="CX37" s="228"/>
      <c r="CY37" s="228"/>
      <c r="CZ37" s="228"/>
      <c r="DA37" s="228"/>
      <c r="DB37" s="228"/>
      <c r="DC37" s="228"/>
      <c r="DD37" s="228"/>
      <c r="DE37" s="228"/>
      <c r="DF37" s="228"/>
      <c r="DG37" s="228"/>
      <c r="DH37" s="228"/>
      <c r="DI37" s="228"/>
      <c r="DJ37" s="228"/>
      <c r="DK37" s="228"/>
      <c r="DL37" s="228"/>
      <c r="DM37" s="228"/>
      <c r="DN37" s="228"/>
      <c r="DO37" s="228"/>
      <c r="DP37" s="228"/>
      <c r="DQ37" s="228"/>
    </row>
    <row r="38" s="61" customFormat="1" ht="16" customHeight="1" spans="1:121">
      <c r="A38" s="269" t="s">
        <v>370</v>
      </c>
      <c r="B38" s="270"/>
      <c r="C38" s="77">
        <f>-SUM(F17:F20)</f>
        <v>0</v>
      </c>
      <c r="D38" s="79"/>
      <c r="E38" s="79"/>
      <c r="F38" s="79" t="e">
        <f t="shared" si="47"/>
        <v>#DIV/0!</v>
      </c>
      <c r="G38" s="73"/>
      <c r="H38" s="354" t="s">
        <v>627</v>
      </c>
      <c r="I38" s="103">
        <f>-C44</f>
        <v>0</v>
      </c>
      <c r="J38" s="77" t="e">
        <f>INT(($N$49*1300-SUMPRODUCT($L$177:$L$180,$H$177:$H$180))/H180)</f>
        <v>#DIV/0!</v>
      </c>
      <c r="K38" s="269" t="s">
        <v>208</v>
      </c>
      <c r="L38" s="90"/>
      <c r="M38" s="85"/>
      <c r="N38" s="108" t="s">
        <v>628</v>
      </c>
      <c r="O38" s="108"/>
      <c r="P38" s="284" t="e">
        <f>F48</f>
        <v>#DIV/0!</v>
      </c>
      <c r="Q38" s="269" t="s">
        <v>629</v>
      </c>
      <c r="R38" s="292" t="e">
        <f>F64-MAX(E60,第5期!F64)</f>
        <v>#DIV/0!</v>
      </c>
      <c r="S38" s="137"/>
      <c r="T38" s="120"/>
      <c r="U38" s="68" t="s">
        <v>466</v>
      </c>
      <c r="V38" s="115" t="e">
        <f>第5期!BN44</f>
        <v>#DIV/0!</v>
      </c>
      <c r="W38" s="115" t="e">
        <f>第5期!BO44</f>
        <v>#DIV/0!</v>
      </c>
      <c r="X38" s="115" t="e">
        <f>第5期!BP44</f>
        <v>#DIV/0!</v>
      </c>
      <c r="Y38" s="115" t="e">
        <f>第5期!BQ44</f>
        <v>#DIV/0!</v>
      </c>
      <c r="Z38" s="74"/>
      <c r="AA38" s="73"/>
      <c r="AB38" s="151" t="s">
        <v>208</v>
      </c>
      <c r="AC38" s="152" t="e">
        <f>初始化表!$H$22-AC8</f>
        <v>#DIV/0!</v>
      </c>
      <c r="AD38" s="152" t="e">
        <f>初始化表!$H$22-AD8</f>
        <v>#DIV/0!</v>
      </c>
      <c r="AE38" s="152" t="e">
        <f>初始化表!$H$22-AE8</f>
        <v>#DIV/0!</v>
      </c>
      <c r="AF38" s="152" t="e">
        <f>初始化表!$H$22-AF8</f>
        <v>#DIV/0!</v>
      </c>
      <c r="AG38" s="152" t="e">
        <f>初始化表!$H$22-AG8</f>
        <v>#DIV/0!</v>
      </c>
      <c r="AH38" s="73"/>
      <c r="AI38" s="367"/>
      <c r="AJ38" s="368"/>
      <c r="AK38" s="368"/>
      <c r="AL38" s="368"/>
      <c r="AM38" s="368"/>
      <c r="AN38" s="368"/>
      <c r="AO38" s="368"/>
      <c r="AP38" s="368"/>
      <c r="AQ38" s="368"/>
      <c r="AR38" s="368"/>
      <c r="AS38" s="368"/>
      <c r="AT38" s="368"/>
      <c r="AU38" s="368"/>
      <c r="AV38" s="368"/>
      <c r="AW38" s="368"/>
      <c r="AX38" s="368"/>
      <c r="AY38" s="368"/>
      <c r="AZ38" s="193"/>
      <c r="BA38" s="196">
        <f t="shared" si="65"/>
        <v>0</v>
      </c>
      <c r="BB38" s="201">
        <f t="shared" si="66"/>
        <v>0</v>
      </c>
      <c r="BC38" s="201">
        <f t="shared" si="67"/>
        <v>0</v>
      </c>
      <c r="BD38" s="201">
        <f t="shared" si="68"/>
        <v>0</v>
      </c>
      <c r="BE38" s="201">
        <f t="shared" si="69"/>
        <v>0</v>
      </c>
      <c r="BF38" s="202">
        <f>(BB38*初始化表!E$17+BC38*初始化表!F$17+BD38*初始化表!G$17+BE38*初始化表!H$17)/1300</f>
        <v>0</v>
      </c>
      <c r="BG38" s="207">
        <f t="shared" si="70"/>
        <v>0</v>
      </c>
      <c r="BH38" s="207">
        <f t="shared" si="71"/>
        <v>0</v>
      </c>
      <c r="BI38" s="321">
        <f>$BI$51+MAX(0,第5期!BI38)-BF38</f>
        <v>0</v>
      </c>
      <c r="BJ38" s="373" t="str">
        <f t="shared" si="72"/>
        <v/>
      </c>
      <c r="BK38" s="373" t="str">
        <f t="shared" si="73"/>
        <v/>
      </c>
      <c r="BL38" s="203"/>
      <c r="BM38" s="194" t="s">
        <v>522</v>
      </c>
      <c r="BN38" s="201">
        <f>BF28</f>
        <v>0</v>
      </c>
      <c r="BO38" s="201">
        <f>BG28</f>
        <v>0</v>
      </c>
      <c r="BP38" s="201">
        <f>BH28</f>
        <v>0</v>
      </c>
      <c r="BQ38" s="201">
        <f>BI28</f>
        <v>0</v>
      </c>
      <c r="BR38" s="211"/>
      <c r="BS38" s="196">
        <f t="shared" si="48"/>
        <v>0</v>
      </c>
      <c r="BT38" s="213" t="e">
        <f t="shared" si="49"/>
        <v>#DIV/0!</v>
      </c>
      <c r="BU38" s="213" t="e">
        <f t="shared" si="50"/>
        <v>#DIV/0!</v>
      </c>
      <c r="BV38" s="213" t="e">
        <f t="shared" si="51"/>
        <v>#DIV/0!</v>
      </c>
      <c r="BW38" s="213" t="e">
        <f t="shared" si="52"/>
        <v>#DIV/0!</v>
      </c>
      <c r="BX38" s="213" t="e">
        <f t="shared" si="53"/>
        <v>#DIV/0!</v>
      </c>
      <c r="BY38" s="213" t="e">
        <f t="shared" si="54"/>
        <v>#DIV/0!</v>
      </c>
      <c r="BZ38" s="213" t="e">
        <f t="shared" si="55"/>
        <v>#DIV/0!</v>
      </c>
      <c r="CA38" s="213" t="e">
        <f t="shared" si="56"/>
        <v>#DIV/0!</v>
      </c>
      <c r="CB38" s="213" t="e">
        <f t="shared" si="57"/>
        <v>#DIV/0!</v>
      </c>
      <c r="CC38" s="213" t="e">
        <f t="shared" si="58"/>
        <v>#DIV/0!</v>
      </c>
      <c r="CD38" s="213" t="e">
        <f t="shared" si="59"/>
        <v>#DIV/0!</v>
      </c>
      <c r="CE38" s="213" t="e">
        <f t="shared" si="60"/>
        <v>#DIV/0!</v>
      </c>
      <c r="CF38" s="213" t="e">
        <f t="shared" si="61"/>
        <v>#DIV/0!</v>
      </c>
      <c r="CG38" s="213" t="e">
        <f t="shared" si="62"/>
        <v>#DIV/0!</v>
      </c>
      <c r="CH38" s="213" t="e">
        <f t="shared" si="63"/>
        <v>#DIV/0!</v>
      </c>
      <c r="CI38" s="213" t="e">
        <f t="shared" si="64"/>
        <v>#DIV/0!</v>
      </c>
      <c r="CJ38" s="226"/>
      <c r="CK38" s="228"/>
      <c r="CL38" s="228"/>
      <c r="CM38" s="228"/>
      <c r="CN38" s="228"/>
      <c r="CO38" s="228"/>
      <c r="CP38" s="228"/>
      <c r="CQ38" s="228"/>
      <c r="CR38" s="228"/>
      <c r="CS38" s="228"/>
      <c r="CT38" s="228"/>
      <c r="CU38" s="228"/>
      <c r="CV38" s="228"/>
      <c r="CW38" s="228"/>
      <c r="CX38" s="228"/>
      <c r="CY38" s="228"/>
      <c r="CZ38" s="228"/>
      <c r="DA38" s="228"/>
      <c r="DB38" s="228"/>
      <c r="DC38" s="228"/>
      <c r="DD38" s="228"/>
      <c r="DE38" s="228"/>
      <c r="DF38" s="228"/>
      <c r="DG38" s="228"/>
      <c r="DH38" s="228"/>
      <c r="DI38" s="228"/>
      <c r="DJ38" s="228"/>
      <c r="DK38" s="228"/>
      <c r="DL38" s="228"/>
      <c r="DM38" s="228"/>
      <c r="DN38" s="228"/>
      <c r="DO38" s="228"/>
      <c r="DP38" s="228"/>
      <c r="DQ38" s="228"/>
    </row>
    <row r="39" s="61" customFormat="1" ht="16" customHeight="1" spans="1:121">
      <c r="A39" s="269" t="s">
        <v>371</v>
      </c>
      <c r="B39" s="270"/>
      <c r="C39" s="77">
        <f>(C38+第5期!C38)/2</f>
        <v>0</v>
      </c>
      <c r="D39" s="79"/>
      <c r="E39" s="79" t="e">
        <f>E36-C39</f>
        <v>#DIV/0!</v>
      </c>
      <c r="F39" s="79"/>
      <c r="G39" s="73"/>
      <c r="H39" s="354" t="s">
        <v>241</v>
      </c>
      <c r="I39" s="103">
        <f>SUM(I34:I38)</f>
        <v>0</v>
      </c>
      <c r="J39" s="110"/>
      <c r="K39" s="110"/>
      <c r="L39" s="110"/>
      <c r="M39" s="85"/>
      <c r="N39" s="269" t="s">
        <v>631</v>
      </c>
      <c r="O39" s="270"/>
      <c r="P39" s="270"/>
      <c r="Q39" s="270"/>
      <c r="R39" s="270"/>
      <c r="S39" s="74"/>
      <c r="T39" s="120"/>
      <c r="U39" s="68" t="s">
        <v>468</v>
      </c>
      <c r="V39" s="115" t="e">
        <f>第5期!BN45</f>
        <v>#DIV/0!</v>
      </c>
      <c r="W39" s="115" t="e">
        <f>第5期!BO45</f>
        <v>#DIV/0!</v>
      </c>
      <c r="X39" s="115" t="e">
        <f>第5期!BP45</f>
        <v>#DIV/0!</v>
      </c>
      <c r="Y39" s="115" t="e">
        <f>第5期!BQ45</f>
        <v>#DIV/0!</v>
      </c>
      <c r="Z39" s="74"/>
      <c r="AA39" s="73"/>
      <c r="AB39" s="74"/>
      <c r="AC39" s="74"/>
      <c r="AD39" s="74"/>
      <c r="AE39" s="74"/>
      <c r="AF39" s="74"/>
      <c r="AG39" s="74"/>
      <c r="AH39" s="73"/>
      <c r="AI39" s="367"/>
      <c r="AJ39" s="368"/>
      <c r="AK39" s="368"/>
      <c r="AL39" s="368"/>
      <c r="AM39" s="368"/>
      <c r="AN39" s="368"/>
      <c r="AO39" s="368"/>
      <c r="AP39" s="368"/>
      <c r="AQ39" s="368"/>
      <c r="AR39" s="368"/>
      <c r="AS39" s="368"/>
      <c r="AT39" s="368"/>
      <c r="AU39" s="368"/>
      <c r="AV39" s="368"/>
      <c r="AW39" s="368"/>
      <c r="AX39" s="368"/>
      <c r="AY39" s="368"/>
      <c r="AZ39" s="193"/>
      <c r="BA39" s="196">
        <f t="shared" si="65"/>
        <v>0</v>
      </c>
      <c r="BB39" s="201">
        <f t="shared" si="66"/>
        <v>0</v>
      </c>
      <c r="BC39" s="201">
        <f t="shared" si="67"/>
        <v>0</v>
      </c>
      <c r="BD39" s="201">
        <f t="shared" si="68"/>
        <v>0</v>
      </c>
      <c r="BE39" s="201">
        <f t="shared" si="69"/>
        <v>0</v>
      </c>
      <c r="BF39" s="202">
        <f>(BB39*初始化表!E$17+BC39*初始化表!F$17+BD39*初始化表!G$17+BE39*初始化表!H$17)/1300</f>
        <v>0</v>
      </c>
      <c r="BG39" s="207">
        <f t="shared" si="70"/>
        <v>0</v>
      </c>
      <c r="BH39" s="207">
        <f t="shared" si="71"/>
        <v>0</v>
      </c>
      <c r="BI39" s="321">
        <f>$BI$51+MAX(0,第5期!BI39)-BF39</f>
        <v>0</v>
      </c>
      <c r="BJ39" s="373" t="str">
        <f t="shared" si="72"/>
        <v/>
      </c>
      <c r="BK39" s="373" t="str">
        <f t="shared" si="73"/>
        <v/>
      </c>
      <c r="BL39" s="203"/>
      <c r="BM39" s="194" t="s">
        <v>523</v>
      </c>
      <c r="BN39" s="201">
        <f>BJ28</f>
        <v>0</v>
      </c>
      <c r="BO39" s="201">
        <f>BK28</f>
        <v>0</v>
      </c>
      <c r="BP39" s="201">
        <f>BL28</f>
        <v>0</v>
      </c>
      <c r="BQ39" s="201">
        <f>BM28</f>
        <v>0</v>
      </c>
      <c r="BR39" s="211"/>
      <c r="BS39" s="196">
        <f t="shared" si="48"/>
        <v>0</v>
      </c>
      <c r="BT39" s="213" t="e">
        <f t="shared" si="49"/>
        <v>#DIV/0!</v>
      </c>
      <c r="BU39" s="213" t="e">
        <f t="shared" si="50"/>
        <v>#DIV/0!</v>
      </c>
      <c r="BV39" s="213" t="e">
        <f t="shared" si="51"/>
        <v>#DIV/0!</v>
      </c>
      <c r="BW39" s="213" t="e">
        <f t="shared" si="52"/>
        <v>#DIV/0!</v>
      </c>
      <c r="BX39" s="213" t="e">
        <f t="shared" si="53"/>
        <v>#DIV/0!</v>
      </c>
      <c r="BY39" s="213" t="e">
        <f t="shared" si="54"/>
        <v>#DIV/0!</v>
      </c>
      <c r="BZ39" s="213" t="e">
        <f t="shared" si="55"/>
        <v>#DIV/0!</v>
      </c>
      <c r="CA39" s="213" t="e">
        <f t="shared" si="56"/>
        <v>#DIV/0!</v>
      </c>
      <c r="CB39" s="213" t="e">
        <f t="shared" si="57"/>
        <v>#DIV/0!</v>
      </c>
      <c r="CC39" s="213" t="e">
        <f t="shared" si="58"/>
        <v>#DIV/0!</v>
      </c>
      <c r="CD39" s="213" t="e">
        <f t="shared" si="59"/>
        <v>#DIV/0!</v>
      </c>
      <c r="CE39" s="213" t="e">
        <f t="shared" si="60"/>
        <v>#DIV/0!</v>
      </c>
      <c r="CF39" s="213" t="e">
        <f t="shared" si="61"/>
        <v>#DIV/0!</v>
      </c>
      <c r="CG39" s="213" t="e">
        <f t="shared" si="62"/>
        <v>#DIV/0!</v>
      </c>
      <c r="CH39" s="213" t="e">
        <f t="shared" si="63"/>
        <v>#DIV/0!</v>
      </c>
      <c r="CI39" s="213" t="e">
        <f t="shared" si="64"/>
        <v>#DIV/0!</v>
      </c>
      <c r="CJ39" s="226"/>
      <c r="CK39" s="228"/>
      <c r="CL39" s="228"/>
      <c r="CM39" s="228"/>
      <c r="CN39" s="228"/>
      <c r="CO39" s="228"/>
      <c r="CP39" s="228"/>
      <c r="CQ39" s="228"/>
      <c r="CR39" s="228"/>
      <c r="CS39" s="228"/>
      <c r="CT39" s="228"/>
      <c r="CU39" s="228"/>
      <c r="CV39" s="228"/>
      <c r="CW39" s="228"/>
      <c r="CX39" s="228"/>
      <c r="CY39" s="228"/>
      <c r="CZ39" s="228"/>
      <c r="DA39" s="228"/>
      <c r="DB39" s="228"/>
      <c r="DC39" s="228"/>
      <c r="DD39" s="228"/>
      <c r="DE39" s="228"/>
      <c r="DF39" s="228"/>
      <c r="DG39" s="228"/>
      <c r="DH39" s="228"/>
      <c r="DI39" s="228"/>
      <c r="DJ39" s="228"/>
      <c r="DK39" s="228"/>
      <c r="DL39" s="228"/>
      <c r="DM39" s="228"/>
      <c r="DN39" s="228"/>
      <c r="DO39" s="228"/>
      <c r="DP39" s="228"/>
      <c r="DQ39" s="228"/>
    </row>
    <row r="40" s="61" customFormat="1" ht="16" customHeight="1" spans="1:121">
      <c r="A40" s="269" t="s">
        <v>372</v>
      </c>
      <c r="B40" s="270"/>
      <c r="C40" s="77">
        <f>-E22</f>
        <v>0</v>
      </c>
      <c r="D40" s="79"/>
      <c r="E40" s="79"/>
      <c r="F40" s="79" t="e">
        <f>F38+C40</f>
        <v>#DIV/0!</v>
      </c>
      <c r="G40" s="73"/>
      <c r="H40" s="74"/>
      <c r="I40" s="74"/>
      <c r="J40" s="74"/>
      <c r="K40" s="74"/>
      <c r="L40" s="74"/>
      <c r="M40" s="85"/>
      <c r="N40" s="269" t="s">
        <v>632</v>
      </c>
      <c r="O40" s="269" t="s">
        <v>521</v>
      </c>
      <c r="P40" s="269" t="s">
        <v>522</v>
      </c>
      <c r="Q40" s="269" t="s">
        <v>523</v>
      </c>
      <c r="R40" s="269" t="s">
        <v>524</v>
      </c>
      <c r="S40" s="121"/>
      <c r="T40" s="120"/>
      <c r="U40" s="123"/>
      <c r="V40" s="74"/>
      <c r="W40" s="74"/>
      <c r="X40" s="74"/>
      <c r="Y40" s="74"/>
      <c r="Z40" s="74"/>
      <c r="AA40" s="73"/>
      <c r="AB40" s="159" t="s">
        <v>633</v>
      </c>
      <c r="AC40" s="160"/>
      <c r="AD40" s="161" t="e">
        <f>F77/AD41</f>
        <v>#DIV/0!</v>
      </c>
      <c r="AE40" s="161"/>
      <c r="AF40" s="74"/>
      <c r="AG40" s="74"/>
      <c r="AH40" s="73"/>
      <c r="AI40" s="367"/>
      <c r="AJ40" s="368"/>
      <c r="AK40" s="368"/>
      <c r="AL40" s="368"/>
      <c r="AM40" s="368"/>
      <c r="AN40" s="368"/>
      <c r="AO40" s="368"/>
      <c r="AP40" s="368"/>
      <c r="AQ40" s="368"/>
      <c r="AR40" s="368"/>
      <c r="AS40" s="368"/>
      <c r="AT40" s="368"/>
      <c r="AU40" s="368"/>
      <c r="AV40" s="368"/>
      <c r="AW40" s="368"/>
      <c r="AX40" s="368"/>
      <c r="AY40" s="368"/>
      <c r="AZ40" s="193"/>
      <c r="BA40" s="196">
        <f t="shared" si="65"/>
        <v>0</v>
      </c>
      <c r="BB40" s="201">
        <f t="shared" si="66"/>
        <v>0</v>
      </c>
      <c r="BC40" s="201">
        <f t="shared" si="67"/>
        <v>0</v>
      </c>
      <c r="BD40" s="201">
        <f t="shared" si="68"/>
        <v>0</v>
      </c>
      <c r="BE40" s="201">
        <f t="shared" si="69"/>
        <v>0</v>
      </c>
      <c r="BF40" s="202">
        <f>(BB40*初始化表!E$17+BC40*初始化表!F$17+BD40*初始化表!G$17+BE40*初始化表!H$17)/1300</f>
        <v>0</v>
      </c>
      <c r="BG40" s="207">
        <f t="shared" si="70"/>
        <v>0</v>
      </c>
      <c r="BH40" s="207">
        <f t="shared" si="71"/>
        <v>0</v>
      </c>
      <c r="BI40" s="321">
        <f>$BI$51+MAX(0,第5期!BI40)-BF40</f>
        <v>0</v>
      </c>
      <c r="BJ40" s="373" t="str">
        <f t="shared" si="72"/>
        <v/>
      </c>
      <c r="BK40" s="373" t="str">
        <f t="shared" si="73"/>
        <v/>
      </c>
      <c r="BL40" s="203"/>
      <c r="BM40" s="194" t="s">
        <v>524</v>
      </c>
      <c r="BN40" s="201">
        <f>BN28</f>
        <v>0</v>
      </c>
      <c r="BO40" s="201">
        <f>BO28</f>
        <v>0</v>
      </c>
      <c r="BP40" s="201">
        <f>BP28</f>
        <v>0</v>
      </c>
      <c r="BQ40" s="201">
        <f>BQ28</f>
        <v>0</v>
      </c>
      <c r="BR40" s="211"/>
      <c r="BS40" s="196">
        <f t="shared" si="48"/>
        <v>0</v>
      </c>
      <c r="BT40" s="213" t="e">
        <f t="shared" si="49"/>
        <v>#DIV/0!</v>
      </c>
      <c r="BU40" s="213" t="e">
        <f t="shared" si="50"/>
        <v>#DIV/0!</v>
      </c>
      <c r="BV40" s="213" t="e">
        <f t="shared" si="51"/>
        <v>#DIV/0!</v>
      </c>
      <c r="BW40" s="213" t="e">
        <f t="shared" si="52"/>
        <v>#DIV/0!</v>
      </c>
      <c r="BX40" s="213" t="e">
        <f t="shared" si="53"/>
        <v>#DIV/0!</v>
      </c>
      <c r="BY40" s="213" t="e">
        <f t="shared" si="54"/>
        <v>#DIV/0!</v>
      </c>
      <c r="BZ40" s="213" t="e">
        <f t="shared" si="55"/>
        <v>#DIV/0!</v>
      </c>
      <c r="CA40" s="213" t="e">
        <f t="shared" si="56"/>
        <v>#DIV/0!</v>
      </c>
      <c r="CB40" s="213" t="e">
        <f t="shared" si="57"/>
        <v>#DIV/0!</v>
      </c>
      <c r="CC40" s="213" t="e">
        <f t="shared" si="58"/>
        <v>#DIV/0!</v>
      </c>
      <c r="CD40" s="213" t="e">
        <f t="shared" si="59"/>
        <v>#DIV/0!</v>
      </c>
      <c r="CE40" s="213" t="e">
        <f t="shared" si="60"/>
        <v>#DIV/0!</v>
      </c>
      <c r="CF40" s="213" t="e">
        <f t="shared" si="61"/>
        <v>#DIV/0!</v>
      </c>
      <c r="CG40" s="213" t="e">
        <f t="shared" si="62"/>
        <v>#DIV/0!</v>
      </c>
      <c r="CH40" s="213" t="e">
        <f t="shared" si="63"/>
        <v>#DIV/0!</v>
      </c>
      <c r="CI40" s="213" t="e">
        <f t="shared" si="64"/>
        <v>#DIV/0!</v>
      </c>
      <c r="CJ40" s="226"/>
      <c r="CK40" s="228"/>
      <c r="CL40" s="228"/>
      <c r="CM40" s="228"/>
      <c r="CN40" s="228"/>
      <c r="CO40" s="228"/>
      <c r="CP40" s="228"/>
      <c r="CQ40" s="228"/>
      <c r="CR40" s="228"/>
      <c r="CS40" s="228"/>
      <c r="CT40" s="228"/>
      <c r="CU40" s="228"/>
      <c r="CV40" s="228"/>
      <c r="CW40" s="228"/>
      <c r="CX40" s="228"/>
      <c r="CY40" s="228"/>
      <c r="CZ40" s="228"/>
      <c r="DA40" s="228"/>
      <c r="DB40" s="228"/>
      <c r="DC40" s="228"/>
      <c r="DD40" s="228"/>
      <c r="DE40" s="228"/>
      <c r="DF40" s="228"/>
      <c r="DG40" s="228"/>
      <c r="DH40" s="228"/>
      <c r="DI40" s="228"/>
      <c r="DJ40" s="228"/>
      <c r="DK40" s="228"/>
      <c r="DL40" s="228"/>
      <c r="DM40" s="228"/>
      <c r="DN40" s="228"/>
      <c r="DO40" s="228"/>
      <c r="DP40" s="228"/>
      <c r="DQ40" s="228"/>
    </row>
    <row r="41" s="61" customFormat="1" ht="16" customHeight="1" spans="1:121">
      <c r="A41" s="269" t="s">
        <v>373</v>
      </c>
      <c r="B41" s="270"/>
      <c r="C41" s="77">
        <f>IF(E22&gt;=初始化表!K30,E22*(1-初始化表!L30),IF(E22&gt;=初始化表!K31,E22*(1-初始化表!L31),IF(E22&gt;=初始化表!K32,E22*(1-初始化表!L32),0)))</f>
        <v>0</v>
      </c>
      <c r="D41" s="79">
        <f>C41</f>
        <v>0</v>
      </c>
      <c r="E41" s="79"/>
      <c r="F41" s="79" t="e">
        <f>F40+C41</f>
        <v>#DIV/0!</v>
      </c>
      <c r="G41" s="73"/>
      <c r="H41" s="269" t="s">
        <v>634</v>
      </c>
      <c r="I41" s="270"/>
      <c r="J41" s="270"/>
      <c r="K41" s="270"/>
      <c r="L41" s="270"/>
      <c r="M41" s="85"/>
      <c r="N41" s="269" t="s">
        <v>635</v>
      </c>
      <c r="O41" s="111">
        <f>第5期!AN26</f>
        <v>0.95</v>
      </c>
      <c r="P41" s="111">
        <f>第5期!AN27</f>
        <v>0.95</v>
      </c>
      <c r="Q41" s="111">
        <f>第5期!AN28</f>
        <v>0.95</v>
      </c>
      <c r="R41" s="111">
        <f>第5期!AN29</f>
        <v>0.95</v>
      </c>
      <c r="S41" s="138"/>
      <c r="T41" s="120"/>
      <c r="U41" s="269" t="s">
        <v>636</v>
      </c>
      <c r="V41" s="269" t="s">
        <v>513</v>
      </c>
      <c r="W41" s="269" t="s">
        <v>514</v>
      </c>
      <c r="X41" s="269" t="s">
        <v>515</v>
      </c>
      <c r="Y41" s="269" t="s">
        <v>516</v>
      </c>
      <c r="Z41" s="269" t="s">
        <v>563</v>
      </c>
      <c r="AA41" s="73"/>
      <c r="AB41" s="159" t="s">
        <v>637</v>
      </c>
      <c r="AC41" s="160"/>
      <c r="AD41" s="162">
        <f>((SUM(V42:Y42,V11:Y11))*初始化表!E17+(SUM(V43:Y43,V12:Y12))*初始化表!F17+(SUM(V44:Y44,V13:Y13))*初始化表!G17+(SUM(V45:Y45,V14:Y14))*初始化表!H17)/1300</f>
        <v>0</v>
      </c>
      <c r="AE41" s="162"/>
      <c r="AF41" s="74"/>
      <c r="AG41" s="74"/>
      <c r="AH41" s="73"/>
      <c r="AI41" s="367"/>
      <c r="AJ41" s="368"/>
      <c r="AK41" s="368"/>
      <c r="AL41" s="368"/>
      <c r="AM41" s="368"/>
      <c r="AN41" s="368"/>
      <c r="AO41" s="368"/>
      <c r="AP41" s="368"/>
      <c r="AQ41" s="368"/>
      <c r="AR41" s="368"/>
      <c r="AS41" s="368"/>
      <c r="AT41" s="368"/>
      <c r="AU41" s="368"/>
      <c r="AV41" s="368"/>
      <c r="AW41" s="368"/>
      <c r="AX41" s="368"/>
      <c r="AY41" s="368"/>
      <c r="AZ41" s="193"/>
      <c r="BA41" s="196">
        <f t="shared" si="65"/>
        <v>0</v>
      </c>
      <c r="BB41" s="201">
        <f t="shared" si="66"/>
        <v>0</v>
      </c>
      <c r="BC41" s="201">
        <f t="shared" si="67"/>
        <v>0</v>
      </c>
      <c r="BD41" s="201">
        <f t="shared" si="68"/>
        <v>0</v>
      </c>
      <c r="BE41" s="201">
        <f t="shared" si="69"/>
        <v>0</v>
      </c>
      <c r="BF41" s="202">
        <f>(BB41*初始化表!E$17+BC41*初始化表!F$17+BD41*初始化表!G$17+BE41*初始化表!H$17)/1300</f>
        <v>0</v>
      </c>
      <c r="BG41" s="207">
        <f t="shared" si="70"/>
        <v>0</v>
      </c>
      <c r="BH41" s="207">
        <f t="shared" si="71"/>
        <v>0</v>
      </c>
      <c r="BI41" s="321">
        <f>$BI$51+MAX(0,第5期!BI41)-BF41</f>
        <v>0</v>
      </c>
      <c r="BJ41" s="373" t="str">
        <f t="shared" si="72"/>
        <v/>
      </c>
      <c r="BK41" s="373" t="str">
        <f t="shared" si="73"/>
        <v/>
      </c>
      <c r="BL41" s="203"/>
      <c r="BM41" s="217" t="s">
        <v>760</v>
      </c>
      <c r="BN41" s="194" t="s">
        <v>513</v>
      </c>
      <c r="BO41" s="194" t="s">
        <v>514</v>
      </c>
      <c r="BP41" s="194" t="s">
        <v>515</v>
      </c>
      <c r="BQ41" s="194" t="s">
        <v>516</v>
      </c>
      <c r="BR41" s="211"/>
      <c r="BS41" s="196">
        <f t="shared" si="48"/>
        <v>0</v>
      </c>
      <c r="BT41" s="213" t="e">
        <f t="shared" si="49"/>
        <v>#DIV/0!</v>
      </c>
      <c r="BU41" s="213" t="e">
        <f t="shared" si="50"/>
        <v>#DIV/0!</v>
      </c>
      <c r="BV41" s="213" t="e">
        <f t="shared" si="51"/>
        <v>#DIV/0!</v>
      </c>
      <c r="BW41" s="213" t="e">
        <f t="shared" si="52"/>
        <v>#DIV/0!</v>
      </c>
      <c r="BX41" s="213" t="e">
        <f t="shared" si="53"/>
        <v>#DIV/0!</v>
      </c>
      <c r="BY41" s="213" t="e">
        <f t="shared" si="54"/>
        <v>#DIV/0!</v>
      </c>
      <c r="BZ41" s="213" t="e">
        <f t="shared" si="55"/>
        <v>#DIV/0!</v>
      </c>
      <c r="CA41" s="213" t="e">
        <f t="shared" si="56"/>
        <v>#DIV/0!</v>
      </c>
      <c r="CB41" s="213" t="e">
        <f t="shared" si="57"/>
        <v>#DIV/0!</v>
      </c>
      <c r="CC41" s="213" t="e">
        <f t="shared" si="58"/>
        <v>#DIV/0!</v>
      </c>
      <c r="CD41" s="213" t="e">
        <f t="shared" si="59"/>
        <v>#DIV/0!</v>
      </c>
      <c r="CE41" s="213" t="e">
        <f t="shared" si="60"/>
        <v>#DIV/0!</v>
      </c>
      <c r="CF41" s="213" t="e">
        <f t="shared" si="61"/>
        <v>#DIV/0!</v>
      </c>
      <c r="CG41" s="213" t="e">
        <f t="shared" si="62"/>
        <v>#DIV/0!</v>
      </c>
      <c r="CH41" s="213" t="e">
        <f t="shared" si="63"/>
        <v>#DIV/0!</v>
      </c>
      <c r="CI41" s="213" t="e">
        <f t="shared" si="64"/>
        <v>#DIV/0!</v>
      </c>
      <c r="CJ41" s="226"/>
      <c r="CK41" s="228"/>
      <c r="CL41" s="228"/>
      <c r="CM41" s="228"/>
      <c r="CN41" s="228"/>
      <c r="CO41" s="228"/>
      <c r="CP41" s="228"/>
      <c r="CQ41" s="228"/>
      <c r="CR41" s="228"/>
      <c r="CS41" s="228"/>
      <c r="CT41" s="228"/>
      <c r="CU41" s="228"/>
      <c r="CV41" s="228"/>
      <c r="CW41" s="228"/>
      <c r="CX41" s="228"/>
      <c r="CY41" s="228"/>
      <c r="CZ41" s="228"/>
      <c r="DA41" s="228"/>
      <c r="DB41" s="228"/>
      <c r="DC41" s="228"/>
      <c r="DD41" s="228"/>
      <c r="DE41" s="228"/>
      <c r="DF41" s="228"/>
      <c r="DG41" s="228"/>
      <c r="DH41" s="228"/>
      <c r="DI41" s="228"/>
      <c r="DJ41" s="228"/>
      <c r="DK41" s="228"/>
      <c r="DL41" s="228"/>
      <c r="DM41" s="228"/>
      <c r="DN41" s="228"/>
      <c r="DO41" s="228"/>
      <c r="DP41" s="228"/>
      <c r="DQ41" s="228"/>
    </row>
    <row r="42" s="61" customFormat="1" ht="16" customHeight="1" spans="1:121">
      <c r="A42" s="269" t="s">
        <v>374</v>
      </c>
      <c r="B42" s="270"/>
      <c r="C42" s="77">
        <f>IF(E22&gt;0,-初始化表!B9-初始化表!B10*E22,0)</f>
        <v>0</v>
      </c>
      <c r="D42" s="79"/>
      <c r="E42" s="79" t="e">
        <f>E39-C42</f>
        <v>#DIV/0!</v>
      </c>
      <c r="F42" s="79" t="e">
        <f>F41+C42</f>
        <v>#DIV/0!</v>
      </c>
      <c r="G42" s="73"/>
      <c r="H42" s="269" t="s">
        <v>639</v>
      </c>
      <c r="I42" s="269" t="s">
        <v>640</v>
      </c>
      <c r="J42" s="269" t="s">
        <v>641</v>
      </c>
      <c r="K42" s="269" t="s">
        <v>642</v>
      </c>
      <c r="L42" s="269" t="s">
        <v>643</v>
      </c>
      <c r="M42" s="85"/>
      <c r="N42" s="269" t="s">
        <v>644</v>
      </c>
      <c r="O42" s="112" t="e">
        <f>1-0.5/MAX(B12:E12)</f>
        <v>#DIV/0!</v>
      </c>
      <c r="P42" s="112" t="e">
        <f>1-0.5/MAX(B13:E13)</f>
        <v>#DIV/0!</v>
      </c>
      <c r="Q42" s="112" t="e">
        <f>1-0.5/MAX(B14:E14)</f>
        <v>#DIV/0!</v>
      </c>
      <c r="R42" s="112" t="e">
        <f>1-0.5/MAX(B15:E15)</f>
        <v>#DIV/0!</v>
      </c>
      <c r="S42" s="139"/>
      <c r="T42" s="120"/>
      <c r="U42" s="269" t="s">
        <v>521</v>
      </c>
      <c r="V42" s="77">
        <f t="shared" ref="V42:Y45" si="74">MAX(B12+V5-V11-V86,0)</f>
        <v>0</v>
      </c>
      <c r="W42" s="77">
        <f t="shared" si="74"/>
        <v>0</v>
      </c>
      <c r="X42" s="77">
        <f t="shared" si="74"/>
        <v>0</v>
      </c>
      <c r="Y42" s="77">
        <f t="shared" si="74"/>
        <v>0</v>
      </c>
      <c r="Z42" s="77">
        <f>SUM(V42:Y42)</f>
        <v>0</v>
      </c>
      <c r="AA42" s="73"/>
      <c r="AB42" s="68" t="s">
        <v>645</v>
      </c>
      <c r="AC42" s="69"/>
      <c r="AD42" s="71" t="e">
        <f>C49/AD41</f>
        <v>#DIV/0!</v>
      </c>
      <c r="AE42" s="71"/>
      <c r="AF42" s="74"/>
      <c r="AG42" s="74"/>
      <c r="AH42" s="73"/>
      <c r="AI42" s="367"/>
      <c r="AJ42" s="368"/>
      <c r="AK42" s="368"/>
      <c r="AL42" s="368"/>
      <c r="AM42" s="368"/>
      <c r="AN42" s="368"/>
      <c r="AO42" s="368"/>
      <c r="AP42" s="368"/>
      <c r="AQ42" s="368"/>
      <c r="AR42" s="368"/>
      <c r="AS42" s="368"/>
      <c r="AT42" s="368"/>
      <c r="AU42" s="368"/>
      <c r="AV42" s="368"/>
      <c r="AW42" s="368"/>
      <c r="AX42" s="368"/>
      <c r="AY42" s="368"/>
      <c r="AZ42" s="193"/>
      <c r="BA42" s="196">
        <f t="shared" si="65"/>
        <v>0</v>
      </c>
      <c r="BB42" s="201">
        <f t="shared" si="66"/>
        <v>0</v>
      </c>
      <c r="BC42" s="201">
        <f t="shared" si="67"/>
        <v>0</v>
      </c>
      <c r="BD42" s="201">
        <f t="shared" si="68"/>
        <v>0</v>
      </c>
      <c r="BE42" s="201">
        <f t="shared" si="69"/>
        <v>0</v>
      </c>
      <c r="BF42" s="202">
        <f>(BB42*初始化表!E$17+BC42*初始化表!F$17+BD42*初始化表!G$17+BE42*初始化表!H$17)/1300</f>
        <v>0</v>
      </c>
      <c r="BG42" s="207">
        <f t="shared" si="70"/>
        <v>0</v>
      </c>
      <c r="BH42" s="207">
        <f t="shared" si="71"/>
        <v>0</v>
      </c>
      <c r="BI42" s="321">
        <f>$BI$51+MAX(0,第5期!BI42)-BF42</f>
        <v>0</v>
      </c>
      <c r="BJ42" s="373" t="str">
        <f t="shared" si="72"/>
        <v/>
      </c>
      <c r="BK42" s="373" t="str">
        <f t="shared" si="73"/>
        <v/>
      </c>
      <c r="BL42" s="203"/>
      <c r="BM42" s="194" t="s">
        <v>521</v>
      </c>
      <c r="BN42" s="201" t="e">
        <f t="shared" ref="BN42:BQ45" si="75">INT(1/BN32*BN37)</f>
        <v>#DIV/0!</v>
      </c>
      <c r="BO42" s="201" t="e">
        <f t="shared" si="75"/>
        <v>#DIV/0!</v>
      </c>
      <c r="BP42" s="201" t="e">
        <f t="shared" si="75"/>
        <v>#DIV/0!</v>
      </c>
      <c r="BQ42" s="201" t="e">
        <f t="shared" si="75"/>
        <v>#DIV/0!</v>
      </c>
      <c r="BR42" s="211"/>
      <c r="BS42" s="196">
        <f t="shared" si="48"/>
        <v>0</v>
      </c>
      <c r="BT42" s="213" t="e">
        <f t="shared" si="49"/>
        <v>#DIV/0!</v>
      </c>
      <c r="BU42" s="213" t="e">
        <f t="shared" si="50"/>
        <v>#DIV/0!</v>
      </c>
      <c r="BV42" s="213" t="e">
        <f t="shared" si="51"/>
        <v>#DIV/0!</v>
      </c>
      <c r="BW42" s="213" t="e">
        <f t="shared" si="52"/>
        <v>#DIV/0!</v>
      </c>
      <c r="BX42" s="213" t="e">
        <f t="shared" si="53"/>
        <v>#DIV/0!</v>
      </c>
      <c r="BY42" s="213" t="e">
        <f t="shared" si="54"/>
        <v>#DIV/0!</v>
      </c>
      <c r="BZ42" s="213" t="e">
        <f t="shared" si="55"/>
        <v>#DIV/0!</v>
      </c>
      <c r="CA42" s="213" t="e">
        <f t="shared" si="56"/>
        <v>#DIV/0!</v>
      </c>
      <c r="CB42" s="213" t="e">
        <f t="shared" si="57"/>
        <v>#DIV/0!</v>
      </c>
      <c r="CC42" s="213" t="e">
        <f t="shared" si="58"/>
        <v>#DIV/0!</v>
      </c>
      <c r="CD42" s="213" t="e">
        <f t="shared" si="59"/>
        <v>#DIV/0!</v>
      </c>
      <c r="CE42" s="213" t="e">
        <f t="shared" si="60"/>
        <v>#DIV/0!</v>
      </c>
      <c r="CF42" s="213" t="e">
        <f t="shared" si="61"/>
        <v>#DIV/0!</v>
      </c>
      <c r="CG42" s="213" t="e">
        <f t="shared" si="62"/>
        <v>#DIV/0!</v>
      </c>
      <c r="CH42" s="213" t="e">
        <f t="shared" si="63"/>
        <v>#DIV/0!</v>
      </c>
      <c r="CI42" s="213" t="e">
        <f t="shared" si="64"/>
        <v>#DIV/0!</v>
      </c>
      <c r="CJ42" s="226"/>
      <c r="CK42" s="228"/>
      <c r="CL42" s="228"/>
      <c r="CM42" s="228"/>
      <c r="CN42" s="228"/>
      <c r="CO42" s="228"/>
      <c r="CP42" s="228"/>
      <c r="CQ42" s="228"/>
      <c r="CR42" s="228"/>
      <c r="CS42" s="228"/>
      <c r="CT42" s="228"/>
      <c r="CU42" s="228"/>
      <c r="CV42" s="228"/>
      <c r="CW42" s="228"/>
      <c r="CX42" s="228"/>
      <c r="CY42" s="228"/>
      <c r="CZ42" s="228"/>
      <c r="DA42" s="228"/>
      <c r="DB42" s="228"/>
      <c r="DC42" s="228"/>
      <c r="DD42" s="228"/>
      <c r="DE42" s="228"/>
      <c r="DF42" s="228"/>
      <c r="DG42" s="228"/>
      <c r="DH42" s="228"/>
      <c r="DI42" s="228"/>
      <c r="DJ42" s="228"/>
      <c r="DK42" s="228"/>
      <c r="DL42" s="228"/>
      <c r="DM42" s="228"/>
      <c r="DN42" s="228"/>
      <c r="DO42" s="228"/>
      <c r="DP42" s="228"/>
      <c r="DQ42" s="228"/>
    </row>
    <row r="43" s="61" customFormat="1" ht="16" customHeight="1" spans="1:121">
      <c r="A43" s="269" t="s">
        <v>244</v>
      </c>
      <c r="B43" s="270"/>
      <c r="C43" s="77">
        <f>-(IF(SUM(B17:C17)=0,0,初始化表!H25)+IF(SUM(B18:C18)=0,0,初始化表!H26)+IF(SUM(B19:C19)=0,0,初始化表!H27)+IF(SUM(B20:C20)=0,0,初始化表!H28)+IF(SUM(D17:E17)=0,0,初始化表!I25)+IF(SUM(D18:E18)=0,0,初始化表!I26)+IF(SUM(D19:E19)=0,0,初始化表!I27)+IF(SUM(D20:E20)=0,0,初始化表!I28))</f>
        <v>0</v>
      </c>
      <c r="D43" s="79"/>
      <c r="E43" s="79" t="e">
        <f t="shared" ref="E43:E48" si="76">E42-C43</f>
        <v>#DIV/0!</v>
      </c>
      <c r="F43" s="79" t="e">
        <f>F42+C43</f>
        <v>#DIV/0!</v>
      </c>
      <c r="G43" s="73"/>
      <c r="H43" s="83">
        <f>第5期!F70</f>
        <v>0</v>
      </c>
      <c r="I43" s="83" t="e">
        <f>ROUNDUP(MAX(-K29/初始化表!B11,0),0)</f>
        <v>#DIV/0!</v>
      </c>
      <c r="J43" s="83" t="e">
        <f>IF(I43&lt;=0,0,IF(I43&lt;初始化表!K32,初始化表!K32,IF(I43&lt;初始化表!K31,初始化表!K31,IF(I43&lt;初始化表!K30,初始化表!K30,I43))))</f>
        <v>#DIV/0!</v>
      </c>
      <c r="K43" s="107"/>
      <c r="L43" s="83">
        <f>E22+H43-(SUM(B17:E17)*初始化表!E19+SUM(B18:E18)*初始化表!F19+SUM(B19:E19)*初始化表!G19+SUM(B20:E20)*初始化表!H19)</f>
        <v>0</v>
      </c>
      <c r="M43" s="85"/>
      <c r="N43" s="269" t="s">
        <v>646</v>
      </c>
      <c r="O43" s="111">
        <f>工资系数初始化!D24</f>
        <v>0.95</v>
      </c>
      <c r="P43" s="111">
        <f>工资系数初始化!E24</f>
        <v>0.95</v>
      </c>
      <c r="Q43" s="111">
        <f>工资系数初始化!F24</f>
        <v>0.95</v>
      </c>
      <c r="R43" s="111">
        <f>工资系数初始化!G24</f>
        <v>0.95</v>
      </c>
      <c r="S43" s="138"/>
      <c r="T43" s="120"/>
      <c r="U43" s="269" t="s">
        <v>522</v>
      </c>
      <c r="V43" s="77">
        <f t="shared" si="74"/>
        <v>0</v>
      </c>
      <c r="W43" s="77">
        <f t="shared" si="74"/>
        <v>0</v>
      </c>
      <c r="X43" s="77">
        <f t="shared" si="74"/>
        <v>0</v>
      </c>
      <c r="Y43" s="77">
        <f t="shared" si="74"/>
        <v>0</v>
      </c>
      <c r="Z43" s="77">
        <f>SUM(V43:Y43)</f>
        <v>0</v>
      </c>
      <c r="AA43" s="73"/>
      <c r="AB43" s="74"/>
      <c r="AC43" s="74"/>
      <c r="AD43" s="74"/>
      <c r="AE43" s="74"/>
      <c r="AF43" s="74"/>
      <c r="AG43" s="74"/>
      <c r="AH43" s="73"/>
      <c r="AI43" s="367"/>
      <c r="AJ43" s="368"/>
      <c r="AK43" s="368"/>
      <c r="AL43" s="368"/>
      <c r="AM43" s="368"/>
      <c r="AN43" s="368"/>
      <c r="AO43" s="368"/>
      <c r="AP43" s="368"/>
      <c r="AQ43" s="368"/>
      <c r="AR43" s="368"/>
      <c r="AS43" s="368"/>
      <c r="AT43" s="368"/>
      <c r="AU43" s="368"/>
      <c r="AV43" s="368"/>
      <c r="AW43" s="368"/>
      <c r="AX43" s="368"/>
      <c r="AY43" s="368"/>
      <c r="AZ43" s="193"/>
      <c r="BA43" s="196">
        <f t="shared" si="65"/>
        <v>0</v>
      </c>
      <c r="BB43" s="201">
        <f t="shared" si="66"/>
        <v>0</v>
      </c>
      <c r="BC43" s="201">
        <f t="shared" si="67"/>
        <v>0</v>
      </c>
      <c r="BD43" s="201">
        <f t="shared" si="68"/>
        <v>0</v>
      </c>
      <c r="BE43" s="201">
        <f t="shared" si="69"/>
        <v>0</v>
      </c>
      <c r="BF43" s="202">
        <f>(BB43*初始化表!E$17+BC43*初始化表!F$17+BD43*初始化表!G$17+BE43*初始化表!H$17)/1300</f>
        <v>0</v>
      </c>
      <c r="BG43" s="207">
        <f t="shared" si="70"/>
        <v>0</v>
      </c>
      <c r="BH43" s="207">
        <f t="shared" si="71"/>
        <v>0</v>
      </c>
      <c r="BI43" s="321">
        <f>$BI$51+MAX(0,第5期!BI43)-BF43</f>
        <v>0</v>
      </c>
      <c r="BJ43" s="373" t="str">
        <f t="shared" si="72"/>
        <v/>
      </c>
      <c r="BK43" s="373" t="str">
        <f t="shared" si="73"/>
        <v/>
      </c>
      <c r="BL43" s="203"/>
      <c r="BM43" s="194" t="s">
        <v>522</v>
      </c>
      <c r="BN43" s="201" t="e">
        <f t="shared" si="75"/>
        <v>#DIV/0!</v>
      </c>
      <c r="BO43" s="201" t="e">
        <f t="shared" si="75"/>
        <v>#DIV/0!</v>
      </c>
      <c r="BP43" s="201" t="e">
        <f t="shared" si="75"/>
        <v>#DIV/0!</v>
      </c>
      <c r="BQ43" s="201" t="e">
        <f t="shared" si="75"/>
        <v>#DIV/0!</v>
      </c>
      <c r="BR43" s="211"/>
      <c r="BS43" s="196">
        <f t="shared" si="48"/>
        <v>0</v>
      </c>
      <c r="BT43" s="213" t="e">
        <f t="shared" si="49"/>
        <v>#DIV/0!</v>
      </c>
      <c r="BU43" s="213" t="e">
        <f t="shared" si="50"/>
        <v>#DIV/0!</v>
      </c>
      <c r="BV43" s="213" t="e">
        <f t="shared" si="51"/>
        <v>#DIV/0!</v>
      </c>
      <c r="BW43" s="213" t="e">
        <f t="shared" si="52"/>
        <v>#DIV/0!</v>
      </c>
      <c r="BX43" s="213" t="e">
        <f t="shared" si="53"/>
        <v>#DIV/0!</v>
      </c>
      <c r="BY43" s="213" t="e">
        <f t="shared" si="54"/>
        <v>#DIV/0!</v>
      </c>
      <c r="BZ43" s="213" t="e">
        <f t="shared" si="55"/>
        <v>#DIV/0!</v>
      </c>
      <c r="CA43" s="213" t="e">
        <f t="shared" si="56"/>
        <v>#DIV/0!</v>
      </c>
      <c r="CB43" s="213" t="e">
        <f t="shared" si="57"/>
        <v>#DIV/0!</v>
      </c>
      <c r="CC43" s="213" t="e">
        <f t="shared" si="58"/>
        <v>#DIV/0!</v>
      </c>
      <c r="CD43" s="213" t="e">
        <f t="shared" si="59"/>
        <v>#DIV/0!</v>
      </c>
      <c r="CE43" s="213" t="e">
        <f t="shared" si="60"/>
        <v>#DIV/0!</v>
      </c>
      <c r="CF43" s="213" t="e">
        <f t="shared" si="61"/>
        <v>#DIV/0!</v>
      </c>
      <c r="CG43" s="213" t="e">
        <f t="shared" si="62"/>
        <v>#DIV/0!</v>
      </c>
      <c r="CH43" s="213" t="e">
        <f t="shared" si="63"/>
        <v>#DIV/0!</v>
      </c>
      <c r="CI43" s="213" t="e">
        <f t="shared" si="64"/>
        <v>#DIV/0!</v>
      </c>
      <c r="CJ43" s="226"/>
      <c r="CK43" s="228"/>
      <c r="CL43" s="228"/>
      <c r="CM43" s="228"/>
      <c r="CN43" s="228"/>
      <c r="CO43" s="228"/>
      <c r="CP43" s="228"/>
      <c r="CQ43" s="228"/>
      <c r="CR43" s="228"/>
      <c r="CS43" s="228"/>
      <c r="CT43" s="228"/>
      <c r="CU43" s="228"/>
      <c r="CV43" s="228"/>
      <c r="CW43" s="228"/>
      <c r="CX43" s="228"/>
      <c r="CY43" s="228"/>
      <c r="CZ43" s="228"/>
      <c r="DA43" s="228"/>
      <c r="DB43" s="228"/>
      <c r="DC43" s="228"/>
      <c r="DD43" s="228"/>
      <c r="DE43" s="228"/>
      <c r="DF43" s="228"/>
      <c r="DG43" s="228"/>
      <c r="DH43" s="228"/>
      <c r="DI43" s="228"/>
      <c r="DJ43" s="228"/>
      <c r="DK43" s="228"/>
      <c r="DL43" s="228"/>
      <c r="DM43" s="228"/>
      <c r="DN43" s="228"/>
      <c r="DO43" s="228"/>
      <c r="DP43" s="228"/>
      <c r="DQ43" s="228"/>
    </row>
    <row r="44" s="61" customFormat="1" ht="16" customHeight="1" spans="1:121">
      <c r="A44" s="269" t="s">
        <v>375</v>
      </c>
      <c r="B44" s="270"/>
      <c r="C44" s="77">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0</v>
      </c>
      <c r="D44" s="79"/>
      <c r="E44" s="79" t="e">
        <f t="shared" si="76"/>
        <v>#DIV/0!</v>
      </c>
      <c r="F44" s="79" t="e">
        <f>F43+C44</f>
        <v>#DIV/0!</v>
      </c>
      <c r="G44" s="73"/>
      <c r="H44" s="74"/>
      <c r="I44" s="74"/>
      <c r="J44" s="74"/>
      <c r="K44" s="116" t="s">
        <v>255</v>
      </c>
      <c r="L44" s="285" t="e">
        <f>F77</f>
        <v>#DIV/0!</v>
      </c>
      <c r="M44" s="85"/>
      <c r="N44" s="269" t="s">
        <v>647</v>
      </c>
      <c r="O44" s="269" t="s">
        <v>648</v>
      </c>
      <c r="P44" s="269" t="s">
        <v>649</v>
      </c>
      <c r="Q44" s="269" t="s">
        <v>650</v>
      </c>
      <c r="R44" s="269" t="s">
        <v>313</v>
      </c>
      <c r="S44" s="121"/>
      <c r="T44" s="120"/>
      <c r="U44" s="269" t="s">
        <v>523</v>
      </c>
      <c r="V44" s="77">
        <f t="shared" si="74"/>
        <v>0</v>
      </c>
      <c r="W44" s="77">
        <f t="shared" si="74"/>
        <v>0</v>
      </c>
      <c r="X44" s="77">
        <f t="shared" si="74"/>
        <v>0</v>
      </c>
      <c r="Y44" s="77">
        <f t="shared" si="74"/>
        <v>0</v>
      </c>
      <c r="Z44" s="77">
        <f>SUM(V44:Y44)</f>
        <v>0</v>
      </c>
      <c r="AA44" s="73"/>
      <c r="AB44" s="74"/>
      <c r="AC44" s="74"/>
      <c r="AD44" s="74"/>
      <c r="AE44" s="74"/>
      <c r="AF44" s="74"/>
      <c r="AG44" s="74"/>
      <c r="AH44" s="73"/>
      <c r="AI44" s="367"/>
      <c r="AJ44" s="368"/>
      <c r="AK44" s="368"/>
      <c r="AL44" s="368"/>
      <c r="AM44" s="368"/>
      <c r="AN44" s="368"/>
      <c r="AO44" s="368"/>
      <c r="AP44" s="368"/>
      <c r="AQ44" s="368"/>
      <c r="AR44" s="368"/>
      <c r="AS44" s="368"/>
      <c r="AT44" s="368"/>
      <c r="AU44" s="368"/>
      <c r="AV44" s="368"/>
      <c r="AW44" s="368"/>
      <c r="AX44" s="368"/>
      <c r="AY44" s="368"/>
      <c r="AZ44" s="193"/>
      <c r="BA44" s="196">
        <f t="shared" si="65"/>
        <v>0</v>
      </c>
      <c r="BB44" s="201">
        <f t="shared" si="66"/>
        <v>0</v>
      </c>
      <c r="BC44" s="201">
        <f t="shared" si="67"/>
        <v>0</v>
      </c>
      <c r="BD44" s="201">
        <f t="shared" si="68"/>
        <v>0</v>
      </c>
      <c r="BE44" s="201">
        <f t="shared" si="69"/>
        <v>0</v>
      </c>
      <c r="BF44" s="202">
        <f>(BB44*初始化表!E$17+BC44*初始化表!F$17+BD44*初始化表!G$17+BE44*初始化表!H$17)/1300</f>
        <v>0</v>
      </c>
      <c r="BG44" s="207">
        <f t="shared" si="70"/>
        <v>0</v>
      </c>
      <c r="BH44" s="207">
        <f t="shared" si="71"/>
        <v>0</v>
      </c>
      <c r="BI44" s="321">
        <f>$BI$51+MAX(0,第5期!BI44)-BF44</f>
        <v>0</v>
      </c>
      <c r="BJ44" s="373" t="str">
        <f t="shared" si="72"/>
        <v/>
      </c>
      <c r="BK44" s="373" t="str">
        <f t="shared" si="73"/>
        <v/>
      </c>
      <c r="BL44" s="203"/>
      <c r="BM44" s="194" t="s">
        <v>523</v>
      </c>
      <c r="BN44" s="201" t="e">
        <f t="shared" si="75"/>
        <v>#DIV/0!</v>
      </c>
      <c r="BO44" s="201" t="e">
        <f t="shared" si="75"/>
        <v>#DIV/0!</v>
      </c>
      <c r="BP44" s="201" t="e">
        <f t="shared" si="75"/>
        <v>#DIV/0!</v>
      </c>
      <c r="BQ44" s="201" t="e">
        <f t="shared" si="75"/>
        <v>#DIV/0!</v>
      </c>
      <c r="BR44" s="211"/>
      <c r="BS44" s="196">
        <f t="shared" si="48"/>
        <v>0</v>
      </c>
      <c r="BT44" s="213" t="e">
        <f t="shared" si="49"/>
        <v>#DIV/0!</v>
      </c>
      <c r="BU44" s="213" t="e">
        <f t="shared" si="50"/>
        <v>#DIV/0!</v>
      </c>
      <c r="BV44" s="213" t="e">
        <f t="shared" si="51"/>
        <v>#DIV/0!</v>
      </c>
      <c r="BW44" s="213" t="e">
        <f t="shared" si="52"/>
        <v>#DIV/0!</v>
      </c>
      <c r="BX44" s="213" t="e">
        <f t="shared" si="53"/>
        <v>#DIV/0!</v>
      </c>
      <c r="BY44" s="213" t="e">
        <f t="shared" si="54"/>
        <v>#DIV/0!</v>
      </c>
      <c r="BZ44" s="213" t="e">
        <f t="shared" si="55"/>
        <v>#DIV/0!</v>
      </c>
      <c r="CA44" s="213" t="e">
        <f t="shared" si="56"/>
        <v>#DIV/0!</v>
      </c>
      <c r="CB44" s="213" t="e">
        <f t="shared" si="57"/>
        <v>#DIV/0!</v>
      </c>
      <c r="CC44" s="213" t="e">
        <f t="shared" si="58"/>
        <v>#DIV/0!</v>
      </c>
      <c r="CD44" s="213" t="e">
        <f t="shared" si="59"/>
        <v>#DIV/0!</v>
      </c>
      <c r="CE44" s="213" t="e">
        <f t="shared" si="60"/>
        <v>#DIV/0!</v>
      </c>
      <c r="CF44" s="213" t="e">
        <f t="shared" si="61"/>
        <v>#DIV/0!</v>
      </c>
      <c r="CG44" s="213" t="e">
        <f t="shared" si="62"/>
        <v>#DIV/0!</v>
      </c>
      <c r="CH44" s="213" t="e">
        <f t="shared" si="63"/>
        <v>#DIV/0!</v>
      </c>
      <c r="CI44" s="213" t="e">
        <f t="shared" si="64"/>
        <v>#DIV/0!</v>
      </c>
      <c r="CJ44" s="226"/>
      <c r="CK44" s="228"/>
      <c r="CL44" s="228"/>
      <c r="CM44" s="228"/>
      <c r="CN44" s="228"/>
      <c r="CO44" s="228"/>
      <c r="CP44" s="228"/>
      <c r="CQ44" s="228"/>
      <c r="CR44" s="228"/>
      <c r="CS44" s="228"/>
      <c r="CT44" s="228"/>
      <c r="CU44" s="228"/>
      <c r="CV44" s="228"/>
      <c r="CW44" s="228"/>
      <c r="CX44" s="228"/>
      <c r="CY44" s="228"/>
      <c r="CZ44" s="228"/>
      <c r="DA44" s="228"/>
      <c r="DB44" s="228"/>
      <c r="DC44" s="228"/>
      <c r="DD44" s="228"/>
      <c r="DE44" s="228"/>
      <c r="DF44" s="228"/>
      <c r="DG44" s="228"/>
      <c r="DH44" s="228"/>
      <c r="DI44" s="228"/>
      <c r="DJ44" s="228"/>
      <c r="DK44" s="228"/>
      <c r="DL44" s="228"/>
      <c r="DM44" s="228"/>
      <c r="DN44" s="228"/>
      <c r="DO44" s="228"/>
      <c r="DP44" s="228"/>
      <c r="DQ44" s="228"/>
    </row>
    <row r="45" s="61" customFormat="1" ht="16" customHeight="1" spans="1:121">
      <c r="A45" s="269" t="s">
        <v>376</v>
      </c>
      <c r="B45" s="270"/>
      <c r="C45" s="77">
        <f>-SUM(B17:E17)*初始化表!E19-SUM(B18:E18)*初始化表!F19-SUM(B19:E19)*初始化表!G19-SUM(B20:E20)*初始化表!H19</f>
        <v>0</v>
      </c>
      <c r="D45" s="79"/>
      <c r="E45" s="79" t="e">
        <f t="shared" si="76"/>
        <v>#DIV/0!</v>
      </c>
      <c r="F45" s="79"/>
      <c r="G45" s="73"/>
      <c r="H45" s="269" t="s">
        <v>282</v>
      </c>
      <c r="I45" s="270"/>
      <c r="J45" s="270"/>
      <c r="K45" s="270"/>
      <c r="L45" s="270"/>
      <c r="M45" s="85"/>
      <c r="N45" s="115">
        <f>第5期!F24</f>
        <v>1</v>
      </c>
      <c r="O45" s="77">
        <f>IF(0.99*LOG(F24,初始化表!B20)&lt;0.99,0.99*LOG(F24,初始化表!B20),0.99)</f>
        <v>0</v>
      </c>
      <c r="P45" s="77" t="e">
        <f>INT(((R42-0.95-(R41-0.95)*0.2)/0.8*10/初始化表!B19+1)*1000+0.5)/1000</f>
        <v>#DIV/0!</v>
      </c>
      <c r="Q45" s="77">
        <f>INT(((0.05-(R41-0.95)*0.2)/0.8*10/初始化表!B19+1)*1000+0.5)/1000</f>
        <v>1.625</v>
      </c>
      <c r="R45" s="142">
        <f>第5期!R45</f>
        <v>1</v>
      </c>
      <c r="S45" s="141" t="s">
        <v>651</v>
      </c>
      <c r="T45" s="142"/>
      <c r="U45" s="269" t="s">
        <v>524</v>
      </c>
      <c r="V45" s="77">
        <f t="shared" si="74"/>
        <v>0</v>
      </c>
      <c r="W45" s="77">
        <f t="shared" si="74"/>
        <v>0</v>
      </c>
      <c r="X45" s="77">
        <f t="shared" si="74"/>
        <v>0</v>
      </c>
      <c r="Y45" s="77">
        <f t="shared" si="74"/>
        <v>0</v>
      </c>
      <c r="Z45" s="77">
        <f>SUM(V45:Y45)</f>
        <v>0</v>
      </c>
      <c r="AA45" s="73"/>
      <c r="AB45" s="74"/>
      <c r="AC45" s="74"/>
      <c r="AD45" s="74"/>
      <c r="AE45" s="74"/>
      <c r="AF45" s="74"/>
      <c r="AG45" s="74"/>
      <c r="AH45" s="73"/>
      <c r="AI45" s="367"/>
      <c r="AJ45" s="368"/>
      <c r="AK45" s="368"/>
      <c r="AL45" s="368"/>
      <c r="AM45" s="368"/>
      <c r="AN45" s="368"/>
      <c r="AO45" s="368"/>
      <c r="AP45" s="368"/>
      <c r="AQ45" s="368"/>
      <c r="AR45" s="368"/>
      <c r="AS45" s="368"/>
      <c r="AT45" s="368"/>
      <c r="AU45" s="368"/>
      <c r="AV45" s="368"/>
      <c r="AW45" s="368"/>
      <c r="AX45" s="368"/>
      <c r="AY45" s="368"/>
      <c r="AZ45" s="193"/>
      <c r="BA45" s="196">
        <f t="shared" si="65"/>
        <v>0</v>
      </c>
      <c r="BB45" s="201">
        <f t="shared" si="66"/>
        <v>0</v>
      </c>
      <c r="BC45" s="201">
        <f t="shared" si="67"/>
        <v>0</v>
      </c>
      <c r="BD45" s="201">
        <f t="shared" si="68"/>
        <v>0</v>
      </c>
      <c r="BE45" s="201">
        <f t="shared" si="69"/>
        <v>0</v>
      </c>
      <c r="BF45" s="202">
        <f>(BB45*初始化表!E$17+BC45*初始化表!F$17+BD45*初始化表!G$17+BE45*初始化表!H$17)/1300</f>
        <v>0</v>
      </c>
      <c r="BG45" s="207">
        <f t="shared" si="70"/>
        <v>0</v>
      </c>
      <c r="BH45" s="207">
        <f t="shared" si="71"/>
        <v>0</v>
      </c>
      <c r="BI45" s="321">
        <f>$BI$51+MAX(0,第5期!BI45)-BF45</f>
        <v>0</v>
      </c>
      <c r="BJ45" s="373" t="str">
        <f t="shared" si="72"/>
        <v/>
      </c>
      <c r="BK45" s="373" t="str">
        <f t="shared" si="73"/>
        <v/>
      </c>
      <c r="BL45" s="203"/>
      <c r="BM45" s="194" t="s">
        <v>524</v>
      </c>
      <c r="BN45" s="201" t="e">
        <f t="shared" si="75"/>
        <v>#DIV/0!</v>
      </c>
      <c r="BO45" s="201" t="e">
        <f t="shared" si="75"/>
        <v>#DIV/0!</v>
      </c>
      <c r="BP45" s="201" t="e">
        <f t="shared" si="75"/>
        <v>#DIV/0!</v>
      </c>
      <c r="BQ45" s="201" t="e">
        <f t="shared" si="75"/>
        <v>#DIV/0!</v>
      </c>
      <c r="BR45" s="211"/>
      <c r="BS45" s="196">
        <f t="shared" si="48"/>
        <v>0</v>
      </c>
      <c r="BT45" s="213" t="e">
        <f t="shared" si="49"/>
        <v>#DIV/0!</v>
      </c>
      <c r="BU45" s="213" t="e">
        <f t="shared" si="50"/>
        <v>#DIV/0!</v>
      </c>
      <c r="BV45" s="213" t="e">
        <f t="shared" si="51"/>
        <v>#DIV/0!</v>
      </c>
      <c r="BW45" s="213" t="e">
        <f t="shared" si="52"/>
        <v>#DIV/0!</v>
      </c>
      <c r="BX45" s="213" t="e">
        <f t="shared" si="53"/>
        <v>#DIV/0!</v>
      </c>
      <c r="BY45" s="213" t="e">
        <f t="shared" si="54"/>
        <v>#DIV/0!</v>
      </c>
      <c r="BZ45" s="213" t="e">
        <f t="shared" si="55"/>
        <v>#DIV/0!</v>
      </c>
      <c r="CA45" s="213" t="e">
        <f t="shared" si="56"/>
        <v>#DIV/0!</v>
      </c>
      <c r="CB45" s="213" t="e">
        <f t="shared" si="57"/>
        <v>#DIV/0!</v>
      </c>
      <c r="CC45" s="213" t="e">
        <f t="shared" si="58"/>
        <v>#DIV/0!</v>
      </c>
      <c r="CD45" s="213" t="e">
        <f t="shared" si="59"/>
        <v>#DIV/0!</v>
      </c>
      <c r="CE45" s="213" t="e">
        <f t="shared" si="60"/>
        <v>#DIV/0!</v>
      </c>
      <c r="CF45" s="213" t="e">
        <f t="shared" si="61"/>
        <v>#DIV/0!</v>
      </c>
      <c r="CG45" s="213" t="e">
        <f t="shared" si="62"/>
        <v>#DIV/0!</v>
      </c>
      <c r="CH45" s="213" t="e">
        <f t="shared" si="63"/>
        <v>#DIV/0!</v>
      </c>
      <c r="CI45" s="213" t="e">
        <f t="shared" si="64"/>
        <v>#DIV/0!</v>
      </c>
      <c r="CJ45" s="226"/>
      <c r="CK45" s="228"/>
      <c r="CL45" s="228"/>
      <c r="CM45" s="228"/>
      <c r="CN45" s="228"/>
      <c r="CO45" s="228"/>
      <c r="CP45" s="228"/>
      <c r="CQ45" s="228"/>
      <c r="CR45" s="228"/>
      <c r="CS45" s="228"/>
      <c r="CT45" s="228"/>
      <c r="CU45" s="228"/>
      <c r="CV45" s="228"/>
      <c r="CW45" s="228"/>
      <c r="CX45" s="228"/>
      <c r="CY45" s="228"/>
      <c r="CZ45" s="228"/>
      <c r="DA45" s="228"/>
      <c r="DB45" s="228"/>
      <c r="DC45" s="228"/>
      <c r="DD45" s="228"/>
      <c r="DE45" s="228"/>
      <c r="DF45" s="228"/>
      <c r="DG45" s="228"/>
      <c r="DH45" s="228"/>
      <c r="DI45" s="228"/>
      <c r="DJ45" s="228"/>
      <c r="DK45" s="228"/>
      <c r="DL45" s="228"/>
      <c r="DM45" s="228"/>
      <c r="DN45" s="228"/>
      <c r="DO45" s="228"/>
      <c r="DP45" s="228"/>
      <c r="DQ45" s="228"/>
    </row>
    <row r="46" s="61" customFormat="1" ht="16" customHeight="1" spans="1:121">
      <c r="A46" s="269" t="s">
        <v>377</v>
      </c>
      <c r="B46" s="270"/>
      <c r="C46" s="77">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0</v>
      </c>
      <c r="D46" s="79"/>
      <c r="E46" s="79" t="e">
        <f t="shared" si="76"/>
        <v>#DIV/0!</v>
      </c>
      <c r="F46" s="79" t="e">
        <f>F44+C46</f>
        <v>#DIV/0!</v>
      </c>
      <c r="G46" s="73"/>
      <c r="H46" s="269" t="s">
        <v>652</v>
      </c>
      <c r="I46" s="269" t="s">
        <v>513</v>
      </c>
      <c r="J46" s="269" t="s">
        <v>514</v>
      </c>
      <c r="K46" s="269" t="s">
        <v>515</v>
      </c>
      <c r="L46" s="269" t="s">
        <v>516</v>
      </c>
      <c r="M46" s="85"/>
      <c r="N46" s="74"/>
      <c r="O46" s="74"/>
      <c r="P46" s="74"/>
      <c r="Q46" s="269" t="s">
        <v>255</v>
      </c>
      <c r="R46" s="83" t="e">
        <f>F77</f>
        <v>#DIV/0!</v>
      </c>
      <c r="S46" s="141" t="s">
        <v>653</v>
      </c>
      <c r="T46" s="144"/>
      <c r="U46" s="123"/>
      <c r="V46" s="74"/>
      <c r="W46" s="74"/>
      <c r="X46" s="74"/>
      <c r="Y46" s="74"/>
      <c r="Z46" s="74"/>
      <c r="AA46" s="73"/>
      <c r="AB46" s="74"/>
      <c r="AC46" s="74"/>
      <c r="AD46" s="74"/>
      <c r="AE46" s="74"/>
      <c r="AF46" s="74"/>
      <c r="AG46" s="74"/>
      <c r="AH46" s="73"/>
      <c r="AI46" s="367"/>
      <c r="AJ46" s="368"/>
      <c r="AK46" s="368"/>
      <c r="AL46" s="368"/>
      <c r="AM46" s="368"/>
      <c r="AN46" s="368"/>
      <c r="AO46" s="368"/>
      <c r="AP46" s="368"/>
      <c r="AQ46" s="368"/>
      <c r="AR46" s="368"/>
      <c r="AS46" s="368"/>
      <c r="AT46" s="368"/>
      <c r="AU46" s="368"/>
      <c r="AV46" s="368"/>
      <c r="AW46" s="368"/>
      <c r="AX46" s="368"/>
      <c r="AY46" s="368"/>
      <c r="AZ46" s="193"/>
      <c r="BA46" s="196">
        <f t="shared" si="65"/>
        <v>0</v>
      </c>
      <c r="BB46" s="201">
        <f t="shared" si="66"/>
        <v>0</v>
      </c>
      <c r="BC46" s="201">
        <f t="shared" si="67"/>
        <v>0</v>
      </c>
      <c r="BD46" s="201">
        <f t="shared" si="68"/>
        <v>0</v>
      </c>
      <c r="BE46" s="201">
        <f t="shared" si="69"/>
        <v>0</v>
      </c>
      <c r="BF46" s="202">
        <f>(BB46*初始化表!E$17+BC46*初始化表!F$17+BD46*初始化表!G$17+BE46*初始化表!H$17)/1300</f>
        <v>0</v>
      </c>
      <c r="BG46" s="207">
        <f t="shared" si="70"/>
        <v>0</v>
      </c>
      <c r="BH46" s="207">
        <f t="shared" si="71"/>
        <v>0</v>
      </c>
      <c r="BI46" s="321">
        <f>$BI$51+MAX(0,第5期!BI46)-BF46</f>
        <v>0</v>
      </c>
      <c r="BJ46" s="373" t="str">
        <f t="shared" si="72"/>
        <v/>
      </c>
      <c r="BK46" s="373" t="str">
        <f t="shared" si="73"/>
        <v/>
      </c>
      <c r="BL46" s="203"/>
      <c r="BM46" s="218"/>
      <c r="BN46" s="218"/>
      <c r="BO46" s="218"/>
      <c r="BP46" s="218"/>
      <c r="BQ46" s="218"/>
      <c r="BR46" s="211"/>
      <c r="BS46" s="196">
        <f t="shared" si="48"/>
        <v>0</v>
      </c>
      <c r="BT46" s="213" t="e">
        <f t="shared" si="49"/>
        <v>#DIV/0!</v>
      </c>
      <c r="BU46" s="213" t="e">
        <f t="shared" si="50"/>
        <v>#DIV/0!</v>
      </c>
      <c r="BV46" s="213" t="e">
        <f t="shared" si="51"/>
        <v>#DIV/0!</v>
      </c>
      <c r="BW46" s="213" t="e">
        <f t="shared" si="52"/>
        <v>#DIV/0!</v>
      </c>
      <c r="BX46" s="213" t="e">
        <f t="shared" si="53"/>
        <v>#DIV/0!</v>
      </c>
      <c r="BY46" s="213" t="e">
        <f t="shared" si="54"/>
        <v>#DIV/0!</v>
      </c>
      <c r="BZ46" s="213" t="e">
        <f t="shared" si="55"/>
        <v>#DIV/0!</v>
      </c>
      <c r="CA46" s="213" t="e">
        <f t="shared" si="56"/>
        <v>#DIV/0!</v>
      </c>
      <c r="CB46" s="213" t="e">
        <f t="shared" si="57"/>
        <v>#DIV/0!</v>
      </c>
      <c r="CC46" s="213" t="e">
        <f t="shared" si="58"/>
        <v>#DIV/0!</v>
      </c>
      <c r="CD46" s="213" t="e">
        <f t="shared" si="59"/>
        <v>#DIV/0!</v>
      </c>
      <c r="CE46" s="213" t="e">
        <f t="shared" si="60"/>
        <v>#DIV/0!</v>
      </c>
      <c r="CF46" s="213" t="e">
        <f t="shared" si="61"/>
        <v>#DIV/0!</v>
      </c>
      <c r="CG46" s="213" t="e">
        <f t="shared" si="62"/>
        <v>#DIV/0!</v>
      </c>
      <c r="CH46" s="213" t="e">
        <f t="shared" si="63"/>
        <v>#DIV/0!</v>
      </c>
      <c r="CI46" s="213" t="e">
        <f t="shared" si="64"/>
        <v>#DIV/0!</v>
      </c>
      <c r="CJ46" s="226"/>
      <c r="CK46" s="228"/>
      <c r="CL46" s="228"/>
      <c r="CM46" s="228"/>
      <c r="CN46" s="228"/>
      <c r="CO46" s="228"/>
      <c r="CP46" s="228"/>
      <c r="CQ46" s="228"/>
      <c r="CR46" s="228"/>
      <c r="CS46" s="228"/>
      <c r="CT46" s="228"/>
      <c r="CU46" s="228"/>
      <c r="CV46" s="228"/>
      <c r="CW46" s="228"/>
      <c r="CX46" s="228"/>
      <c r="CY46" s="228"/>
      <c r="CZ46" s="228"/>
      <c r="DA46" s="228"/>
      <c r="DB46" s="228"/>
      <c r="DC46" s="228"/>
      <c r="DD46" s="228"/>
      <c r="DE46" s="228"/>
      <c r="DF46" s="228"/>
      <c r="DG46" s="228"/>
      <c r="DH46" s="228"/>
      <c r="DI46" s="228"/>
      <c r="DJ46" s="228"/>
      <c r="DK46" s="228"/>
      <c r="DL46" s="228"/>
      <c r="DM46" s="228"/>
      <c r="DN46" s="228"/>
      <c r="DO46" s="228"/>
      <c r="DP46" s="228"/>
      <c r="DQ46" s="228"/>
    </row>
    <row r="47" s="61" customFormat="1" ht="16" customHeight="1" spans="1:121">
      <c r="A47" s="269" t="s">
        <v>276</v>
      </c>
      <c r="B47" s="270"/>
      <c r="C47" s="77" t="e">
        <f>-SUM(F6:F9)</f>
        <v>#DIV/0!</v>
      </c>
      <c r="D47" s="79"/>
      <c r="E47" s="79" t="e">
        <f t="shared" si="76"/>
        <v>#DIV/0!</v>
      </c>
      <c r="F47" s="79" t="e">
        <f>F46+C47</f>
        <v>#DIV/0!</v>
      </c>
      <c r="G47" s="73"/>
      <c r="H47" s="269" t="s">
        <v>521</v>
      </c>
      <c r="I47" s="90">
        <v>2</v>
      </c>
      <c r="J47" s="90">
        <v>2</v>
      </c>
      <c r="K47" s="90">
        <v>3</v>
      </c>
      <c r="L47" s="90">
        <v>3</v>
      </c>
      <c r="M47" s="85"/>
      <c r="N47" s="269" t="s">
        <v>654</v>
      </c>
      <c r="O47" s="270"/>
      <c r="P47" s="270"/>
      <c r="Q47" s="270"/>
      <c r="R47" s="270"/>
      <c r="S47" s="141" t="s">
        <v>655</v>
      </c>
      <c r="T47" s="135" t="e">
        <f>R46-T46</f>
        <v>#DIV/0!</v>
      </c>
      <c r="U47" s="269" t="s">
        <v>742</v>
      </c>
      <c r="V47" s="269" t="s">
        <v>513</v>
      </c>
      <c r="W47" s="269" t="s">
        <v>514</v>
      </c>
      <c r="X47" s="269" t="s">
        <v>515</v>
      </c>
      <c r="Y47" s="269" t="s">
        <v>516</v>
      </c>
      <c r="Z47" s="74"/>
      <c r="AA47" s="73"/>
      <c r="AB47" s="74"/>
      <c r="AC47" s="74"/>
      <c r="AD47" s="74"/>
      <c r="AE47" s="74"/>
      <c r="AF47" s="74"/>
      <c r="AG47" s="74"/>
      <c r="AH47" s="73"/>
      <c r="AI47" s="367"/>
      <c r="AJ47" s="368"/>
      <c r="AK47" s="368"/>
      <c r="AL47" s="368"/>
      <c r="AM47" s="368"/>
      <c r="AN47" s="368"/>
      <c r="AO47" s="368"/>
      <c r="AP47" s="368"/>
      <c r="AQ47" s="368"/>
      <c r="AR47" s="368"/>
      <c r="AS47" s="368"/>
      <c r="AT47" s="368"/>
      <c r="AU47" s="368"/>
      <c r="AV47" s="368"/>
      <c r="AW47" s="368"/>
      <c r="AX47" s="368"/>
      <c r="AY47" s="368"/>
      <c r="AZ47" s="193"/>
      <c r="BA47" s="196">
        <f t="shared" si="65"/>
        <v>0</v>
      </c>
      <c r="BB47" s="201">
        <f t="shared" si="66"/>
        <v>0</v>
      </c>
      <c r="BC47" s="201">
        <f t="shared" si="67"/>
        <v>0</v>
      </c>
      <c r="BD47" s="201">
        <f t="shared" si="68"/>
        <v>0</v>
      </c>
      <c r="BE47" s="201">
        <f t="shared" si="69"/>
        <v>0</v>
      </c>
      <c r="BF47" s="202">
        <f>(BB47*初始化表!E$17+BC47*初始化表!F$17+BD47*初始化表!G$17+BE47*初始化表!H$17)/1300</f>
        <v>0</v>
      </c>
      <c r="BG47" s="207">
        <f t="shared" si="70"/>
        <v>0</v>
      </c>
      <c r="BH47" s="207">
        <f t="shared" si="71"/>
        <v>0</v>
      </c>
      <c r="BI47" s="321">
        <f>$BI$51+MAX(0,第5期!BI47)-BF47</f>
        <v>0</v>
      </c>
      <c r="BJ47" s="373" t="str">
        <f t="shared" si="72"/>
        <v/>
      </c>
      <c r="BK47" s="373" t="str">
        <f t="shared" si="73"/>
        <v/>
      </c>
      <c r="BL47" s="203"/>
      <c r="BM47" s="203"/>
      <c r="BN47" s="203"/>
      <c r="BO47" s="203"/>
      <c r="BP47" s="203"/>
      <c r="BQ47" s="203"/>
      <c r="BR47" s="211"/>
      <c r="BS47" s="196">
        <f t="shared" si="48"/>
        <v>0</v>
      </c>
      <c r="BT47" s="213" t="e">
        <f t="shared" si="49"/>
        <v>#DIV/0!</v>
      </c>
      <c r="BU47" s="213" t="e">
        <f t="shared" si="50"/>
        <v>#DIV/0!</v>
      </c>
      <c r="BV47" s="213" t="e">
        <f t="shared" si="51"/>
        <v>#DIV/0!</v>
      </c>
      <c r="BW47" s="213" t="e">
        <f t="shared" si="52"/>
        <v>#DIV/0!</v>
      </c>
      <c r="BX47" s="213" t="e">
        <f t="shared" si="53"/>
        <v>#DIV/0!</v>
      </c>
      <c r="BY47" s="213" t="e">
        <f t="shared" si="54"/>
        <v>#DIV/0!</v>
      </c>
      <c r="BZ47" s="213" t="e">
        <f t="shared" si="55"/>
        <v>#DIV/0!</v>
      </c>
      <c r="CA47" s="213" t="e">
        <f t="shared" si="56"/>
        <v>#DIV/0!</v>
      </c>
      <c r="CB47" s="213" t="e">
        <f t="shared" si="57"/>
        <v>#DIV/0!</v>
      </c>
      <c r="CC47" s="213" t="e">
        <f t="shared" si="58"/>
        <v>#DIV/0!</v>
      </c>
      <c r="CD47" s="213" t="e">
        <f t="shared" si="59"/>
        <v>#DIV/0!</v>
      </c>
      <c r="CE47" s="213" t="e">
        <f t="shared" si="60"/>
        <v>#DIV/0!</v>
      </c>
      <c r="CF47" s="213" t="e">
        <f t="shared" si="61"/>
        <v>#DIV/0!</v>
      </c>
      <c r="CG47" s="213" t="e">
        <f t="shared" si="62"/>
        <v>#DIV/0!</v>
      </c>
      <c r="CH47" s="213" t="e">
        <f t="shared" si="63"/>
        <v>#DIV/0!</v>
      </c>
      <c r="CI47" s="213" t="e">
        <f t="shared" si="64"/>
        <v>#DIV/0!</v>
      </c>
      <c r="CJ47" s="226"/>
      <c r="CK47" s="228"/>
      <c r="CL47" s="228"/>
      <c r="CM47" s="228"/>
      <c r="CN47" s="228"/>
      <c r="CO47" s="228"/>
      <c r="CP47" s="228"/>
      <c r="CQ47" s="228"/>
      <c r="CR47" s="228"/>
      <c r="CS47" s="228"/>
      <c r="CT47" s="228"/>
      <c r="CU47" s="228"/>
      <c r="CV47" s="228"/>
      <c r="CW47" s="228"/>
      <c r="CX47" s="228"/>
      <c r="CY47" s="228"/>
      <c r="CZ47" s="228"/>
      <c r="DA47" s="228"/>
      <c r="DB47" s="228"/>
      <c r="DC47" s="228"/>
      <c r="DD47" s="228"/>
      <c r="DE47" s="228"/>
      <c r="DF47" s="228"/>
      <c r="DG47" s="228"/>
      <c r="DH47" s="228"/>
      <c r="DI47" s="228"/>
      <c r="DJ47" s="228"/>
      <c r="DK47" s="228"/>
      <c r="DL47" s="228"/>
      <c r="DM47" s="228"/>
      <c r="DN47" s="228"/>
      <c r="DO47" s="228"/>
      <c r="DP47" s="228"/>
      <c r="DQ47" s="228"/>
    </row>
    <row r="48" s="61" customFormat="1" ht="16" customHeight="1" spans="1:121">
      <c r="A48" s="269" t="s">
        <v>280</v>
      </c>
      <c r="B48" s="270"/>
      <c r="C48" s="77" t="e">
        <f>-SUM(B10:E10)</f>
        <v>#DIV/0!</v>
      </c>
      <c r="D48" s="79"/>
      <c r="E48" s="79" t="e">
        <f t="shared" si="76"/>
        <v>#DIV/0!</v>
      </c>
      <c r="F48" s="79" t="e">
        <f>F47+C48</f>
        <v>#DIV/0!</v>
      </c>
      <c r="G48" s="73"/>
      <c r="H48" s="269" t="s">
        <v>522</v>
      </c>
      <c r="I48" s="90">
        <v>2</v>
      </c>
      <c r="J48" s="90">
        <v>2</v>
      </c>
      <c r="K48" s="90">
        <v>3</v>
      </c>
      <c r="L48" s="90">
        <v>3</v>
      </c>
      <c r="M48" s="85"/>
      <c r="N48" s="269" t="s">
        <v>657</v>
      </c>
      <c r="O48" s="269" t="s">
        <v>658</v>
      </c>
      <c r="P48" s="269" t="s">
        <v>659</v>
      </c>
      <c r="Q48" s="269" t="s">
        <v>660</v>
      </c>
      <c r="R48" s="269" t="s">
        <v>642</v>
      </c>
      <c r="S48" s="121"/>
      <c r="T48" s="120"/>
      <c r="U48" s="269" t="s">
        <v>521</v>
      </c>
      <c r="V48" s="146">
        <f>IF(第4期!BB27=0,0,第5期!BB27/第4期!BB27)</f>
        <v>0</v>
      </c>
      <c r="W48" s="146">
        <f>IF(第4期!BC27=0,0,第5期!BC27/第4期!BC27)</f>
        <v>0</v>
      </c>
      <c r="X48" s="146">
        <f>IF(第4期!BD27=0,0,第5期!BD27/第4期!BD27)</f>
        <v>0</v>
      </c>
      <c r="Y48" s="146">
        <f>IF(第4期!BE27=0,0,第5期!BE27/第4期!BE27)</f>
        <v>0</v>
      </c>
      <c r="Z48" s="74"/>
      <c r="AA48" s="73"/>
      <c r="AB48" s="74"/>
      <c r="AC48" s="74"/>
      <c r="AD48" s="74"/>
      <c r="AE48" s="74"/>
      <c r="AF48" s="74"/>
      <c r="AG48" s="74"/>
      <c r="AH48" s="73"/>
      <c r="AI48" s="367"/>
      <c r="AJ48" s="368"/>
      <c r="AK48" s="368"/>
      <c r="AL48" s="368"/>
      <c r="AM48" s="368"/>
      <c r="AN48" s="368"/>
      <c r="AO48" s="368"/>
      <c r="AP48" s="368"/>
      <c r="AQ48" s="368"/>
      <c r="AR48" s="368"/>
      <c r="AS48" s="368"/>
      <c r="AT48" s="368"/>
      <c r="AU48" s="368"/>
      <c r="AV48" s="368"/>
      <c r="AW48" s="368"/>
      <c r="AX48" s="368"/>
      <c r="AY48" s="368"/>
      <c r="AZ48" s="193"/>
      <c r="BA48" s="196">
        <f t="shared" si="65"/>
        <v>0</v>
      </c>
      <c r="BB48" s="201">
        <f t="shared" si="66"/>
        <v>0</v>
      </c>
      <c r="BC48" s="201">
        <f t="shared" si="67"/>
        <v>0</v>
      </c>
      <c r="BD48" s="201">
        <f t="shared" si="68"/>
        <v>0</v>
      </c>
      <c r="BE48" s="201">
        <f t="shared" si="69"/>
        <v>0</v>
      </c>
      <c r="BF48" s="202">
        <f>(BB48*初始化表!E$17+BC48*初始化表!F$17+BD48*初始化表!G$17+BE48*初始化表!H$17)/1300</f>
        <v>0</v>
      </c>
      <c r="BG48" s="207">
        <f t="shared" si="70"/>
        <v>0</v>
      </c>
      <c r="BH48" s="207">
        <f t="shared" si="71"/>
        <v>0</v>
      </c>
      <c r="BI48" s="321">
        <f>$BI$51+MAX(0,第5期!BI48)-BF48</f>
        <v>0</v>
      </c>
      <c r="BJ48" s="373" t="str">
        <f t="shared" si="72"/>
        <v/>
      </c>
      <c r="BK48" s="373" t="str">
        <f t="shared" si="73"/>
        <v/>
      </c>
      <c r="BL48" s="203"/>
      <c r="BM48" s="203"/>
      <c r="BN48" s="203"/>
      <c r="BO48" s="203"/>
      <c r="BP48" s="203"/>
      <c r="BQ48" s="203"/>
      <c r="BR48" s="211"/>
      <c r="BS48" s="196">
        <f t="shared" si="48"/>
        <v>0</v>
      </c>
      <c r="BT48" s="213" t="e">
        <f t="shared" si="49"/>
        <v>#DIV/0!</v>
      </c>
      <c r="BU48" s="213" t="e">
        <f t="shared" si="50"/>
        <v>#DIV/0!</v>
      </c>
      <c r="BV48" s="213" t="e">
        <f t="shared" si="51"/>
        <v>#DIV/0!</v>
      </c>
      <c r="BW48" s="213" t="e">
        <f t="shared" si="52"/>
        <v>#DIV/0!</v>
      </c>
      <c r="BX48" s="213" t="e">
        <f t="shared" si="53"/>
        <v>#DIV/0!</v>
      </c>
      <c r="BY48" s="213" t="e">
        <f t="shared" si="54"/>
        <v>#DIV/0!</v>
      </c>
      <c r="BZ48" s="213" t="e">
        <f t="shared" si="55"/>
        <v>#DIV/0!</v>
      </c>
      <c r="CA48" s="213" t="e">
        <f t="shared" si="56"/>
        <v>#DIV/0!</v>
      </c>
      <c r="CB48" s="213" t="e">
        <f t="shared" si="57"/>
        <v>#DIV/0!</v>
      </c>
      <c r="CC48" s="213" t="e">
        <f t="shared" si="58"/>
        <v>#DIV/0!</v>
      </c>
      <c r="CD48" s="213" t="e">
        <f t="shared" si="59"/>
        <v>#DIV/0!</v>
      </c>
      <c r="CE48" s="213" t="e">
        <f t="shared" si="60"/>
        <v>#DIV/0!</v>
      </c>
      <c r="CF48" s="213" t="e">
        <f t="shared" si="61"/>
        <v>#DIV/0!</v>
      </c>
      <c r="CG48" s="213" t="e">
        <f t="shared" si="62"/>
        <v>#DIV/0!</v>
      </c>
      <c r="CH48" s="213" t="e">
        <f t="shared" si="63"/>
        <v>#DIV/0!</v>
      </c>
      <c r="CI48" s="213" t="e">
        <f t="shared" si="64"/>
        <v>#DIV/0!</v>
      </c>
      <c r="CJ48" s="226"/>
      <c r="CK48" s="228"/>
      <c r="CL48" s="228"/>
      <c r="CM48" s="228"/>
      <c r="CN48" s="228"/>
      <c r="CO48" s="228"/>
      <c r="CP48" s="228"/>
      <c r="CQ48" s="228"/>
      <c r="CR48" s="228"/>
      <c r="CS48" s="228"/>
      <c r="CT48" s="228"/>
      <c r="CU48" s="228"/>
      <c r="CV48" s="228"/>
      <c r="CW48" s="228"/>
      <c r="CX48" s="228"/>
      <c r="CY48" s="228"/>
      <c r="CZ48" s="228"/>
      <c r="DA48" s="228"/>
      <c r="DB48" s="228"/>
      <c r="DC48" s="228"/>
      <c r="DD48" s="228"/>
      <c r="DE48" s="228"/>
      <c r="DF48" s="228"/>
      <c r="DG48" s="228"/>
      <c r="DH48" s="228"/>
      <c r="DI48" s="228"/>
      <c r="DJ48" s="228"/>
      <c r="DK48" s="228"/>
      <c r="DL48" s="228"/>
      <c r="DM48" s="228"/>
      <c r="DN48" s="228"/>
      <c r="DO48" s="228"/>
      <c r="DP48" s="228"/>
      <c r="DQ48" s="228"/>
    </row>
    <row r="49" s="61" customFormat="1" ht="16" customHeight="1" spans="1:121">
      <c r="A49" s="269" t="s">
        <v>378</v>
      </c>
      <c r="B49" s="270"/>
      <c r="C49" s="77" t="e">
        <f>IF(AJ24="",SUMPRODUCT(B6:E9,V42:Y45),B6*MAX(0,AM9-AK9)+MAX(0,AM10-AK10)*C6+MAX(0,AM11-AK11)*D6+MAX(0,AM12-AK12)*E6+MAX(0,AM13-AK13)*B7+MAX(0,AM14-AK14)*C7+MAX(0,AM15-AK15)*D7+MAX(0,AM16-AK16)*E7+MAX(0,AM17-AK17)*B8+MAX(0,AM18-AK18)*C8+MAX(0,AM19-AK19)*D8+MAX(0,AM20-AK20)*E8+MAX(0,AM21-AK21)*B9+MAX(0,AM22-AK22)*C9+MAX(0,AM23-AK23)*D9+MAX(0,AM24-AK24)*E9)+MIN(B6,V23)*MIN(V11,B12-V86)+MIN(W11,C12-W86)*MIN(C6,W23)+MIN(X11,D12-X86)*MIN(D6,X23)+MIN(Y11,E12-Y86)*MIN(E6,Y23)+MIN(B7,V24)*MIN(V12,B13-V87)+MIN(W12,C13-W87)*MIN(C7,W24)+MIN(X12,D13-X87)*MIN(D7,X24)+MIN(Y12,E13-Y87)*MIN(E7,Y24)+MIN(B8,V25)*MIN(V13,B14-V88)+MIN(W13,C14-W88)*MIN(C8,W25)+MIN(X13,D14-X88)*MIN(D8,X25)+MIN(Y13,E14-Y88)*MIN(E8,Y25)+MIN(B9,V26)*MIN(V14,B15-V89)+MIN(W14,C15-W89)*MIN(C9,W26)+MIN(X14,D15-X89)*MIN(D9,X26)+MIN(Y14,E15-Y89)*MIN(E9,Y26)</f>
        <v>#DIV/0!</v>
      </c>
      <c r="D49" s="79" t="e">
        <f>D41+C49</f>
        <v>#DIV/0!</v>
      </c>
      <c r="E49" s="79"/>
      <c r="F49" s="79" t="e">
        <f>F48+C49</f>
        <v>#DIV/0!</v>
      </c>
      <c r="G49" s="73"/>
      <c r="H49" s="269" t="s">
        <v>523</v>
      </c>
      <c r="I49" s="90">
        <v>2</v>
      </c>
      <c r="J49" s="90">
        <v>2</v>
      </c>
      <c r="K49" s="90">
        <v>3</v>
      </c>
      <c r="L49" s="90">
        <v>3</v>
      </c>
      <c r="M49" s="85"/>
      <c r="N49" s="77" t="e">
        <f>第5期!F69</f>
        <v>#DIV/0!</v>
      </c>
      <c r="O49" s="77" t="e">
        <f>N49+第5期!R49</f>
        <v>#DIV/0!</v>
      </c>
      <c r="P49" s="77" t="e">
        <f>INT((F61-0.05*C49+0-(F30-F48)*O49/N49)/初始化表!B8)</f>
        <v>#DIV/0!</v>
      </c>
      <c r="Q49" s="77" t="e">
        <f>INT((F61+第7期!P33+第7期!Q35-F30+F48)/初始化表!B8)</f>
        <v>#DIV/0!</v>
      </c>
      <c r="R49" s="90">
        <v>0</v>
      </c>
      <c r="S49" s="74"/>
      <c r="T49" s="120"/>
      <c r="U49" s="269" t="s">
        <v>522</v>
      </c>
      <c r="V49" s="146">
        <f>IF(第4期!BF27=0,0,第5期!BF27/第4期!BF27)</f>
        <v>0</v>
      </c>
      <c r="W49" s="146">
        <f>IF(第4期!BG27=0,0,第5期!BG27/第4期!BG27)</f>
        <v>0</v>
      </c>
      <c r="X49" s="146">
        <f>IF(第4期!BH27=0,0,第5期!BH27/第4期!BH27)</f>
        <v>0</v>
      </c>
      <c r="Y49" s="146">
        <f>IF(第4期!BI27=0,0,第5期!BI27/第4期!BI27)</f>
        <v>0</v>
      </c>
      <c r="Z49" s="74"/>
      <c r="AA49" s="73"/>
      <c r="AB49" s="74"/>
      <c r="AC49" s="74"/>
      <c r="AD49" s="74"/>
      <c r="AE49" s="74"/>
      <c r="AF49" s="74"/>
      <c r="AG49" s="74"/>
      <c r="AH49" s="73"/>
      <c r="AI49" s="367"/>
      <c r="AJ49" s="368"/>
      <c r="AK49" s="368"/>
      <c r="AL49" s="368"/>
      <c r="AM49" s="368"/>
      <c r="AN49" s="368"/>
      <c r="AO49" s="368"/>
      <c r="AP49" s="368"/>
      <c r="AQ49" s="368"/>
      <c r="AR49" s="368"/>
      <c r="AS49" s="368"/>
      <c r="AT49" s="368"/>
      <c r="AU49" s="368"/>
      <c r="AV49" s="368"/>
      <c r="AW49" s="368"/>
      <c r="AX49" s="368"/>
      <c r="AY49" s="368"/>
      <c r="AZ49" s="193"/>
      <c r="BA49" s="196">
        <f t="shared" si="65"/>
        <v>0</v>
      </c>
      <c r="BB49" s="201">
        <f t="shared" si="66"/>
        <v>0</v>
      </c>
      <c r="BC49" s="201">
        <f t="shared" si="67"/>
        <v>0</v>
      </c>
      <c r="BD49" s="201">
        <f t="shared" si="68"/>
        <v>0</v>
      </c>
      <c r="BE49" s="201">
        <f t="shared" si="69"/>
        <v>0</v>
      </c>
      <c r="BF49" s="202">
        <f>(BB49*初始化表!E$17+BC49*初始化表!F$17+BD49*初始化表!G$17+BE49*初始化表!H$17)/1300</f>
        <v>0</v>
      </c>
      <c r="BG49" s="207">
        <f t="shared" si="70"/>
        <v>0</v>
      </c>
      <c r="BH49" s="207">
        <f t="shared" si="71"/>
        <v>0</v>
      </c>
      <c r="BI49" s="321">
        <f>$BI$51+MAX(0,第5期!BI49)-BF49</f>
        <v>0</v>
      </c>
      <c r="BJ49" s="373" t="str">
        <f t="shared" si="72"/>
        <v/>
      </c>
      <c r="BK49" s="373" t="str">
        <f t="shared" si="73"/>
        <v/>
      </c>
      <c r="BL49" s="203"/>
      <c r="BM49" s="203"/>
      <c r="BN49" s="203"/>
      <c r="BO49" s="203"/>
      <c r="BP49" s="203"/>
      <c r="BQ49" s="203"/>
      <c r="BR49" s="211"/>
      <c r="BS49" s="196">
        <f t="shared" si="48"/>
        <v>0</v>
      </c>
      <c r="BT49" s="213" t="e">
        <f t="shared" si="49"/>
        <v>#DIV/0!</v>
      </c>
      <c r="BU49" s="213" t="e">
        <f t="shared" si="50"/>
        <v>#DIV/0!</v>
      </c>
      <c r="BV49" s="213" t="e">
        <f t="shared" si="51"/>
        <v>#DIV/0!</v>
      </c>
      <c r="BW49" s="213" t="e">
        <f t="shared" si="52"/>
        <v>#DIV/0!</v>
      </c>
      <c r="BX49" s="213" t="e">
        <f t="shared" si="53"/>
        <v>#DIV/0!</v>
      </c>
      <c r="BY49" s="213" t="e">
        <f t="shared" si="54"/>
        <v>#DIV/0!</v>
      </c>
      <c r="BZ49" s="213" t="e">
        <f t="shared" si="55"/>
        <v>#DIV/0!</v>
      </c>
      <c r="CA49" s="213" t="e">
        <f t="shared" si="56"/>
        <v>#DIV/0!</v>
      </c>
      <c r="CB49" s="213" t="e">
        <f t="shared" si="57"/>
        <v>#DIV/0!</v>
      </c>
      <c r="CC49" s="213" t="e">
        <f t="shared" si="58"/>
        <v>#DIV/0!</v>
      </c>
      <c r="CD49" s="213" t="e">
        <f t="shared" si="59"/>
        <v>#DIV/0!</v>
      </c>
      <c r="CE49" s="213" t="e">
        <f t="shared" si="60"/>
        <v>#DIV/0!</v>
      </c>
      <c r="CF49" s="213" t="e">
        <f t="shared" si="61"/>
        <v>#DIV/0!</v>
      </c>
      <c r="CG49" s="213" t="e">
        <f t="shared" si="62"/>
        <v>#DIV/0!</v>
      </c>
      <c r="CH49" s="213" t="e">
        <f t="shared" si="63"/>
        <v>#DIV/0!</v>
      </c>
      <c r="CI49" s="213" t="e">
        <f t="shared" si="64"/>
        <v>#DIV/0!</v>
      </c>
      <c r="CJ49" s="226"/>
      <c r="CK49" s="228"/>
      <c r="CL49" s="228"/>
      <c r="CM49" s="228"/>
      <c r="CN49" s="228"/>
      <c r="CO49" s="228"/>
      <c r="CP49" s="228"/>
      <c r="CQ49" s="228"/>
      <c r="CR49" s="228"/>
      <c r="CS49" s="228"/>
      <c r="CT49" s="228"/>
      <c r="CU49" s="228"/>
      <c r="CV49" s="228"/>
      <c r="CW49" s="228"/>
      <c r="CX49" s="228"/>
      <c r="CY49" s="228"/>
      <c r="CZ49" s="228"/>
      <c r="DA49" s="228"/>
      <c r="DB49" s="228"/>
      <c r="DC49" s="228"/>
      <c r="DD49" s="228"/>
      <c r="DE49" s="228"/>
      <c r="DF49" s="228"/>
      <c r="DG49" s="228"/>
      <c r="DH49" s="228"/>
      <c r="DI49" s="228"/>
      <c r="DJ49" s="228"/>
      <c r="DK49" s="228"/>
      <c r="DL49" s="228"/>
      <c r="DM49" s="228"/>
      <c r="DN49" s="228"/>
      <c r="DO49" s="228"/>
      <c r="DP49" s="228"/>
      <c r="DQ49" s="228"/>
    </row>
    <row r="50" s="61" customFormat="1" ht="16" customHeight="1" spans="1:121">
      <c r="A50" s="269" t="s">
        <v>379</v>
      </c>
      <c r="B50" s="270"/>
      <c r="C50" s="77" t="e">
        <f>-IF(AJ24="",0.4*SUMPRODUCT(B6:E9,V86:Y89),0.4*(AQ9*B6+AQ10*C6+AQ11*D6+AQ12*E6+AQ13*B7+AQ14*C7+AQ15*D7+AQ16*E7+AQ17*B8+AQ18*C8+AQ19*D8+AQ20*E8+AQ21*B9+AQ22*C9+AQ23*D9+AQ24*E9))</f>
        <v>#DIV/0!</v>
      </c>
      <c r="D50" s="79"/>
      <c r="E50" s="79" t="e">
        <f>E48-C50</f>
        <v>#DIV/0!</v>
      </c>
      <c r="F50" s="79" t="e">
        <f>F49+C50</f>
        <v>#DIV/0!</v>
      </c>
      <c r="G50" s="73"/>
      <c r="H50" s="269" t="s">
        <v>524</v>
      </c>
      <c r="I50" s="90">
        <v>2</v>
      </c>
      <c r="J50" s="90">
        <v>2</v>
      </c>
      <c r="K50" s="90">
        <v>3</v>
      </c>
      <c r="L50" s="90">
        <v>3</v>
      </c>
      <c r="M50" s="85"/>
      <c r="N50" s="74"/>
      <c r="O50" s="269" t="s">
        <v>574</v>
      </c>
      <c r="P50" s="79" t="e">
        <f>E60</f>
        <v>#DIV/0!</v>
      </c>
      <c r="Q50" s="147"/>
      <c r="R50" s="74"/>
      <c r="S50" s="74"/>
      <c r="T50" s="120"/>
      <c r="U50" s="269" t="s">
        <v>523</v>
      </c>
      <c r="V50" s="146">
        <f>IF(第4期!BJ27=0,0,第5期!BJ27/第4期!BJ27)</f>
        <v>0</v>
      </c>
      <c r="W50" s="146">
        <f>IF(第4期!BK27=0,0,第5期!BK27/第4期!BK27)</f>
        <v>0</v>
      </c>
      <c r="X50" s="146">
        <f>IF(第4期!BL27=0,0,第5期!BL27/第4期!BL27)</f>
        <v>0</v>
      </c>
      <c r="Y50" s="146">
        <f>IF(第4期!BM27=0,0,第5期!BM27/第4期!BM27)</f>
        <v>0</v>
      </c>
      <c r="Z50" s="74"/>
      <c r="AA50" s="73"/>
      <c r="AB50" s="74"/>
      <c r="AC50" s="74"/>
      <c r="AD50" s="74"/>
      <c r="AE50" s="74"/>
      <c r="AF50" s="74"/>
      <c r="AG50" s="74"/>
      <c r="AH50" s="73"/>
      <c r="AI50" s="367"/>
      <c r="AJ50" s="368"/>
      <c r="AK50" s="368"/>
      <c r="AL50" s="368"/>
      <c r="AM50" s="368"/>
      <c r="AN50" s="368"/>
      <c r="AO50" s="368"/>
      <c r="AP50" s="368"/>
      <c r="AQ50" s="368"/>
      <c r="AR50" s="368"/>
      <c r="AS50" s="368"/>
      <c r="AT50" s="368"/>
      <c r="AU50" s="368"/>
      <c r="AV50" s="368"/>
      <c r="AW50" s="368"/>
      <c r="AX50" s="368"/>
      <c r="AY50" s="368"/>
      <c r="AZ50" s="193"/>
      <c r="BA50" s="196">
        <f t="shared" si="65"/>
        <v>0</v>
      </c>
      <c r="BB50" s="201">
        <f t="shared" si="66"/>
        <v>0</v>
      </c>
      <c r="BC50" s="201">
        <f t="shared" si="67"/>
        <v>0</v>
      </c>
      <c r="BD50" s="201">
        <f t="shared" si="68"/>
        <v>0</v>
      </c>
      <c r="BE50" s="201">
        <f t="shared" si="69"/>
        <v>0</v>
      </c>
      <c r="BF50" s="202">
        <f>(BB50*初始化表!E$17+BC50*初始化表!F$17+BD50*初始化表!G$17+BE50*初始化表!H$17)/1300</f>
        <v>0</v>
      </c>
      <c r="BG50" s="207">
        <f t="shared" si="70"/>
        <v>0</v>
      </c>
      <c r="BH50" s="207">
        <f t="shared" si="71"/>
        <v>0</v>
      </c>
      <c r="BI50" s="321">
        <f>$BI$51+MAX(0,第5期!BI50)-BF50</f>
        <v>0</v>
      </c>
      <c r="BJ50" s="373" t="str">
        <f t="shared" si="72"/>
        <v/>
      </c>
      <c r="BK50" s="373" t="str">
        <f t="shared" si="73"/>
        <v/>
      </c>
      <c r="BL50" s="203"/>
      <c r="BM50" s="203"/>
      <c r="BN50" s="203"/>
      <c r="BO50" s="203"/>
      <c r="BP50" s="203"/>
      <c r="BQ50" s="203"/>
      <c r="BR50" s="211"/>
      <c r="BS50" s="194" t="s">
        <v>569</v>
      </c>
      <c r="BT50" s="219" t="e">
        <f>SUM(AJ61:AJ80)/初始化表!$B5</f>
        <v>#DIV/0!</v>
      </c>
      <c r="BU50" s="219" t="e">
        <f>SUM(AK61:AK80)/初始化表!$B5</f>
        <v>#DIV/0!</v>
      </c>
      <c r="BV50" s="219" t="e">
        <f>SUM(AL61:AL80)/初始化表!$B5</f>
        <v>#DIV/0!</v>
      </c>
      <c r="BW50" s="219" t="e">
        <f>SUM(AM61:AM80)/初始化表!$B5</f>
        <v>#DIV/0!</v>
      </c>
      <c r="BX50" s="219" t="e">
        <f>SUM(AN61:AN80)/初始化表!$B5</f>
        <v>#DIV/0!</v>
      </c>
      <c r="BY50" s="219" t="e">
        <f>SUM(AO61:AO80)/初始化表!$B5</f>
        <v>#DIV/0!</v>
      </c>
      <c r="BZ50" s="219" t="e">
        <f>SUM(AP61:AP80)/初始化表!$B5</f>
        <v>#DIV/0!</v>
      </c>
      <c r="CA50" s="219" t="e">
        <f>SUM(AQ61:AQ80)/初始化表!$B5</f>
        <v>#DIV/0!</v>
      </c>
      <c r="CB50" s="219" t="e">
        <f>SUM(AR61:AR80)/初始化表!$B5</f>
        <v>#DIV/0!</v>
      </c>
      <c r="CC50" s="219" t="e">
        <f>SUM(AS61:AS80)/初始化表!$B5</f>
        <v>#DIV/0!</v>
      </c>
      <c r="CD50" s="219" t="e">
        <f>SUM(AT61:AT80)/初始化表!$B5</f>
        <v>#DIV/0!</v>
      </c>
      <c r="CE50" s="219" t="e">
        <f>SUM(AU61:AU80)/初始化表!$B5</f>
        <v>#DIV/0!</v>
      </c>
      <c r="CF50" s="219" t="e">
        <f>SUM(AV61:AV80)/初始化表!$B5</f>
        <v>#DIV/0!</v>
      </c>
      <c r="CG50" s="219" t="e">
        <f>SUM(AW61:AW80)/初始化表!$B5</f>
        <v>#DIV/0!</v>
      </c>
      <c r="CH50" s="219" t="e">
        <f>SUM(AX61:AX80)/初始化表!$B5</f>
        <v>#DIV/0!</v>
      </c>
      <c r="CI50" s="219" t="e">
        <f>SUM(AY61:AY80)/初始化表!$B5</f>
        <v>#DIV/0!</v>
      </c>
      <c r="CJ50" s="226"/>
      <c r="CK50" s="228"/>
      <c r="CL50" s="228"/>
      <c r="CM50" s="228"/>
      <c r="CN50" s="228"/>
      <c r="CO50" s="228"/>
      <c r="CP50" s="228"/>
      <c r="CQ50" s="228"/>
      <c r="CR50" s="228"/>
      <c r="CS50" s="228"/>
      <c r="CT50" s="228"/>
      <c r="CU50" s="228"/>
      <c r="CV50" s="228"/>
      <c r="CW50" s="228"/>
      <c r="CX50" s="228"/>
      <c r="CY50" s="228"/>
      <c r="CZ50" s="228"/>
      <c r="DA50" s="228"/>
      <c r="DB50" s="228"/>
      <c r="DC50" s="228"/>
      <c r="DD50" s="228"/>
      <c r="DE50" s="228"/>
      <c r="DF50" s="228"/>
      <c r="DG50" s="228"/>
      <c r="DH50" s="228"/>
      <c r="DI50" s="228"/>
      <c r="DJ50" s="228"/>
      <c r="DK50" s="228"/>
      <c r="DL50" s="228"/>
      <c r="DM50" s="228"/>
      <c r="DN50" s="228"/>
      <c r="DO50" s="228"/>
      <c r="DP50" s="228"/>
      <c r="DQ50" s="228"/>
    </row>
    <row r="51" s="61" customFormat="1" ht="16" customHeight="1" spans="1:121">
      <c r="A51" s="269" t="s">
        <v>380</v>
      </c>
      <c r="B51" s="270"/>
      <c r="C51" s="77" t="e">
        <f>-初始化表!H5*N49*初始化表!B8</f>
        <v>#DIV/0!</v>
      </c>
      <c r="D51" s="79"/>
      <c r="E51" s="79" t="e">
        <f>E50-C51</f>
        <v>#DIV/0!</v>
      </c>
      <c r="F51" s="79"/>
      <c r="G51" s="73"/>
      <c r="H51" s="269" t="s">
        <v>662</v>
      </c>
      <c r="I51" s="269" t="s">
        <v>521</v>
      </c>
      <c r="J51" s="269" t="s">
        <v>522</v>
      </c>
      <c r="K51" s="269" t="s">
        <v>523</v>
      </c>
      <c r="L51" s="269" t="s">
        <v>524</v>
      </c>
      <c r="M51" s="85"/>
      <c r="N51" s="74"/>
      <c r="O51" s="116" t="s">
        <v>296</v>
      </c>
      <c r="P51" s="79" t="e">
        <f>F64</f>
        <v>#DIV/0!</v>
      </c>
      <c r="Q51" s="147"/>
      <c r="R51" s="74"/>
      <c r="S51" s="74"/>
      <c r="T51" s="120"/>
      <c r="U51" s="269" t="s">
        <v>524</v>
      </c>
      <c r="V51" s="146">
        <f>IF(第4期!BN27=0,0,第5期!BN27/第4期!BN27)</f>
        <v>0</v>
      </c>
      <c r="W51" s="146">
        <f>IF(第4期!BO27=0,0,第5期!BO27/第4期!BO27)</f>
        <v>0</v>
      </c>
      <c r="X51" s="146">
        <f>IF(第4期!BP27=0,0,第5期!BP27/第4期!BP27)</f>
        <v>0</v>
      </c>
      <c r="Y51" s="146">
        <f>IF(第4期!BQ27=0,0,第5期!BQ27/第4期!BQ27)</f>
        <v>0</v>
      </c>
      <c r="Z51" s="74"/>
      <c r="AA51" s="73"/>
      <c r="AB51" s="74"/>
      <c r="AC51" s="74"/>
      <c r="AD51" s="74"/>
      <c r="AE51" s="74"/>
      <c r="AF51" s="74"/>
      <c r="AG51" s="74"/>
      <c r="AH51" s="73"/>
      <c r="AI51" s="367"/>
      <c r="AJ51" s="368"/>
      <c r="AK51" s="368"/>
      <c r="AL51" s="368"/>
      <c r="AM51" s="368"/>
      <c r="AN51" s="368"/>
      <c r="AO51" s="368"/>
      <c r="AP51" s="368"/>
      <c r="AQ51" s="368"/>
      <c r="AR51" s="368"/>
      <c r="AS51" s="368"/>
      <c r="AT51" s="368"/>
      <c r="AU51" s="368"/>
      <c r="AV51" s="368"/>
      <c r="AW51" s="368"/>
      <c r="AX51" s="368"/>
      <c r="AY51" s="368"/>
      <c r="AZ51" s="193"/>
      <c r="BA51" s="194" t="s">
        <v>664</v>
      </c>
      <c r="BB51" s="202" t="e">
        <f>SUM(BB31:BB50)/初始化表!$B$5</f>
        <v>#DIV/0!</v>
      </c>
      <c r="BC51" s="202" t="e">
        <f>SUM(BC31:BC50)/初始化表!$B$5</f>
        <v>#DIV/0!</v>
      </c>
      <c r="BD51" s="202" t="e">
        <f>SUM(BD31:BD50)/初始化表!$B$5</f>
        <v>#DIV/0!</v>
      </c>
      <c r="BE51" s="202" t="e">
        <f>SUM(BE31:BE50)/初始化表!$B$5</f>
        <v>#DIV/0!</v>
      </c>
      <c r="BF51" s="202" t="e">
        <f>SUM(BF31:BF50)/初始化表!$B$5</f>
        <v>#DIV/0!</v>
      </c>
      <c r="BG51" s="202" t="e">
        <f>SUM(BG31:BG50)/初始化表!$B$5</f>
        <v>#DIV/0!</v>
      </c>
      <c r="BH51" s="202" t="e">
        <f>SUM(AJ107:AJ126)/SUM(BF31:BF50)</f>
        <v>#DIV/0!</v>
      </c>
      <c r="BI51" s="208">
        <f>((INT(I52)-SUM(AQ9:AQ12))*初始化表!E17+(INT(J52)-SUM(AQ13:AQ16))*初始化表!F17+(INT(K52)-SUM(AQ17:AQ20))*初始化表!G17+(INT(L52)-SUM(AQ21:AQ24))*初始化表!H17)/1300</f>
        <v>0</v>
      </c>
      <c r="BJ51" s="373"/>
      <c r="BK51" s="373"/>
      <c r="BL51" s="203"/>
      <c r="BM51" s="203"/>
      <c r="BN51" s="203"/>
      <c r="BO51" s="203"/>
      <c r="BP51" s="203"/>
      <c r="BQ51" s="203"/>
      <c r="BR51" s="211"/>
      <c r="BS51" s="194" t="s">
        <v>570</v>
      </c>
      <c r="BT51" s="220" t="e">
        <f t="shared" ref="BT51:CI51" si="77">STDEV.P(AJ61:AJ80)</f>
        <v>#DIV/0!</v>
      </c>
      <c r="BU51" s="220" t="e">
        <f t="shared" si="77"/>
        <v>#DIV/0!</v>
      </c>
      <c r="BV51" s="220" t="e">
        <f t="shared" si="77"/>
        <v>#DIV/0!</v>
      </c>
      <c r="BW51" s="220" t="e">
        <f t="shared" si="77"/>
        <v>#DIV/0!</v>
      </c>
      <c r="BX51" s="220" t="e">
        <f t="shared" si="77"/>
        <v>#DIV/0!</v>
      </c>
      <c r="BY51" s="220" t="e">
        <f t="shared" si="77"/>
        <v>#DIV/0!</v>
      </c>
      <c r="BZ51" s="220" t="e">
        <f t="shared" si="77"/>
        <v>#DIV/0!</v>
      </c>
      <c r="CA51" s="220" t="e">
        <f t="shared" si="77"/>
        <v>#DIV/0!</v>
      </c>
      <c r="CB51" s="220" t="e">
        <f t="shared" si="77"/>
        <v>#DIV/0!</v>
      </c>
      <c r="CC51" s="220" t="e">
        <f t="shared" si="77"/>
        <v>#DIV/0!</v>
      </c>
      <c r="CD51" s="220" t="e">
        <f t="shared" si="77"/>
        <v>#DIV/0!</v>
      </c>
      <c r="CE51" s="220" t="e">
        <f t="shared" si="77"/>
        <v>#DIV/0!</v>
      </c>
      <c r="CF51" s="220" t="e">
        <f t="shared" si="77"/>
        <v>#DIV/0!</v>
      </c>
      <c r="CG51" s="220" t="e">
        <f t="shared" si="77"/>
        <v>#DIV/0!</v>
      </c>
      <c r="CH51" s="220" t="e">
        <f t="shared" si="77"/>
        <v>#DIV/0!</v>
      </c>
      <c r="CI51" s="220" t="e">
        <f t="shared" si="77"/>
        <v>#DIV/0!</v>
      </c>
      <c r="CJ51" s="226"/>
      <c r="CK51" s="228"/>
      <c r="CL51" s="228"/>
      <c r="CM51" s="228"/>
      <c r="CN51" s="228"/>
      <c r="CO51" s="228"/>
      <c r="CP51" s="228"/>
      <c r="CQ51" s="228"/>
      <c r="CR51" s="228"/>
      <c r="CS51" s="228"/>
      <c r="CT51" s="228"/>
      <c r="CU51" s="228"/>
      <c r="CV51" s="228"/>
      <c r="CW51" s="228"/>
      <c r="CX51" s="228"/>
      <c r="CY51" s="228"/>
      <c r="CZ51" s="228"/>
      <c r="DA51" s="228"/>
      <c r="DB51" s="228"/>
      <c r="DC51" s="228"/>
      <c r="DD51" s="228"/>
      <c r="DE51" s="228"/>
      <c r="DF51" s="228"/>
      <c r="DG51" s="228"/>
      <c r="DH51" s="228"/>
      <c r="DI51" s="228"/>
      <c r="DJ51" s="228"/>
      <c r="DK51" s="228"/>
      <c r="DL51" s="228"/>
      <c r="DM51" s="228"/>
      <c r="DN51" s="228"/>
      <c r="DO51" s="228"/>
      <c r="DP51" s="228"/>
      <c r="DQ51" s="228"/>
    </row>
    <row r="52" s="61" customFormat="1" ht="16" customHeight="1" spans="1:88">
      <c r="A52" s="269" t="s">
        <v>381</v>
      </c>
      <c r="B52" s="270"/>
      <c r="C52" s="77">
        <f>IF(AJ24="",0,SUM(AP9:AP12)*初始化表!E22+SUM(AP13:AP16)*初始化表!F22+SUM(AP17:AP20)*初始化表!G22+SUM(AP21:AP24)*初始化表!H22)-(SUM(V5:Z5,-I56)*初始化表!E22+SUM(V6:Z6,-J56)*初始化表!F22+SUM(V7:Z7,-K56)*初始化表!G22+SUM(V8:Z8,-L56)*初始化表!H22)</f>
        <v>0</v>
      </c>
      <c r="D52" s="79"/>
      <c r="E52" s="79" t="e">
        <f>E51-C52</f>
        <v>#DIV/0!</v>
      </c>
      <c r="F52" s="79"/>
      <c r="G52" s="73"/>
      <c r="H52" s="269" t="s">
        <v>665</v>
      </c>
      <c r="I52" s="77">
        <f>Z5+初始化表!B4*SUM(B17:E17)</f>
        <v>0</v>
      </c>
      <c r="J52" s="77">
        <f>Z6+初始化表!B4*SUM(B18:E18)</f>
        <v>0</v>
      </c>
      <c r="K52" s="77">
        <f>Z7+初始化表!B4*SUM(B19:E19)</f>
        <v>0</v>
      </c>
      <c r="L52" s="77">
        <f>Z8+初始化表!B4*SUM(B20:E20)</f>
        <v>0</v>
      </c>
      <c r="M52" s="85"/>
      <c r="N52" s="74"/>
      <c r="O52" s="74"/>
      <c r="P52" s="74"/>
      <c r="Q52" s="74"/>
      <c r="R52" s="74"/>
      <c r="S52" s="74"/>
      <c r="T52" s="120"/>
      <c r="U52" s="123"/>
      <c r="V52" s="148"/>
      <c r="W52" s="148"/>
      <c r="X52" s="148"/>
      <c r="Y52" s="148"/>
      <c r="Z52" s="74"/>
      <c r="AA52" s="73"/>
      <c r="AB52" s="74"/>
      <c r="AC52" s="74"/>
      <c r="AD52" s="74"/>
      <c r="AE52" s="74"/>
      <c r="AF52" s="74"/>
      <c r="AG52" s="74"/>
      <c r="AH52" s="73"/>
      <c r="AI52" s="367"/>
      <c r="AJ52" s="368"/>
      <c r="AK52" s="368"/>
      <c r="AL52" s="368"/>
      <c r="AM52" s="368"/>
      <c r="AN52" s="368"/>
      <c r="AO52" s="368"/>
      <c r="AP52" s="368"/>
      <c r="AQ52" s="368"/>
      <c r="AR52" s="368"/>
      <c r="AS52" s="368"/>
      <c r="AT52" s="368"/>
      <c r="AU52" s="368"/>
      <c r="AV52" s="368"/>
      <c r="AW52" s="368"/>
      <c r="AX52" s="368"/>
      <c r="AY52" s="368"/>
      <c r="AZ52" s="193"/>
      <c r="BA52" s="203"/>
      <c r="BB52" s="203"/>
      <c r="BC52" s="203"/>
      <c r="BD52" s="203"/>
      <c r="BE52" s="203"/>
      <c r="BF52" s="203"/>
      <c r="BG52" s="203"/>
      <c r="BH52" s="203"/>
      <c r="BI52" s="203"/>
      <c r="BJ52" s="373"/>
      <c r="BK52" s="373"/>
      <c r="BL52" s="203"/>
      <c r="BM52" s="203"/>
      <c r="BN52" s="203"/>
      <c r="BO52" s="203"/>
      <c r="BP52" s="203"/>
      <c r="BQ52" s="203"/>
      <c r="BR52" s="211"/>
      <c r="BS52" s="211"/>
      <c r="BT52" s="211"/>
      <c r="BU52" s="211"/>
      <c r="BV52" s="211"/>
      <c r="BW52" s="211"/>
      <c r="BX52" s="211"/>
      <c r="BY52" s="211"/>
      <c r="BZ52" s="211"/>
      <c r="CA52" s="211"/>
      <c r="CB52" s="211"/>
      <c r="CC52" s="211"/>
      <c r="CD52" s="211"/>
      <c r="CE52" s="211"/>
      <c r="CF52" s="211"/>
      <c r="CG52" s="211"/>
      <c r="CH52" s="211"/>
      <c r="CI52" s="211"/>
      <c r="CJ52" s="62"/>
    </row>
    <row r="53" s="61" customFormat="1" ht="16" customHeight="1" spans="1:88">
      <c r="A53" s="269" t="s">
        <v>382</v>
      </c>
      <c r="B53" s="270"/>
      <c r="C53" s="77">
        <f>-(H43+L43)/2*初始化表!B7</f>
        <v>0</v>
      </c>
      <c r="D53" s="79"/>
      <c r="E53" s="79" t="e">
        <f>E52-C53</f>
        <v>#DIV/0!</v>
      </c>
      <c r="F53" s="79" t="e">
        <f>F50+C53</f>
        <v>#DIV/0!</v>
      </c>
      <c r="G53" s="73"/>
      <c r="H53" s="269" t="s">
        <v>671</v>
      </c>
      <c r="I53" s="269" t="s">
        <v>521</v>
      </c>
      <c r="J53" s="269" t="s">
        <v>522</v>
      </c>
      <c r="K53" s="269" t="s">
        <v>523</v>
      </c>
      <c r="L53" s="269" t="s">
        <v>524</v>
      </c>
      <c r="M53" s="85"/>
      <c r="N53" s="74"/>
      <c r="O53" s="74"/>
      <c r="P53" s="74"/>
      <c r="Q53" s="74"/>
      <c r="R53" s="74"/>
      <c r="S53" s="74"/>
      <c r="T53" s="120"/>
      <c r="U53" s="269" t="s">
        <v>731</v>
      </c>
      <c r="V53" s="339" t="s">
        <v>513</v>
      </c>
      <c r="W53" s="339" t="s">
        <v>514</v>
      </c>
      <c r="X53" s="339" t="s">
        <v>515</v>
      </c>
      <c r="Y53" s="339" t="s">
        <v>516</v>
      </c>
      <c r="Z53" s="74"/>
      <c r="AA53" s="269" t="s">
        <v>743</v>
      </c>
      <c r="AB53" s="339" t="s">
        <v>513</v>
      </c>
      <c r="AC53" s="339" t="s">
        <v>514</v>
      </c>
      <c r="AD53" s="339" t="s">
        <v>515</v>
      </c>
      <c r="AE53" s="339" t="s">
        <v>516</v>
      </c>
      <c r="AF53" s="74"/>
      <c r="AG53" s="74"/>
      <c r="AH53" s="73"/>
      <c r="AI53" s="367"/>
      <c r="AJ53" s="368"/>
      <c r="AK53" s="368"/>
      <c r="AL53" s="368"/>
      <c r="AM53" s="368"/>
      <c r="AN53" s="368"/>
      <c r="AO53" s="368"/>
      <c r="AP53" s="368"/>
      <c r="AQ53" s="368"/>
      <c r="AR53" s="368"/>
      <c r="AS53" s="368"/>
      <c r="AT53" s="368"/>
      <c r="AU53" s="368"/>
      <c r="AV53" s="368"/>
      <c r="AW53" s="368"/>
      <c r="AX53" s="368"/>
      <c r="AY53" s="368"/>
      <c r="AZ53" s="193"/>
      <c r="BA53" s="194" t="s">
        <v>37</v>
      </c>
      <c r="BB53" s="194" t="s">
        <v>674</v>
      </c>
      <c r="BC53" s="204"/>
      <c r="BD53" s="194" t="s">
        <v>675</v>
      </c>
      <c r="BE53" s="194" t="s">
        <v>198</v>
      </c>
      <c r="BF53" s="194" t="s">
        <v>202</v>
      </c>
      <c r="BG53" s="194" t="s">
        <v>206</v>
      </c>
      <c r="BH53" s="194" t="s">
        <v>208</v>
      </c>
      <c r="BI53" s="203"/>
      <c r="BJ53" s="203"/>
      <c r="BK53" s="203"/>
      <c r="BL53" s="203"/>
      <c r="BM53" s="203"/>
      <c r="BN53" s="203"/>
      <c r="BO53" s="203"/>
      <c r="BP53" s="203"/>
      <c r="BQ53" s="203"/>
      <c r="BR53" s="211"/>
      <c r="BS53" s="211"/>
      <c r="BT53" s="211"/>
      <c r="BU53" s="211"/>
      <c r="BV53" s="211"/>
      <c r="BW53" s="211"/>
      <c r="BX53" s="211"/>
      <c r="BY53" s="211"/>
      <c r="BZ53" s="211"/>
      <c r="CA53" s="211"/>
      <c r="CB53" s="211"/>
      <c r="CC53" s="211"/>
      <c r="CD53" s="211"/>
      <c r="CE53" s="211"/>
      <c r="CF53" s="211"/>
      <c r="CG53" s="211"/>
      <c r="CH53" s="211"/>
      <c r="CI53" s="211"/>
      <c r="CJ53" s="62"/>
    </row>
    <row r="54" s="61" customFormat="1" ht="16" customHeight="1" spans="1:88">
      <c r="A54" s="269" t="s">
        <v>383</v>
      </c>
      <c r="B54" s="270"/>
      <c r="C54" s="77">
        <f>-(SUM(V5:Z5,I56)/2*初始化表!E5+SUM(V6:Z6,J56)/2*初始化表!E6+SUM(V7:Z7,K56)/2*初始化表!E7+SUM(V8:Z8,L56)/2*初始化表!E8+IF(AJ24="",0,(SUM(AP9:AP12)*初始化表!E5+SUM(AP13:AP16)*初始化表!E6+SUM(AP17:AP20)*初始化表!E7+SUM(AP21:AP24)*初始化表!E8)/2))</f>
        <v>0</v>
      </c>
      <c r="D54" s="79"/>
      <c r="E54" s="79" t="e">
        <f>E53-C54</f>
        <v>#DIV/0!</v>
      </c>
      <c r="F54" s="79" t="e">
        <f t="shared" ref="F54:F64" si="78">F53+C54</f>
        <v>#DIV/0!</v>
      </c>
      <c r="G54" s="73"/>
      <c r="H54" s="269" t="s">
        <v>665</v>
      </c>
      <c r="I54" s="82">
        <f>INT(I52)-SUM(B12:E12)</f>
        <v>0</v>
      </c>
      <c r="J54" s="82">
        <f>INT(J52)-SUM(B13:E13)</f>
        <v>0</v>
      </c>
      <c r="K54" s="82">
        <f>INT(K52)-SUM(B14:E14)</f>
        <v>0</v>
      </c>
      <c r="L54" s="82">
        <f>INT(L52)-SUM(B15:E15)</f>
        <v>0</v>
      </c>
      <c r="M54" s="85"/>
      <c r="N54" s="74"/>
      <c r="O54" s="74"/>
      <c r="P54" s="74"/>
      <c r="Q54" s="74"/>
      <c r="R54" s="74"/>
      <c r="S54" s="74"/>
      <c r="T54" s="120"/>
      <c r="U54" s="269" t="s">
        <v>521</v>
      </c>
      <c r="V54" s="146">
        <f>IF(第4期!BB28=0,0,第5期!BB28/第4期!BB28)</f>
        <v>0</v>
      </c>
      <c r="W54" s="146">
        <f>IF(第4期!BC28=0,0,第5期!BC28/第4期!BC28)</f>
        <v>0</v>
      </c>
      <c r="X54" s="146">
        <f>IF(第4期!BD28=0,0,第5期!BD28/第4期!BD28)</f>
        <v>0</v>
      </c>
      <c r="Y54" s="146">
        <f>IF(第4期!BE28=0,0,第5期!BE28/第4期!BE28)</f>
        <v>0</v>
      </c>
      <c r="Z54" s="74"/>
      <c r="AA54" s="269" t="s">
        <v>521</v>
      </c>
      <c r="AB54" s="150">
        <f>IF(第4期!BB28=0,0,(第5期!BB28-第4期!BB28)/20)</f>
        <v>0</v>
      </c>
      <c r="AC54" s="150">
        <f>IF(第4期!BC28=0,0,(第5期!BC28-第4期!BC28)/20)</f>
        <v>0</v>
      </c>
      <c r="AD54" s="150">
        <f>IF(第4期!BD28=0,0,(第5期!BD28-第4期!BD28)/20)</f>
        <v>0</v>
      </c>
      <c r="AE54" s="150">
        <f>IF(第4期!BE28=0,0,(第5期!BE28-第4期!BE28)/20)</f>
        <v>0</v>
      </c>
      <c r="AF54" s="74"/>
      <c r="AG54" s="74"/>
      <c r="AH54" s="73"/>
      <c r="AI54" s="367"/>
      <c r="AJ54" s="368"/>
      <c r="AK54" s="368"/>
      <c r="AL54" s="368"/>
      <c r="AM54" s="368"/>
      <c r="AN54" s="368"/>
      <c r="AO54" s="368"/>
      <c r="AP54" s="368"/>
      <c r="AQ54" s="368"/>
      <c r="AR54" s="368"/>
      <c r="AS54" s="368"/>
      <c r="AT54" s="368"/>
      <c r="AU54" s="368"/>
      <c r="AV54" s="368"/>
      <c r="AW54" s="368"/>
      <c r="AX54" s="368"/>
      <c r="AY54" s="368"/>
      <c r="AZ54" s="193"/>
      <c r="BA54" s="195">
        <f t="shared" ref="BA54:BA73" si="79">BA31</f>
        <v>0</v>
      </c>
      <c r="BB54" s="205">
        <f>IF(BT5=1,AL107/(第5期!AP107/2+AP107),0)</f>
        <v>0</v>
      </c>
      <c r="BC54" s="203"/>
      <c r="BD54" s="194">
        <f>BA54</f>
        <v>0</v>
      </c>
      <c r="BE54" s="209" t="e">
        <f>BB31/$BE$31</f>
        <v>#DIV/0!</v>
      </c>
      <c r="BF54" s="209" t="e">
        <f>BC31/$BE$31</f>
        <v>#DIV/0!</v>
      </c>
      <c r="BG54" s="209" t="e">
        <f>BD31/$BE$31</f>
        <v>#DIV/0!</v>
      </c>
      <c r="BH54" s="209">
        <v>1</v>
      </c>
      <c r="BI54" s="203"/>
      <c r="BJ54" s="203"/>
      <c r="BK54" s="203"/>
      <c r="BL54" s="203"/>
      <c r="BM54" s="203"/>
      <c r="BN54" s="203"/>
      <c r="BO54" s="203"/>
      <c r="BP54" s="203"/>
      <c r="BQ54" s="203"/>
      <c r="BR54" s="211"/>
      <c r="BS54" s="211"/>
      <c r="BT54" s="211"/>
      <c r="BU54" s="211"/>
      <c r="BV54" s="211"/>
      <c r="BW54" s="211"/>
      <c r="BX54" s="211"/>
      <c r="BY54" s="211"/>
      <c r="BZ54" s="211"/>
      <c r="CA54" s="211"/>
      <c r="CB54" s="211"/>
      <c r="CC54" s="211"/>
      <c r="CD54" s="211"/>
      <c r="CE54" s="211"/>
      <c r="CF54" s="211"/>
      <c r="CG54" s="211"/>
      <c r="CH54" s="211"/>
      <c r="CI54" s="211"/>
      <c r="CJ54" s="62"/>
    </row>
    <row r="55" s="61" customFormat="1" ht="16" customHeight="1" spans="1:88">
      <c r="A55" s="269" t="s">
        <v>384</v>
      </c>
      <c r="B55" s="270"/>
      <c r="C55" s="77">
        <f>N37</f>
        <v>0</v>
      </c>
      <c r="D55" s="79"/>
      <c r="E55" s="79"/>
      <c r="F55" s="79" t="e">
        <f t="shared" si="78"/>
        <v>#DIV/0!</v>
      </c>
      <c r="G55" s="73"/>
      <c r="H55" s="269" t="s">
        <v>677</v>
      </c>
      <c r="I55" s="269" t="s">
        <v>521</v>
      </c>
      <c r="J55" s="269" t="s">
        <v>522</v>
      </c>
      <c r="K55" s="269" t="s">
        <v>523</v>
      </c>
      <c r="L55" s="269" t="s">
        <v>524</v>
      </c>
      <c r="M55" s="85"/>
      <c r="N55" s="74"/>
      <c r="O55" s="74"/>
      <c r="P55" s="74"/>
      <c r="Q55" s="74"/>
      <c r="R55" s="74"/>
      <c r="S55" s="74"/>
      <c r="T55" s="120"/>
      <c r="U55" s="269" t="s">
        <v>522</v>
      </c>
      <c r="V55" s="146">
        <f>IF(第4期!BF28=0,0,第5期!BF28/第4期!BF28)</f>
        <v>0</v>
      </c>
      <c r="W55" s="146">
        <f>IF(第4期!BG28=0,0,第5期!BG28/第4期!BG28)</f>
        <v>0</v>
      </c>
      <c r="X55" s="146">
        <f>IF(第4期!BH28=0,0,第5期!BH28/第4期!BH28)</f>
        <v>0</v>
      </c>
      <c r="Y55" s="146">
        <f>IF(第4期!BI28=0,0,第5期!BI28/第4期!BI28)</f>
        <v>0</v>
      </c>
      <c r="Z55" s="74"/>
      <c r="AA55" s="269" t="s">
        <v>522</v>
      </c>
      <c r="AB55" s="150">
        <f>IF(第4期!BF28=0,0,(第5期!BF28-第4期!BF28)/20)</f>
        <v>0</v>
      </c>
      <c r="AC55" s="150">
        <f>IF(第4期!BG28=0,0,(第5期!BG28-第4期!BG28)/20)</f>
        <v>0</v>
      </c>
      <c r="AD55" s="150">
        <f>IF(第4期!BH28=0,0,(第5期!BH28-第4期!BH28)/20)</f>
        <v>0</v>
      </c>
      <c r="AE55" s="150">
        <f>IF(第4期!BI28=0,0,(第5期!BI28-第4期!BI28)/20)</f>
        <v>0</v>
      </c>
      <c r="AF55" s="74"/>
      <c r="AG55" s="74"/>
      <c r="AH55" s="73"/>
      <c r="AI55" s="367"/>
      <c r="AJ55" s="368"/>
      <c r="AK55" s="368"/>
      <c r="AL55" s="368"/>
      <c r="AM55" s="368"/>
      <c r="AN55" s="368"/>
      <c r="AO55" s="368"/>
      <c r="AP55" s="368"/>
      <c r="AQ55" s="368"/>
      <c r="AR55" s="368"/>
      <c r="AS55" s="368"/>
      <c r="AT55" s="368"/>
      <c r="AU55" s="368"/>
      <c r="AV55" s="368"/>
      <c r="AW55" s="368"/>
      <c r="AX55" s="368"/>
      <c r="AY55" s="368"/>
      <c r="AZ55" s="193"/>
      <c r="BA55" s="195">
        <f t="shared" si="79"/>
        <v>0</v>
      </c>
      <c r="BB55" s="205">
        <f>IF(BT6=1,AL108/(第5期!AP108/2+AP108),0)</f>
        <v>0</v>
      </c>
      <c r="BC55" s="203"/>
      <c r="BD55" s="194">
        <f t="shared" ref="BD55:BD73" si="80">BA55</f>
        <v>0</v>
      </c>
      <c r="BE55" s="209" t="e">
        <f t="shared" ref="BE55:BH70" si="81">BB32/$BE$31</f>
        <v>#DIV/0!</v>
      </c>
      <c r="BF55" s="209" t="e">
        <f t="shared" si="81"/>
        <v>#DIV/0!</v>
      </c>
      <c r="BG55" s="209" t="e">
        <f t="shared" si="81"/>
        <v>#DIV/0!</v>
      </c>
      <c r="BH55" s="209" t="e">
        <f t="shared" ref="BH55:BH60" si="82">BE32/$BE$31</f>
        <v>#DIV/0!</v>
      </c>
      <c r="BI55" s="203"/>
      <c r="BJ55" s="203"/>
      <c r="BK55" s="203"/>
      <c r="BL55" s="203"/>
      <c r="BM55" s="203"/>
      <c r="BN55" s="203"/>
      <c r="BO55" s="203"/>
      <c r="BP55" s="203"/>
      <c r="BQ55" s="203"/>
      <c r="BR55" s="211"/>
      <c r="BS55" s="211"/>
      <c r="BT55" s="211"/>
      <c r="BU55" s="211"/>
      <c r="BV55" s="211"/>
      <c r="BW55" s="211"/>
      <c r="BX55" s="211"/>
      <c r="BY55" s="211"/>
      <c r="BZ55" s="211"/>
      <c r="CA55" s="211"/>
      <c r="CB55" s="211"/>
      <c r="CC55" s="211"/>
      <c r="CD55" s="211"/>
      <c r="CE55" s="211"/>
      <c r="CF55" s="211"/>
      <c r="CG55" s="211"/>
      <c r="CH55" s="211"/>
      <c r="CI55" s="211"/>
      <c r="CJ55" s="62"/>
    </row>
    <row r="56" s="61" customFormat="1" ht="16" customHeight="1" spans="1:88">
      <c r="A56" s="269" t="s">
        <v>385</v>
      </c>
      <c r="B56" s="270"/>
      <c r="C56" s="77">
        <f>N37*初始化表!B23/4</f>
        <v>0</v>
      </c>
      <c r="D56" s="79" t="e">
        <f>D49+C56</f>
        <v>#DIV/0!</v>
      </c>
      <c r="E56" s="79"/>
      <c r="F56" s="79" t="e">
        <f t="shared" si="78"/>
        <v>#DIV/0!</v>
      </c>
      <c r="G56" s="73"/>
      <c r="H56" s="269" t="s">
        <v>665</v>
      </c>
      <c r="I56" s="77">
        <f>SUM(B17:E17)+Z5-SUM(B12:E12)</f>
        <v>0</v>
      </c>
      <c r="J56" s="77">
        <f>SUM(B18:E18)+Z6-SUM(B13:E13)</f>
        <v>0</v>
      </c>
      <c r="K56" s="77">
        <f>SUM(B19:E19)+Z7-SUM(B14:E14)</f>
        <v>0</v>
      </c>
      <c r="L56" s="77">
        <f>SUM(B20:E20)+Z8-SUM(B15:E15)</f>
        <v>0</v>
      </c>
      <c r="M56" s="85"/>
      <c r="N56" s="74"/>
      <c r="O56" s="74"/>
      <c r="P56" s="74"/>
      <c r="Q56" s="74"/>
      <c r="R56" s="74"/>
      <c r="S56" s="74"/>
      <c r="T56" s="120"/>
      <c r="U56" s="269" t="s">
        <v>523</v>
      </c>
      <c r="V56" s="146">
        <f>IF(第4期!BJ28=0,0,第5期!BJ28/第4期!BJ28)</f>
        <v>0</v>
      </c>
      <c r="W56" s="146">
        <f>IF(第4期!BK28=0,0,第5期!BK28/第4期!BK28)</f>
        <v>0</v>
      </c>
      <c r="X56" s="146">
        <f>IF(第4期!BL28=0,0,第5期!BL28/第4期!BL28)</f>
        <v>0</v>
      </c>
      <c r="Y56" s="146">
        <f>IF(第4期!BM28=0,0,第5期!BM28/第4期!BM28)</f>
        <v>0</v>
      </c>
      <c r="Z56" s="74"/>
      <c r="AA56" s="269" t="s">
        <v>523</v>
      </c>
      <c r="AB56" s="150">
        <f>IF(第4期!BJ28=0,0,(第5期!BJ28-第4期!BJ28)/20)</f>
        <v>0</v>
      </c>
      <c r="AC56" s="150">
        <f>IF(第4期!BK28=0,0,(第5期!BK28-第4期!BK28)/20)</f>
        <v>0</v>
      </c>
      <c r="AD56" s="150">
        <f>IF(第4期!BL28=0,0,(第5期!BL28-第4期!BL28)/20)</f>
        <v>0</v>
      </c>
      <c r="AE56" s="150">
        <f>IF(第4期!BM28=0,0,(第5期!BM28-第4期!BM28)/20)</f>
        <v>0</v>
      </c>
      <c r="AF56" s="74"/>
      <c r="AG56" s="74"/>
      <c r="AH56" s="73"/>
      <c r="AI56" s="367"/>
      <c r="AJ56" s="368"/>
      <c r="AK56" s="368"/>
      <c r="AL56" s="368"/>
      <c r="AM56" s="368"/>
      <c r="AN56" s="368"/>
      <c r="AO56" s="368"/>
      <c r="AP56" s="368"/>
      <c r="AQ56" s="368"/>
      <c r="AR56" s="368"/>
      <c r="AS56" s="368"/>
      <c r="AT56" s="368"/>
      <c r="AU56" s="368"/>
      <c r="AV56" s="368"/>
      <c r="AW56" s="368"/>
      <c r="AX56" s="368"/>
      <c r="AY56" s="368"/>
      <c r="AZ56" s="193"/>
      <c r="BA56" s="195">
        <f t="shared" si="79"/>
        <v>0</v>
      </c>
      <c r="BB56" s="205">
        <f>IF(BT7=1,AL109/(第5期!AP109/2+AP109),0)</f>
        <v>0</v>
      </c>
      <c r="BC56" s="203"/>
      <c r="BD56" s="194">
        <f t="shared" si="80"/>
        <v>0</v>
      </c>
      <c r="BE56" s="209" t="e">
        <f t="shared" si="81"/>
        <v>#DIV/0!</v>
      </c>
      <c r="BF56" s="209" t="e">
        <f t="shared" si="81"/>
        <v>#DIV/0!</v>
      </c>
      <c r="BG56" s="209" t="e">
        <f t="shared" si="81"/>
        <v>#DIV/0!</v>
      </c>
      <c r="BH56" s="209" t="e">
        <f t="shared" si="82"/>
        <v>#DIV/0!</v>
      </c>
      <c r="BI56" s="203"/>
      <c r="BJ56" s="203"/>
      <c r="BK56" s="203"/>
      <c r="BL56" s="203"/>
      <c r="BM56" s="203"/>
      <c r="BN56" s="203"/>
      <c r="BO56" s="203"/>
      <c r="BP56" s="203"/>
      <c r="BQ56" s="203"/>
      <c r="BR56" s="211"/>
      <c r="BS56" s="211"/>
      <c r="BT56" s="211"/>
      <c r="BU56" s="211"/>
      <c r="BV56" s="211"/>
      <c r="BW56" s="211"/>
      <c r="BX56" s="211"/>
      <c r="BY56" s="211"/>
      <c r="BZ56" s="211"/>
      <c r="CA56" s="211"/>
      <c r="CB56" s="211"/>
      <c r="CC56" s="211"/>
      <c r="CD56" s="211"/>
      <c r="CE56" s="211"/>
      <c r="CF56" s="211"/>
      <c r="CG56" s="211"/>
      <c r="CH56" s="211"/>
      <c r="CI56" s="211"/>
      <c r="CJ56" s="62"/>
    </row>
    <row r="57" s="61" customFormat="1" ht="16" customHeight="1" spans="1:88">
      <c r="A57" s="269" t="s">
        <v>386</v>
      </c>
      <c r="B57" s="270"/>
      <c r="C57" s="77">
        <f>-B24</f>
        <v>0</v>
      </c>
      <c r="D57" s="79"/>
      <c r="E57" s="79"/>
      <c r="F57" s="79" t="e">
        <f t="shared" si="78"/>
        <v>#DIV/0!</v>
      </c>
      <c r="G57" s="73"/>
      <c r="H57" s="269" t="s">
        <v>680</v>
      </c>
      <c r="I57" s="269" t="s">
        <v>513</v>
      </c>
      <c r="J57" s="269" t="s">
        <v>514</v>
      </c>
      <c r="K57" s="269" t="s">
        <v>515</v>
      </c>
      <c r="L57" s="269" t="s">
        <v>516</v>
      </c>
      <c r="M57" s="85"/>
      <c r="N57" s="74"/>
      <c r="O57" s="74"/>
      <c r="P57" s="74"/>
      <c r="Q57" s="74"/>
      <c r="R57" s="74"/>
      <c r="S57" s="74"/>
      <c r="T57" s="120"/>
      <c r="U57" s="269" t="s">
        <v>524</v>
      </c>
      <c r="V57" s="146">
        <f>IF(第4期!BN28=0,0,第5期!BN28/第4期!BN28)</f>
        <v>0</v>
      </c>
      <c r="W57" s="146">
        <f>IF(第4期!BO28=0,0,第5期!BO28/第4期!BO28)</f>
        <v>0</v>
      </c>
      <c r="X57" s="146">
        <f>IF(第4期!BP28=0,0,第5期!BP28/第4期!BP28)</f>
        <v>0</v>
      </c>
      <c r="Y57" s="146">
        <f>IF(第4期!BQ28=0,0,第5期!BQ28/第4期!BQ28)</f>
        <v>0</v>
      </c>
      <c r="Z57" s="74"/>
      <c r="AA57" s="269" t="s">
        <v>524</v>
      </c>
      <c r="AB57" s="150">
        <f>IF(第4期!BN28=0,0,(第5期!BN28-第4期!BN28)/20)</f>
        <v>0</v>
      </c>
      <c r="AC57" s="150">
        <f>IF(第4期!BO28=0,0,(第5期!BO28-第4期!BO28)/20)</f>
        <v>0</v>
      </c>
      <c r="AD57" s="150">
        <f>IF(第4期!BP28=0,0,(第5期!BP28-第4期!BP28)/20)</f>
        <v>0</v>
      </c>
      <c r="AE57" s="150">
        <f>IF(第4期!BQ28=0,0,(第5期!BQ28-第4期!BQ28)/20)</f>
        <v>0</v>
      </c>
      <c r="AF57" s="74"/>
      <c r="AG57" s="74"/>
      <c r="AH57" s="73"/>
      <c r="AI57" s="179" t="s">
        <v>681</v>
      </c>
      <c r="AJ57" s="180">
        <f>IF(AJ37="",0,SUM(AJ37:AJ56)/TEXT(COUNTA(AJ37:AJ56),"0;;"))</f>
        <v>0</v>
      </c>
      <c r="AK57" s="180">
        <f t="shared" ref="AK57:AY57" si="83">IF(AK37="",0,SUM(AK37:AK56)/TEXT(COUNTA(AK37:AK56),"0;;"))</f>
        <v>0</v>
      </c>
      <c r="AL57" s="180">
        <f t="shared" si="83"/>
        <v>0</v>
      </c>
      <c r="AM57" s="180">
        <f t="shared" si="83"/>
        <v>0</v>
      </c>
      <c r="AN57" s="180">
        <f t="shared" si="83"/>
        <v>0</v>
      </c>
      <c r="AO57" s="180">
        <f t="shared" si="83"/>
        <v>0</v>
      </c>
      <c r="AP57" s="180">
        <f t="shared" si="83"/>
        <v>0</v>
      </c>
      <c r="AQ57" s="180">
        <f t="shared" si="83"/>
        <v>0</v>
      </c>
      <c r="AR57" s="180">
        <f t="shared" si="83"/>
        <v>0</v>
      </c>
      <c r="AS57" s="180">
        <f t="shared" si="83"/>
        <v>0</v>
      </c>
      <c r="AT57" s="180">
        <f t="shared" si="83"/>
        <v>0</v>
      </c>
      <c r="AU57" s="180">
        <f t="shared" si="83"/>
        <v>0</v>
      </c>
      <c r="AV57" s="180">
        <f t="shared" si="83"/>
        <v>0</v>
      </c>
      <c r="AW57" s="180">
        <f t="shared" si="83"/>
        <v>0</v>
      </c>
      <c r="AX57" s="180">
        <f t="shared" si="83"/>
        <v>0</v>
      </c>
      <c r="AY57" s="180">
        <f t="shared" si="83"/>
        <v>0</v>
      </c>
      <c r="AZ57" s="193"/>
      <c r="BA57" s="195">
        <f t="shared" si="79"/>
        <v>0</v>
      </c>
      <c r="BB57" s="205">
        <f>IF(BT8=1,AL110/(第5期!AP110/2+AP110),0)</f>
        <v>0</v>
      </c>
      <c r="BC57" s="203"/>
      <c r="BD57" s="194">
        <f t="shared" si="80"/>
        <v>0</v>
      </c>
      <c r="BE57" s="209" t="e">
        <f t="shared" si="81"/>
        <v>#DIV/0!</v>
      </c>
      <c r="BF57" s="209" t="e">
        <f t="shared" si="81"/>
        <v>#DIV/0!</v>
      </c>
      <c r="BG57" s="209" t="e">
        <f t="shared" si="81"/>
        <v>#DIV/0!</v>
      </c>
      <c r="BH57" s="209" t="e">
        <f t="shared" si="82"/>
        <v>#DIV/0!</v>
      </c>
      <c r="BI57" s="203"/>
      <c r="BJ57" s="203"/>
      <c r="BK57" s="203"/>
      <c r="BL57" s="203"/>
      <c r="BM57" s="203"/>
      <c r="BN57" s="203"/>
      <c r="BO57" s="203"/>
      <c r="BP57" s="203"/>
      <c r="BQ57" s="203"/>
      <c r="BR57" s="211"/>
      <c r="BS57" s="211"/>
      <c r="BT57" s="211"/>
      <c r="BU57" s="211"/>
      <c r="BV57" s="211"/>
      <c r="BW57" s="211"/>
      <c r="BX57" s="211"/>
      <c r="BY57" s="211"/>
      <c r="BZ57" s="211"/>
      <c r="CA57" s="211"/>
      <c r="CB57" s="211"/>
      <c r="CC57" s="211"/>
      <c r="CD57" s="211"/>
      <c r="CE57" s="211"/>
      <c r="CF57" s="211"/>
      <c r="CG57" s="211"/>
      <c r="CH57" s="211"/>
      <c r="CI57" s="211"/>
      <c r="CJ57" s="62"/>
    </row>
    <row r="58" s="61" customFormat="1" ht="16" customHeight="1" spans="1:88">
      <c r="A58" s="269" t="s">
        <v>387</v>
      </c>
      <c r="B58" s="270"/>
      <c r="C58" s="77">
        <f>-B24*初始化表!B22/4</f>
        <v>0</v>
      </c>
      <c r="D58" s="79"/>
      <c r="E58" s="79" t="e">
        <f>E54-C58</f>
        <v>#DIV/0!</v>
      </c>
      <c r="F58" s="79" t="e">
        <f t="shared" si="78"/>
        <v>#DIV/0!</v>
      </c>
      <c r="G58" s="73"/>
      <c r="H58" s="269" t="s">
        <v>521</v>
      </c>
      <c r="I58" s="77">
        <f>INT(IF($F$24=1,IF(MOD(($I52+SUM($V5:$Y5)-SUM($V11:$Y11))*I47/SUM($I47:$L47)-V5+V11-9,20)&gt;11,(($I52+SUM($V5:$Y5)-SUM($V11:$Y11))*I47/SUM($I47:$L47)-V5+V11),(($I52+SUM($V5:$Y5)-SUM($V11:$Y11))*I47/SUM($I47:$L47)-V5+V11)-MOD(($I52+SUM($V5:$Y5)-SUM($V11:$Y11))*I47/SUM($I47:$L47)-V5+V11-9,20)),($I52+SUM($V5:$Y5)-SUM($V11:$Y11))*I47/SUM($I47:$L47)-V5+V11))</f>
        <v>-11</v>
      </c>
      <c r="J58" s="77">
        <f>INT(IF($F$24=1,IF(MOD(($I52+SUM($V5:$Y5)-SUM($V11:$Y11))*J47/SUM($I47:$L47)-W5+W11-9,20)&gt;11,(($I52+SUM($V5:$Y5)-SUM($V11:$Y11))*J47/SUM($I47:$L47)-W5+W11),(($I52+SUM($V5:$Y5)-SUM($V11:$Y11))*J47/SUM($I47:$L47)-W5+W11)-MOD(($I52+SUM($V5:$Y5)-SUM($V11:$Y11))*J47/SUM($I47:$L47)-W5+W11-9,20)),($I52+SUM($V5:$Y5)-SUM($V11:$Y11))*J47/SUM($I47:$L47)-W5+W11))</f>
        <v>-11</v>
      </c>
      <c r="K58" s="77">
        <f>INT(IF($F$24=1,IF(MOD(($I52+SUM($V5:$Y5)-SUM($V11:$Y11))*K47/SUM($I47:$L47)-X5+X11-9,20)&gt;11,(($I52+SUM($V5:$Y5)-SUM($V11:$Y11))*K47/SUM($I47:$L47)-X5+X11),(($I52+SUM($V5:$Y5)-SUM($V11:$Y11))*K47/SUM($I47:$L47)-X5+X11)-MOD(($I52+SUM($V5:$Y5)-SUM($V11:$Y11))*K47/SUM($I47:$L47)-X5+X11-9,20)),($I52+SUM($V5:$Y5)-SUM($V11:$Y11))*K47/SUM($I47:$L47)-X5+X11))</f>
        <v>-11</v>
      </c>
      <c r="L58" s="77">
        <f>INT(IF($F$24=1,IF(MOD(($I52+SUM($V5:$Y5)-SUM($V11:$Y11))*L47/SUM($I47:$L47)-Y5+Y11-9,20)&gt;11,(($I52+SUM($V5:$Y5)-SUM($V11:$Y11))*L47/SUM($I47:$L47)-Y5+Y11),(($I52+SUM($V5:$Y5)-SUM($V11:$Y11))*L47/SUM($I47:$L47)-Y5+Y11)-MOD(($I52+SUM($V5:$Y5)-SUM($V11:$Y11))*L47/SUM($I47:$L47)-Y5+Y11-9,20)),($I52+SUM($V5:$Y5)-SUM($V11:$Y11))*L47/SUM($I47:$L47)-Y5+Y11))</f>
        <v>-11</v>
      </c>
      <c r="M58" s="85"/>
      <c r="N58" s="74"/>
      <c r="O58" s="74"/>
      <c r="P58" s="74"/>
      <c r="Q58" s="74"/>
      <c r="R58" s="74"/>
      <c r="S58" s="74"/>
      <c r="T58" s="120"/>
      <c r="U58" s="123"/>
      <c r="V58" s="74"/>
      <c r="W58" s="74"/>
      <c r="X58" s="74"/>
      <c r="Y58" s="74"/>
      <c r="Z58" s="74"/>
      <c r="AA58" s="73"/>
      <c r="AB58" s="74"/>
      <c r="AC58" s="74"/>
      <c r="AD58" s="74"/>
      <c r="AE58" s="74"/>
      <c r="AF58" s="74"/>
      <c r="AG58" s="74"/>
      <c r="AH58" s="73"/>
      <c r="AI58" s="68" t="s">
        <v>481</v>
      </c>
      <c r="AJ58" s="69"/>
      <c r="AK58" s="69"/>
      <c r="AL58" s="69"/>
      <c r="AM58" s="69"/>
      <c r="AN58" s="69"/>
      <c r="AO58" s="69"/>
      <c r="AP58" s="69"/>
      <c r="AQ58" s="69"/>
      <c r="AR58" s="69"/>
      <c r="AS58" s="69"/>
      <c r="AT58" s="69"/>
      <c r="AU58" s="69"/>
      <c r="AV58" s="69"/>
      <c r="AW58" s="69"/>
      <c r="AX58" s="69"/>
      <c r="AY58" s="69"/>
      <c r="AZ58" s="193"/>
      <c r="BA58" s="195">
        <f t="shared" si="79"/>
        <v>0</v>
      </c>
      <c r="BB58" s="205">
        <f>IF(BT9=1,AL111/(第5期!AP111/2+AP111),0)</f>
        <v>0</v>
      </c>
      <c r="BC58" s="203"/>
      <c r="BD58" s="194">
        <f t="shared" si="80"/>
        <v>0</v>
      </c>
      <c r="BE58" s="209" t="e">
        <f t="shared" si="81"/>
        <v>#DIV/0!</v>
      </c>
      <c r="BF58" s="209" t="e">
        <f t="shared" si="81"/>
        <v>#DIV/0!</v>
      </c>
      <c r="BG58" s="209" t="e">
        <f t="shared" si="81"/>
        <v>#DIV/0!</v>
      </c>
      <c r="BH58" s="209" t="e">
        <f t="shared" si="82"/>
        <v>#DIV/0!</v>
      </c>
      <c r="BI58" s="203"/>
      <c r="BJ58" s="203"/>
      <c r="BK58" s="203"/>
      <c r="BL58" s="203"/>
      <c r="BM58" s="203"/>
      <c r="BN58" s="203"/>
      <c r="BO58" s="203"/>
      <c r="BP58" s="203"/>
      <c r="BQ58" s="203"/>
      <c r="BR58" s="211"/>
      <c r="BS58" s="211"/>
      <c r="BT58" s="211"/>
      <c r="BU58" s="211"/>
      <c r="BV58" s="211"/>
      <c r="BW58" s="211"/>
      <c r="BX58" s="211"/>
      <c r="BY58" s="211"/>
      <c r="BZ58" s="211"/>
      <c r="CA58" s="211"/>
      <c r="CB58" s="211"/>
      <c r="CC58" s="211"/>
      <c r="CD58" s="211"/>
      <c r="CE58" s="211"/>
      <c r="CF58" s="211"/>
      <c r="CG58" s="211"/>
      <c r="CH58" s="211"/>
      <c r="CI58" s="211"/>
      <c r="CJ58" s="62"/>
    </row>
    <row r="59" s="61" customFormat="1" ht="16" customHeight="1" spans="1:88">
      <c r="A59" s="269" t="s">
        <v>388</v>
      </c>
      <c r="B59" s="270"/>
      <c r="C59" s="77" t="e">
        <f>-R33</f>
        <v>#DIV/0!</v>
      </c>
      <c r="D59" s="79"/>
      <c r="E59" s="79"/>
      <c r="F59" s="79" t="e">
        <f t="shared" si="78"/>
        <v>#DIV/0!</v>
      </c>
      <c r="G59" s="73"/>
      <c r="H59" s="269" t="s">
        <v>522</v>
      </c>
      <c r="I59" s="77">
        <f>INT(IF($F$24=1,IF(MOD(($J52+SUM($V6:$Y6)-SUM($V12:$Y12))*I48/SUM($I48:$L48)-V6+V12-9,20)&gt;11,(($J52+SUM($V6:$Y6)-SUM($V12:$Y12))*I48/SUM($I48:$L48)-V6+V12),(($J52+SUM($V6:$Y6)-SUM($V12:$Y12))*I48/SUM($I48:$L48)-V6+V12)-MOD(($J52+SUM($V6:$Y6)-SUM($V12:$Y12))*I48/SUM($I48:$L48)-V6+V12-9,20)),($J52+SUM($V6:$Y6)-SUM($V12:$Y12))*I48/SUM($I48:$L48)-V6+V12))</f>
        <v>-11</v>
      </c>
      <c r="J59" s="77">
        <f>INT(IF($F$24=1,IF(MOD(($J52+SUM($V6:$Y6)-SUM($V12:$Y12))*J48/SUM($I48:$L48)-W6+W12-9,20)&gt;11,(($J52+SUM($V6:$Y6)-SUM($V12:$Y12))*J48/SUM($I48:$L48)-W6+W12),(($J52+SUM($V6:$Y6)-SUM($V12:$Y12))*J48/SUM($I48:$L48)-W6+W12)-MOD(($J52+SUM($V6:$Y6)-SUM($V12:$Y12))*J48/SUM($I48:$L48)-W6+W12-9,20)),($J52+SUM($V6:$Y6)-SUM($V12:$Y12))*J48/SUM($I48:$L48)-W6+W12))</f>
        <v>-11</v>
      </c>
      <c r="K59" s="77">
        <f>INT(IF($F$24=1,IF(MOD(($J52+SUM($V6:$Y6)-SUM($V12:$Y12))*K48/SUM($I48:$L48)-X6+X12-9,20)&gt;11,(($J52+SUM($V6:$Y6)-SUM($V12:$Y12))*K48/SUM($I48:$L48)-X6+X12),(($J52+SUM($V6:$Y6)-SUM($V12:$Y12))*K48/SUM($I48:$L48)-X6+X12)-MOD(($J52+SUM($V6:$Y6)-SUM($V12:$Y12))*K48/SUM($I48:$L48)-X6+X12-9,20)),($J52+SUM($V6:$Y6)-SUM($V12:$Y12))*K48/SUM($I48:$L48)-X6+X12))</f>
        <v>-11</v>
      </c>
      <c r="L59" s="77">
        <f>INT(IF($F$24=1,IF(MOD(($J52+SUM($V6:$Y6)-SUM($V12:$Y12))*L48/SUM($I48:$L48)-Y6+Y12-9,20)&gt;11,(($J52+SUM($V6:$Y6)-SUM($V12:$Y12))*L48/SUM($I48:$L48)-Y6+Y12),(($J52+SUM($V6:$Y6)-SUM($V12:$Y12))*L48/SUM($I48:$L48)-Y6+Y12)-MOD(($J52+SUM($V6:$Y6)-SUM($V12:$Y12))*L48/SUM($I48:$L48)-Y6+Y12-9,20)),($J52+SUM($V6:$Y6)-SUM($V12:$Y12))*L48/SUM($I48:$L48)-Y6+Y12))</f>
        <v>-11</v>
      </c>
      <c r="M59" s="85"/>
      <c r="N59" s="74"/>
      <c r="O59" s="74"/>
      <c r="P59" s="74"/>
      <c r="Q59" s="74"/>
      <c r="R59" s="74"/>
      <c r="S59" s="74"/>
      <c r="T59" s="120"/>
      <c r="U59" s="269" t="s">
        <v>728</v>
      </c>
      <c r="V59" s="269" t="s">
        <v>513</v>
      </c>
      <c r="W59" s="269" t="s">
        <v>514</v>
      </c>
      <c r="X59" s="269" t="s">
        <v>515</v>
      </c>
      <c r="Y59" s="269" t="s">
        <v>516</v>
      </c>
      <c r="Z59" s="269" t="s">
        <v>569</v>
      </c>
      <c r="AA59" s="269" t="s">
        <v>744</v>
      </c>
      <c r="AB59" s="339" t="s">
        <v>513</v>
      </c>
      <c r="AC59" s="339" t="s">
        <v>514</v>
      </c>
      <c r="AD59" s="339" t="s">
        <v>515</v>
      </c>
      <c r="AE59" s="339" t="s">
        <v>516</v>
      </c>
      <c r="AF59" s="339" t="s">
        <v>563</v>
      </c>
      <c r="AG59" s="74"/>
      <c r="AH59" s="73"/>
      <c r="AI59" s="68" t="s">
        <v>37</v>
      </c>
      <c r="AJ59" s="68" t="s">
        <v>35</v>
      </c>
      <c r="AK59" s="69"/>
      <c r="AL59" s="69"/>
      <c r="AM59" s="69"/>
      <c r="AN59" s="68" t="s">
        <v>465</v>
      </c>
      <c r="AO59" s="69"/>
      <c r="AP59" s="69"/>
      <c r="AQ59" s="69"/>
      <c r="AR59" s="68" t="s">
        <v>466</v>
      </c>
      <c r="AS59" s="69"/>
      <c r="AT59" s="69"/>
      <c r="AU59" s="69"/>
      <c r="AV59" s="68" t="s">
        <v>468</v>
      </c>
      <c r="AW59" s="69"/>
      <c r="AX59" s="69"/>
      <c r="AY59" s="69"/>
      <c r="AZ59" s="193"/>
      <c r="BA59" s="195">
        <f t="shared" si="79"/>
        <v>0</v>
      </c>
      <c r="BB59" s="205">
        <f>IF(BT10=1,AL112/(第5期!AP112/2+AP112),0)</f>
        <v>0</v>
      </c>
      <c r="BC59" s="203"/>
      <c r="BD59" s="194">
        <f t="shared" si="80"/>
        <v>0</v>
      </c>
      <c r="BE59" s="209" t="e">
        <f t="shared" si="81"/>
        <v>#DIV/0!</v>
      </c>
      <c r="BF59" s="209" t="e">
        <f t="shared" si="81"/>
        <v>#DIV/0!</v>
      </c>
      <c r="BG59" s="209" t="e">
        <f t="shared" si="81"/>
        <v>#DIV/0!</v>
      </c>
      <c r="BH59" s="209" t="e">
        <f t="shared" si="82"/>
        <v>#DIV/0!</v>
      </c>
      <c r="BI59" s="203"/>
      <c r="BJ59" s="203"/>
      <c r="BK59" s="203"/>
      <c r="BL59" s="203"/>
      <c r="BM59" s="203"/>
      <c r="BN59" s="203"/>
      <c r="BO59" s="203"/>
      <c r="BP59" s="203"/>
      <c r="BQ59" s="203"/>
      <c r="BR59" s="211"/>
      <c r="BS59" s="211"/>
      <c r="BT59" s="211"/>
      <c r="BU59" s="211"/>
      <c r="BV59" s="211"/>
      <c r="BW59" s="211"/>
      <c r="BX59" s="211"/>
      <c r="BY59" s="211"/>
      <c r="BZ59" s="211"/>
      <c r="CA59" s="211"/>
      <c r="CB59" s="211"/>
      <c r="CC59" s="211"/>
      <c r="CD59" s="211"/>
      <c r="CE59" s="211"/>
      <c r="CF59" s="211"/>
      <c r="CG59" s="211"/>
      <c r="CH59" s="211"/>
      <c r="CI59" s="211"/>
      <c r="CJ59" s="62"/>
    </row>
    <row r="60" s="61" customFormat="1" ht="16" customHeight="1" spans="1:88">
      <c r="A60" s="269" t="s">
        <v>389</v>
      </c>
      <c r="B60" s="270"/>
      <c r="C60" s="77" t="e">
        <f>C59*0.1</f>
        <v>#DIV/0!</v>
      </c>
      <c r="D60" s="79"/>
      <c r="E60" s="79" t="e">
        <f>E58-C60</f>
        <v>#DIV/0!</v>
      </c>
      <c r="F60" s="79" t="e">
        <f t="shared" si="78"/>
        <v>#DIV/0!</v>
      </c>
      <c r="G60" s="73"/>
      <c r="H60" s="269" t="s">
        <v>523</v>
      </c>
      <c r="I60" s="77">
        <f>INT(IF($F$24=1,IF(MOD(($K52+SUM($V7:$Y7)-SUM($V13:$Y13))*I49/SUM($I49:$L49)-V7+V13-9,20)&gt;11,(($K52+SUM($V7:$Y7)-SUM($V13:$Y13))*I49/SUM($I49:$L49)-V7+V13),(($K52+SUM($V7:$Y7)-SUM($V13:$Y13))*I49/SUM($I49:$L49)-V7+V13)-MOD(($K52+SUM($V7:$Y7)-SUM($V13:$Y13))*I49/SUM($I49:$L49)-V7+V13-9,20)),($K52+SUM($V7:$Y7)-SUM($V13:$Y13))*I49/SUM($I49:$L49)-V7+V13))</f>
        <v>-11</v>
      </c>
      <c r="J60" s="77">
        <f>INT(IF($F$24=1,IF(MOD(($K52+SUM($V7:$Y7)-SUM($V13:$Y13))*J49/SUM($I49:$L49)-W7+W13-9,20)&gt;11,(($K52+SUM($V7:$Y7)-SUM($V13:$Y13))*J49/SUM($I49:$L49)-W7+W13),(($K52+SUM($V7:$Y7)-SUM($V13:$Y13))*J49/SUM($I49:$L49)-W7+W13)-MOD(($K52+SUM($V7:$Y7)-SUM($V13:$Y13))*J49/SUM($I49:$L49)-W7+W13-9,20)),($K52+SUM($V7:$Y7)-SUM($V13:$Y13))*J49/SUM($I49:$L49)-W7+W13))</f>
        <v>-11</v>
      </c>
      <c r="K60" s="77">
        <f>INT(IF($F$24=1,IF(MOD(($K52+SUM($V7:$Y7)-SUM($V13:$Y13))*K49/SUM($I49:$L49)-X7+X13-9,20)&gt;11,(($K52+SUM($V7:$Y7)-SUM($V13:$Y13))*K49/SUM($I49:$L49)-X7+X13),(($K52+SUM($V7:$Y7)-SUM($V13:$Y13))*K49/SUM($I49:$L49)-X7+X13)-MOD(($K52+SUM($V7:$Y7)-SUM($V13:$Y13))*K49/SUM($I49:$L49)-X7+X13-9,20)),($K52+SUM($V7:$Y7)-SUM($V13:$Y13))*K49/SUM($I49:$L49)-X7+X13))</f>
        <v>-11</v>
      </c>
      <c r="L60" s="77">
        <f>INT(IF($F$24=1,IF(MOD(($K52+SUM($V7:$Y7)-SUM($V13:$Y13))*L49/SUM($I49:$L49)-Y7+Y13-9,20)&gt;11,(($K52+SUM($V7:$Y7)-SUM($V13:$Y13))*L49/SUM($I49:$L49)-Y7+Y13),(($K52+SUM($V7:$Y7)-SUM($V13:$Y13))*L49/SUM($I49:$L49)-Y7+Y13)-MOD(($K52+SUM($V7:$Y7)-SUM($V13:$Y13))*L49/SUM($I49:$L49)-Y7+Y13-9,20)),($K52+SUM($V7:$Y7)-SUM($V13:$Y13))*L49/SUM($I49:$L49)-Y7+Y13))</f>
        <v>-11</v>
      </c>
      <c r="M60" s="85"/>
      <c r="N60" s="74"/>
      <c r="O60" s="74"/>
      <c r="P60" s="74"/>
      <c r="Q60" s="74"/>
      <c r="R60" s="74"/>
      <c r="S60" s="74"/>
      <c r="T60" s="120"/>
      <c r="U60" s="269" t="s">
        <v>521</v>
      </c>
      <c r="V60" s="150">
        <f>V30-第5期!V30</f>
        <v>0</v>
      </c>
      <c r="W60" s="150">
        <f>W30-第5期!W30</f>
        <v>0</v>
      </c>
      <c r="X60" s="150">
        <f>X30-第5期!X30</f>
        <v>0</v>
      </c>
      <c r="Y60" s="150">
        <f>Y30-第5期!Y30</f>
        <v>0</v>
      </c>
      <c r="Z60" s="150">
        <f>SUM(V60:Y60)/4</f>
        <v>0</v>
      </c>
      <c r="AA60" s="269" t="s">
        <v>521</v>
      </c>
      <c r="AB60" s="150">
        <f>第5期!BB28</f>
        <v>0</v>
      </c>
      <c r="AC60" s="150">
        <f>第5期!BC28</f>
        <v>0</v>
      </c>
      <c r="AD60" s="150">
        <f>第5期!BD28</f>
        <v>0</v>
      </c>
      <c r="AE60" s="150">
        <f>第5期!BE28</f>
        <v>0</v>
      </c>
      <c r="AF60" s="150">
        <f>SUM(AB60:AE60)</f>
        <v>0</v>
      </c>
      <c r="AG60" s="74"/>
      <c r="AH60" s="73"/>
      <c r="AI60" s="69"/>
      <c r="AJ60" s="68" t="s">
        <v>320</v>
      </c>
      <c r="AK60" s="68" t="s">
        <v>321</v>
      </c>
      <c r="AL60" s="68" t="s">
        <v>322</v>
      </c>
      <c r="AM60" s="68" t="s">
        <v>319</v>
      </c>
      <c r="AN60" s="68" t="s">
        <v>320</v>
      </c>
      <c r="AO60" s="68" t="s">
        <v>321</v>
      </c>
      <c r="AP60" s="68" t="s">
        <v>322</v>
      </c>
      <c r="AQ60" s="68" t="s">
        <v>319</v>
      </c>
      <c r="AR60" s="68" t="s">
        <v>320</v>
      </c>
      <c r="AS60" s="68" t="s">
        <v>321</v>
      </c>
      <c r="AT60" s="68" t="s">
        <v>322</v>
      </c>
      <c r="AU60" s="68" t="s">
        <v>319</v>
      </c>
      <c r="AV60" s="68" t="s">
        <v>320</v>
      </c>
      <c r="AW60" s="68" t="s">
        <v>321</v>
      </c>
      <c r="AX60" s="68" t="s">
        <v>322</v>
      </c>
      <c r="AY60" s="68" t="s">
        <v>41</v>
      </c>
      <c r="AZ60" s="193"/>
      <c r="BA60" s="195">
        <f t="shared" si="79"/>
        <v>0</v>
      </c>
      <c r="BB60" s="205">
        <f>IF(BT11=1,AL113/(第5期!AP113/2+AP113),0)</f>
        <v>0</v>
      </c>
      <c r="BC60" s="203"/>
      <c r="BD60" s="194">
        <f t="shared" si="80"/>
        <v>0</v>
      </c>
      <c r="BE60" s="209" t="e">
        <f t="shared" si="81"/>
        <v>#DIV/0!</v>
      </c>
      <c r="BF60" s="209" t="e">
        <f t="shared" si="81"/>
        <v>#DIV/0!</v>
      </c>
      <c r="BG60" s="209" t="e">
        <f t="shared" si="81"/>
        <v>#DIV/0!</v>
      </c>
      <c r="BH60" s="209" t="e">
        <f t="shared" si="82"/>
        <v>#DIV/0!</v>
      </c>
      <c r="BI60" s="203"/>
      <c r="BJ60" s="203"/>
      <c r="BK60" s="203"/>
      <c r="BL60" s="203"/>
      <c r="BM60" s="203"/>
      <c r="BN60" s="203"/>
      <c r="BO60" s="203"/>
      <c r="BP60" s="203"/>
      <c r="BQ60" s="203"/>
      <c r="BR60" s="211"/>
      <c r="BS60" s="211"/>
      <c r="BT60" s="211"/>
      <c r="BU60" s="211"/>
      <c r="BV60" s="211"/>
      <c r="BW60" s="211"/>
      <c r="BX60" s="211"/>
      <c r="BY60" s="211"/>
      <c r="BZ60" s="211"/>
      <c r="CA60" s="211"/>
      <c r="CB60" s="211"/>
      <c r="CC60" s="211"/>
      <c r="CD60" s="211"/>
      <c r="CE60" s="211"/>
      <c r="CF60" s="211"/>
      <c r="CG60" s="211"/>
      <c r="CH60" s="211"/>
      <c r="CI60" s="211"/>
      <c r="CJ60" s="62"/>
    </row>
    <row r="61" s="61" customFormat="1" ht="16" customHeight="1" spans="1:88">
      <c r="A61" s="269" t="s">
        <v>684</v>
      </c>
      <c r="B61" s="270"/>
      <c r="C61" s="77" t="e">
        <f>-IF(F77*初始化表!B25&gt;-第5期!F80,F77*初始化表!B25+第5期!F80,0)</f>
        <v>#DIV/0!</v>
      </c>
      <c r="D61" s="79"/>
      <c r="E61" s="79"/>
      <c r="F61" s="79" t="e">
        <f t="shared" si="78"/>
        <v>#DIV/0!</v>
      </c>
      <c r="G61" s="73"/>
      <c r="H61" s="269" t="s">
        <v>524</v>
      </c>
      <c r="I61" s="77">
        <f>INT(IF($F$24=1,IF(MOD(($L52+SUM($V8:$Y8)-SUM($V14:$Y14))*I50/SUM($I50:$L50)-V8+V14-9,20)&gt;11,(($L52+SUM($V8:$Y8)-SUM($V14:$Y14))*I50/SUM($I50:$L50)-V8+V14),(($L52+SUM($V8:$Y8)-SUM($V14:$Y14))*I50/SUM($I50:$L50)-V8+V14)-MOD(($L52+SUM($V8:$Y8)-SUM($V14:$Y14))*I50/SUM($I50:$L50)-V8+V14-9,20)),($L52+SUM($V8:$Y8)-SUM($V14:$Y14))*I50/SUM($I50:$L50)-V8+V14))</f>
        <v>-11</v>
      </c>
      <c r="J61" s="77">
        <f>INT(IF($F$24=1,IF(MOD(($L52+SUM($V8:$Y8)-SUM($V14:$Y14))*J50/SUM($I50:$L50)-W8+W14-9,20)&gt;11,(($L52+SUM($V8:$Y8)-SUM($V14:$Y14))*J50/SUM($I50:$L50)-W8+W14),(($L52+SUM($V8:$Y8)-SUM($V14:$Y14))*J50/SUM($I50:$L50)-W8+W14)-MOD(($L52+SUM($V8:$Y8)-SUM($V14:$Y14))*J50/SUM($I50:$L50)-W8+W14-9,20)),($L52+SUM($V8:$Y8)-SUM($V14:$Y14))*J50/SUM($I50:$L50)-W8+W14))</f>
        <v>-11</v>
      </c>
      <c r="K61" s="77">
        <f>INT(IF($F$24=1,IF(MOD(($L52+SUM($V8:$Y8)-SUM($V14:$Y14))*K50/SUM($I50:$L50)-X8+X14-9,20)&gt;11,(($L52+SUM($V8:$Y8)-SUM($V14:$Y14))*K50/SUM($I50:$L50)-X8+X14),(($L52+SUM($V8:$Y8)-SUM($V14:$Y14))*K50/SUM($I50:$L50)-X8+X14)-MOD(($L52+SUM($V8:$Y8)-SUM($V14:$Y14))*K50/SUM($I50:$L50)-X8+X14-9,20)),($L52+SUM($V8:$Y8)-SUM($V14:$Y14))*K50/SUM($I50:$L50)-X8+X14))</f>
        <v>-11</v>
      </c>
      <c r="L61" s="77">
        <f>INT(IF($F$24=1,IF(MOD(($L52+SUM($V8:$Y8)-SUM($V14:$Y14))*L50/SUM($I50:$L50)-Y8+Y14-9,20)&gt;11,(($L52+SUM($V8:$Y8)-SUM($V14:$Y14))*L50/SUM($I50:$L50)-Y8+Y14),(($L52+SUM($V8:$Y8)-SUM($V14:$Y14))*L50/SUM($I50:$L50)-Y8+Y14)-MOD(($L52+SUM($V8:$Y8)-SUM($V14:$Y14))*L50/SUM($I50:$L50)-Y8+Y14-9,20)),($L52+SUM($V8:$Y8)-SUM($V14:$Y14))*L50/SUM($I50:$L50)-Y8+Y14))</f>
        <v>-11</v>
      </c>
      <c r="M61" s="85"/>
      <c r="N61" s="74"/>
      <c r="O61" s="74"/>
      <c r="P61" s="74"/>
      <c r="Q61" s="74"/>
      <c r="R61" s="74"/>
      <c r="S61" s="74"/>
      <c r="T61" s="120"/>
      <c r="U61" s="269" t="s">
        <v>522</v>
      </c>
      <c r="V61" s="150">
        <f>V31-第5期!V31</f>
        <v>0</v>
      </c>
      <c r="W61" s="150">
        <f>W31-第5期!W31</f>
        <v>0</v>
      </c>
      <c r="X61" s="150">
        <f>X31-第5期!X31</f>
        <v>0</v>
      </c>
      <c r="Y61" s="150">
        <f>Y31-第5期!Y31</f>
        <v>0</v>
      </c>
      <c r="Z61" s="150">
        <f t="shared" ref="Z61:Z63" si="84">SUM(V61:Y61)/4</f>
        <v>0</v>
      </c>
      <c r="AA61" s="269" t="s">
        <v>522</v>
      </c>
      <c r="AB61" s="150">
        <f>第5期!BF28</f>
        <v>0</v>
      </c>
      <c r="AC61" s="150">
        <f>第5期!BG28</f>
        <v>0</v>
      </c>
      <c r="AD61" s="150">
        <f>第5期!BH28</f>
        <v>0</v>
      </c>
      <c r="AE61" s="150">
        <f>第5期!BI28</f>
        <v>0</v>
      </c>
      <c r="AF61" s="150">
        <f t="shared" ref="AF61:AF63" si="85">SUM(AB61:AE61)</f>
        <v>0</v>
      </c>
      <c r="AG61" s="74"/>
      <c r="AH61" s="73"/>
      <c r="AI61" s="367"/>
      <c r="AJ61" s="362"/>
      <c r="AK61" s="362"/>
      <c r="AL61" s="362"/>
      <c r="AM61" s="362"/>
      <c r="AN61" s="362"/>
      <c r="AO61" s="362"/>
      <c r="AP61" s="362"/>
      <c r="AQ61" s="362"/>
      <c r="AR61" s="362"/>
      <c r="AS61" s="362"/>
      <c r="AT61" s="362"/>
      <c r="AU61" s="362"/>
      <c r="AV61" s="362"/>
      <c r="AW61" s="362"/>
      <c r="AX61" s="362"/>
      <c r="AY61" s="362"/>
      <c r="AZ61" s="193"/>
      <c r="BA61" s="195">
        <f t="shared" si="79"/>
        <v>0</v>
      </c>
      <c r="BB61" s="205">
        <f>IF(BT12=1,AL114/(第5期!AP114/2+AP114),0)</f>
        <v>0</v>
      </c>
      <c r="BC61" s="203"/>
      <c r="BD61" s="194">
        <f t="shared" si="80"/>
        <v>0</v>
      </c>
      <c r="BE61" s="209" t="e">
        <f t="shared" si="81"/>
        <v>#DIV/0!</v>
      </c>
      <c r="BF61" s="209" t="e">
        <f t="shared" si="81"/>
        <v>#DIV/0!</v>
      </c>
      <c r="BG61" s="209" t="e">
        <f t="shared" si="81"/>
        <v>#DIV/0!</v>
      </c>
      <c r="BH61" s="209" t="e">
        <f t="shared" si="81"/>
        <v>#DIV/0!</v>
      </c>
      <c r="BI61" s="203"/>
      <c r="BJ61" s="203"/>
      <c r="BK61" s="203"/>
      <c r="BL61" s="203"/>
      <c r="BM61" s="203"/>
      <c r="BN61" s="203"/>
      <c r="BO61" s="203"/>
      <c r="BP61" s="203"/>
      <c r="BQ61" s="203"/>
      <c r="BR61" s="211"/>
      <c r="BS61" s="211"/>
      <c r="BT61" s="211"/>
      <c r="BU61" s="211"/>
      <c r="BV61" s="211"/>
      <c r="BW61" s="211"/>
      <c r="BX61" s="211"/>
      <c r="BY61" s="211"/>
      <c r="BZ61" s="211"/>
      <c r="CA61" s="211"/>
      <c r="CB61" s="211"/>
      <c r="CC61" s="211"/>
      <c r="CD61" s="211"/>
      <c r="CE61" s="211"/>
      <c r="CF61" s="211"/>
      <c r="CG61" s="211"/>
      <c r="CH61" s="211"/>
      <c r="CI61" s="211"/>
      <c r="CJ61" s="62"/>
    </row>
    <row r="62" s="61" customFormat="1" ht="16" customHeight="1" spans="1:88">
      <c r="A62" s="269" t="s">
        <v>306</v>
      </c>
      <c r="B62" s="270"/>
      <c r="C62" s="77">
        <f>-D22*初始化表!B8</f>
        <v>0</v>
      </c>
      <c r="D62" s="79"/>
      <c r="E62" s="79"/>
      <c r="F62" s="79" t="e">
        <f t="shared" si="78"/>
        <v>#DIV/0!</v>
      </c>
      <c r="G62" s="73"/>
      <c r="H62" s="269" t="s">
        <v>685</v>
      </c>
      <c r="I62" s="269" t="s">
        <v>513</v>
      </c>
      <c r="J62" s="269" t="s">
        <v>514</v>
      </c>
      <c r="K62" s="269" t="s">
        <v>515</v>
      </c>
      <c r="L62" s="269" t="s">
        <v>516</v>
      </c>
      <c r="M62" s="85"/>
      <c r="N62" s="117" t="s">
        <v>745</v>
      </c>
      <c r="O62" s="117" t="s">
        <v>38</v>
      </c>
      <c r="P62" s="117" t="s">
        <v>39</v>
      </c>
      <c r="Q62" s="117" t="s">
        <v>40</v>
      </c>
      <c r="R62" s="117" t="s">
        <v>41</v>
      </c>
      <c r="S62" s="74"/>
      <c r="T62" s="120"/>
      <c r="U62" s="269" t="s">
        <v>523</v>
      </c>
      <c r="V62" s="150">
        <f>V32-第5期!V32</f>
        <v>0</v>
      </c>
      <c r="W62" s="150">
        <f>W32-第5期!W32</f>
        <v>0</v>
      </c>
      <c r="X62" s="150">
        <f>X32-第5期!X32</f>
        <v>0</v>
      </c>
      <c r="Y62" s="150">
        <f>Y32-第5期!Y32</f>
        <v>0</v>
      </c>
      <c r="Z62" s="150">
        <f t="shared" si="84"/>
        <v>0</v>
      </c>
      <c r="AA62" s="269" t="s">
        <v>523</v>
      </c>
      <c r="AB62" s="150">
        <f>第5期!BJ28</f>
        <v>0</v>
      </c>
      <c r="AC62" s="150">
        <f>第5期!BK28</f>
        <v>0</v>
      </c>
      <c r="AD62" s="150">
        <f>第5期!BL28</f>
        <v>0</v>
      </c>
      <c r="AE62" s="150">
        <f>第5期!BM28</f>
        <v>0</v>
      </c>
      <c r="AF62" s="150">
        <f t="shared" si="85"/>
        <v>0</v>
      </c>
      <c r="AG62" s="74"/>
      <c r="AH62" s="73"/>
      <c r="AI62" s="367"/>
      <c r="AJ62" s="362"/>
      <c r="AK62" s="362"/>
      <c r="AL62" s="362"/>
      <c r="AM62" s="362"/>
      <c r="AN62" s="362"/>
      <c r="AO62" s="362"/>
      <c r="AP62" s="362"/>
      <c r="AQ62" s="362"/>
      <c r="AR62" s="362"/>
      <c r="AS62" s="362"/>
      <c r="AT62" s="362"/>
      <c r="AU62" s="362"/>
      <c r="AV62" s="362"/>
      <c r="AW62" s="362"/>
      <c r="AX62" s="362"/>
      <c r="AY62" s="362"/>
      <c r="AZ62" s="193"/>
      <c r="BA62" s="195">
        <f t="shared" si="79"/>
        <v>0</v>
      </c>
      <c r="BB62" s="205">
        <f>IF(BT13=1,AL115/(第5期!AP115/2+AP115),0)</f>
        <v>0</v>
      </c>
      <c r="BC62" s="203"/>
      <c r="BD62" s="194">
        <f t="shared" si="80"/>
        <v>0</v>
      </c>
      <c r="BE62" s="209" t="e">
        <f t="shared" si="81"/>
        <v>#DIV/0!</v>
      </c>
      <c r="BF62" s="209" t="e">
        <f t="shared" si="81"/>
        <v>#DIV/0!</v>
      </c>
      <c r="BG62" s="209" t="e">
        <f t="shared" si="81"/>
        <v>#DIV/0!</v>
      </c>
      <c r="BH62" s="209" t="e">
        <f t="shared" si="81"/>
        <v>#DIV/0!</v>
      </c>
      <c r="BI62" s="203"/>
      <c r="BJ62" s="203"/>
      <c r="BK62" s="203"/>
      <c r="BL62" s="203"/>
      <c r="BM62" s="203"/>
      <c r="BN62" s="203"/>
      <c r="BO62" s="203"/>
      <c r="BP62" s="203"/>
      <c r="BQ62" s="203"/>
      <c r="BR62" s="211"/>
      <c r="BS62" s="211"/>
      <c r="BT62" s="211"/>
      <c r="BU62" s="211"/>
      <c r="BV62" s="211"/>
      <c r="BW62" s="211"/>
      <c r="BX62" s="211"/>
      <c r="BY62" s="211"/>
      <c r="BZ62" s="211"/>
      <c r="CA62" s="211"/>
      <c r="CB62" s="211"/>
      <c r="CC62" s="211"/>
      <c r="CD62" s="211"/>
      <c r="CE62" s="211"/>
      <c r="CF62" s="211"/>
      <c r="CG62" s="211"/>
      <c r="CH62" s="211"/>
      <c r="CI62" s="211"/>
      <c r="CJ62" s="62"/>
    </row>
    <row r="63" s="61" customFormat="1" ht="16" customHeight="1" spans="1:88">
      <c r="A63" s="269" t="s">
        <v>686</v>
      </c>
      <c r="B63" s="270"/>
      <c r="C63" s="77" t="e">
        <f>IF(R37&gt;P37,-P37,-R37)</f>
        <v>#DIV/0!</v>
      </c>
      <c r="D63" s="79"/>
      <c r="E63" s="79"/>
      <c r="F63" s="79" t="e">
        <f t="shared" si="78"/>
        <v>#DIV/0!</v>
      </c>
      <c r="G63" s="73"/>
      <c r="H63" s="269" t="s">
        <v>521</v>
      </c>
      <c r="I63" s="97"/>
      <c r="J63" s="97"/>
      <c r="K63" s="97"/>
      <c r="L63" s="97"/>
      <c r="M63" s="85"/>
      <c r="N63" s="117" t="s">
        <v>198</v>
      </c>
      <c r="O63" s="118">
        <f>O68-第5期!O68</f>
        <v>0</v>
      </c>
      <c r="P63" s="118">
        <f>P68-第5期!P68</f>
        <v>0</v>
      </c>
      <c r="Q63" s="118">
        <f>Q68-第5期!Q68</f>
        <v>0</v>
      </c>
      <c r="R63" s="118">
        <f>R68-第5期!R68</f>
        <v>0</v>
      </c>
      <c r="S63" s="74"/>
      <c r="T63" s="120"/>
      <c r="U63" s="269" t="s">
        <v>524</v>
      </c>
      <c r="V63" s="150">
        <f>V33-第5期!V33</f>
        <v>0</v>
      </c>
      <c r="W63" s="150">
        <f>W33-第5期!W33</f>
        <v>0</v>
      </c>
      <c r="X63" s="150">
        <f>X33-第5期!X33</f>
        <v>0</v>
      </c>
      <c r="Y63" s="150">
        <f>Y33-第5期!Y33</f>
        <v>0</v>
      </c>
      <c r="Z63" s="150">
        <f t="shared" si="84"/>
        <v>0</v>
      </c>
      <c r="AA63" s="269" t="s">
        <v>524</v>
      </c>
      <c r="AB63" s="150">
        <f>第5期!BN28</f>
        <v>0</v>
      </c>
      <c r="AC63" s="150">
        <f>第5期!BO28</f>
        <v>0</v>
      </c>
      <c r="AD63" s="150">
        <f>第5期!BP28</f>
        <v>0</v>
      </c>
      <c r="AE63" s="150">
        <f>第5期!BQ28</f>
        <v>0</v>
      </c>
      <c r="AF63" s="150">
        <f t="shared" si="85"/>
        <v>0</v>
      </c>
      <c r="AG63" s="74"/>
      <c r="AH63" s="73"/>
      <c r="AI63" s="367"/>
      <c r="AJ63" s="362"/>
      <c r="AK63" s="362"/>
      <c r="AL63" s="362"/>
      <c r="AM63" s="362"/>
      <c r="AN63" s="362"/>
      <c r="AO63" s="362"/>
      <c r="AP63" s="362"/>
      <c r="AQ63" s="362"/>
      <c r="AR63" s="362"/>
      <c r="AS63" s="362"/>
      <c r="AT63" s="362"/>
      <c r="AU63" s="362"/>
      <c r="AV63" s="362"/>
      <c r="AW63" s="362"/>
      <c r="AX63" s="362"/>
      <c r="AY63" s="362"/>
      <c r="AZ63" s="193"/>
      <c r="BA63" s="195">
        <f t="shared" si="79"/>
        <v>0</v>
      </c>
      <c r="BB63" s="205">
        <f>IF(BT14=1,AL116/(第5期!AP116/2+AP116),0)</f>
        <v>0</v>
      </c>
      <c r="BC63" s="203"/>
      <c r="BD63" s="194">
        <f t="shared" si="80"/>
        <v>0</v>
      </c>
      <c r="BE63" s="209" t="e">
        <f t="shared" si="81"/>
        <v>#DIV/0!</v>
      </c>
      <c r="BF63" s="209" t="e">
        <f t="shared" si="81"/>
        <v>#DIV/0!</v>
      </c>
      <c r="BG63" s="209" t="e">
        <f t="shared" si="81"/>
        <v>#DIV/0!</v>
      </c>
      <c r="BH63" s="209" t="e">
        <f t="shared" si="81"/>
        <v>#DIV/0!</v>
      </c>
      <c r="BI63" s="203"/>
      <c r="BJ63" s="203"/>
      <c r="BK63" s="203"/>
      <c r="BL63" s="203"/>
      <c r="BM63" s="203"/>
      <c r="BN63" s="203"/>
      <c r="BO63" s="203"/>
      <c r="BP63" s="203"/>
      <c r="BQ63" s="203"/>
      <c r="BR63" s="211"/>
      <c r="BS63" s="211"/>
      <c r="BT63" s="211"/>
      <c r="BU63" s="211"/>
      <c r="BV63" s="211"/>
      <c r="BW63" s="211"/>
      <c r="BX63" s="211"/>
      <c r="BY63" s="211"/>
      <c r="BZ63" s="211"/>
      <c r="CA63" s="211"/>
      <c r="CB63" s="211"/>
      <c r="CC63" s="211"/>
      <c r="CD63" s="211"/>
      <c r="CE63" s="211"/>
      <c r="CF63" s="211"/>
      <c r="CG63" s="211"/>
      <c r="CH63" s="211"/>
      <c r="CI63" s="211"/>
      <c r="CJ63" s="62"/>
    </row>
    <row r="64" s="61" customFormat="1" ht="16" customHeight="1" spans="1:88">
      <c r="A64" s="269" t="s">
        <v>392</v>
      </c>
      <c r="B64" s="270"/>
      <c r="C64" s="77">
        <f>-D24</f>
        <v>0</v>
      </c>
      <c r="D64" s="79"/>
      <c r="E64" s="79"/>
      <c r="F64" s="79" t="e">
        <f t="shared" si="78"/>
        <v>#DIV/0!</v>
      </c>
      <c r="G64" s="73"/>
      <c r="H64" s="269" t="s">
        <v>522</v>
      </c>
      <c r="I64" s="97"/>
      <c r="J64" s="97"/>
      <c r="K64" s="97"/>
      <c r="L64" s="97"/>
      <c r="M64" s="85"/>
      <c r="N64" s="117" t="s">
        <v>202</v>
      </c>
      <c r="O64" s="118">
        <f>O69-第5期!O69</f>
        <v>0</v>
      </c>
      <c r="P64" s="118">
        <f>P69-第5期!P69</f>
        <v>0</v>
      </c>
      <c r="Q64" s="118">
        <f>Q69-第5期!Q69</f>
        <v>0</v>
      </c>
      <c r="R64" s="118">
        <f>R69-第5期!R69</f>
        <v>0</v>
      </c>
      <c r="S64" s="74"/>
      <c r="T64" s="120"/>
      <c r="U64" s="74"/>
      <c r="V64" s="74"/>
      <c r="W64" s="74"/>
      <c r="X64" s="74"/>
      <c r="Y64" s="74"/>
      <c r="Z64" s="74"/>
      <c r="AA64" s="73"/>
      <c r="AB64" s="74"/>
      <c r="AC64" s="74"/>
      <c r="AD64" s="74"/>
      <c r="AE64" s="74"/>
      <c r="AF64" s="74"/>
      <c r="AG64" s="74"/>
      <c r="AH64" s="73"/>
      <c r="AI64" s="367"/>
      <c r="AJ64" s="362"/>
      <c r="AK64" s="362"/>
      <c r="AL64" s="362"/>
      <c r="AM64" s="362"/>
      <c r="AN64" s="362"/>
      <c r="AO64" s="362"/>
      <c r="AP64" s="362"/>
      <c r="AQ64" s="362"/>
      <c r="AR64" s="362"/>
      <c r="AS64" s="362"/>
      <c r="AT64" s="362"/>
      <c r="AU64" s="362"/>
      <c r="AV64" s="362"/>
      <c r="AW64" s="362"/>
      <c r="AX64" s="362"/>
      <c r="AY64" s="362"/>
      <c r="AZ64" s="193"/>
      <c r="BA64" s="195">
        <f t="shared" si="79"/>
        <v>0</v>
      </c>
      <c r="BB64" s="205">
        <f>IF(BT15=1,AL117/(第5期!AP117/2+AP117),0)</f>
        <v>0</v>
      </c>
      <c r="BC64" s="203"/>
      <c r="BD64" s="194">
        <f t="shared" si="80"/>
        <v>0</v>
      </c>
      <c r="BE64" s="209" t="e">
        <f t="shared" si="81"/>
        <v>#DIV/0!</v>
      </c>
      <c r="BF64" s="209" t="e">
        <f t="shared" si="81"/>
        <v>#DIV/0!</v>
      </c>
      <c r="BG64" s="209" t="e">
        <f t="shared" si="81"/>
        <v>#DIV/0!</v>
      </c>
      <c r="BH64" s="209" t="e">
        <f t="shared" si="81"/>
        <v>#DIV/0!</v>
      </c>
      <c r="BI64" s="203"/>
      <c r="BJ64" s="203"/>
      <c r="BK64" s="203"/>
      <c r="BL64" s="203"/>
      <c r="BM64" s="203"/>
      <c r="BN64" s="203"/>
      <c r="BO64" s="203"/>
      <c r="BP64" s="203"/>
      <c r="BQ64" s="203"/>
      <c r="BR64" s="211"/>
      <c r="BS64" s="211"/>
      <c r="BT64" s="211"/>
      <c r="BU64" s="211"/>
      <c r="BV64" s="211"/>
      <c r="BW64" s="211"/>
      <c r="BX64" s="211"/>
      <c r="BY64" s="211"/>
      <c r="BZ64" s="211"/>
      <c r="CA64" s="211"/>
      <c r="CB64" s="211"/>
      <c r="CC64" s="211"/>
      <c r="CD64" s="211"/>
      <c r="CE64" s="211"/>
      <c r="CF64" s="211"/>
      <c r="CG64" s="211"/>
      <c r="CH64" s="211"/>
      <c r="CI64" s="211"/>
      <c r="CJ64" s="62"/>
    </row>
    <row r="65" s="61" customFormat="1" ht="16" customHeight="1" spans="1:88">
      <c r="A65" s="90"/>
      <c r="B65" s="90"/>
      <c r="C65" s="90"/>
      <c r="D65" s="90"/>
      <c r="E65" s="90"/>
      <c r="F65" s="90"/>
      <c r="G65" s="73"/>
      <c r="H65" s="269" t="s">
        <v>523</v>
      </c>
      <c r="I65" s="97"/>
      <c r="J65" s="97">
        <v>0</v>
      </c>
      <c r="K65" s="97"/>
      <c r="L65" s="97"/>
      <c r="M65" s="85"/>
      <c r="N65" s="117" t="s">
        <v>206</v>
      </c>
      <c r="O65" s="118">
        <f>O70-第5期!O70</f>
        <v>1</v>
      </c>
      <c r="P65" s="118">
        <f>P70-第5期!P70</f>
        <v>1</v>
      </c>
      <c r="Q65" s="118">
        <f>Q70-第5期!Q70</f>
        <v>2</v>
      </c>
      <c r="R65" s="118">
        <f>R70-第5期!R70</f>
        <v>2</v>
      </c>
      <c r="S65" s="74"/>
      <c r="T65" s="120"/>
      <c r="U65" s="269" t="s">
        <v>746</v>
      </c>
      <c r="V65" s="269" t="s">
        <v>513</v>
      </c>
      <c r="W65" s="269" t="s">
        <v>514</v>
      </c>
      <c r="X65" s="269" t="s">
        <v>515</v>
      </c>
      <c r="Y65" s="269" t="s">
        <v>516</v>
      </c>
      <c r="Z65" s="74"/>
      <c r="AA65" s="73"/>
      <c r="AB65" s="74"/>
      <c r="AC65" s="74"/>
      <c r="AD65" s="74"/>
      <c r="AE65" s="74"/>
      <c r="AF65" s="74"/>
      <c r="AG65" s="74"/>
      <c r="AH65" s="73"/>
      <c r="AI65" s="367"/>
      <c r="AJ65" s="362"/>
      <c r="AK65" s="362"/>
      <c r="AL65" s="362"/>
      <c r="AM65" s="362"/>
      <c r="AN65" s="362"/>
      <c r="AO65" s="362"/>
      <c r="AP65" s="362"/>
      <c r="AQ65" s="362"/>
      <c r="AR65" s="362"/>
      <c r="AS65" s="362"/>
      <c r="AT65" s="362"/>
      <c r="AU65" s="362"/>
      <c r="AV65" s="362"/>
      <c r="AW65" s="362"/>
      <c r="AX65" s="362"/>
      <c r="AY65" s="362"/>
      <c r="AZ65" s="193"/>
      <c r="BA65" s="195">
        <f t="shared" si="79"/>
        <v>0</v>
      </c>
      <c r="BB65" s="205">
        <f>IF(BT16=1,AL118/(第5期!AP118/2+AP118),0)</f>
        <v>0</v>
      </c>
      <c r="BC65" s="203"/>
      <c r="BD65" s="194">
        <f t="shared" si="80"/>
        <v>0</v>
      </c>
      <c r="BE65" s="209" t="e">
        <f t="shared" si="81"/>
        <v>#DIV/0!</v>
      </c>
      <c r="BF65" s="209" t="e">
        <f t="shared" si="81"/>
        <v>#DIV/0!</v>
      </c>
      <c r="BG65" s="209" t="e">
        <f t="shared" si="81"/>
        <v>#DIV/0!</v>
      </c>
      <c r="BH65" s="209" t="e">
        <f t="shared" si="81"/>
        <v>#DIV/0!</v>
      </c>
      <c r="BI65" s="203"/>
      <c r="BJ65" s="203"/>
      <c r="BK65" s="203"/>
      <c r="BL65" s="203"/>
      <c r="BM65" s="203"/>
      <c r="BN65" s="203"/>
      <c r="BO65" s="203"/>
      <c r="BP65" s="203"/>
      <c r="BQ65" s="203"/>
      <c r="BR65" s="211"/>
      <c r="BS65" s="211"/>
      <c r="BT65" s="211"/>
      <c r="BU65" s="211"/>
      <c r="BV65" s="211"/>
      <c r="BW65" s="211"/>
      <c r="BX65" s="211"/>
      <c r="BY65" s="211"/>
      <c r="BZ65" s="211"/>
      <c r="CA65" s="211"/>
      <c r="CB65" s="211"/>
      <c r="CC65" s="211"/>
      <c r="CD65" s="211"/>
      <c r="CE65" s="211"/>
      <c r="CF65" s="211"/>
      <c r="CG65" s="211"/>
      <c r="CH65" s="211"/>
      <c r="CI65" s="211"/>
      <c r="CJ65" s="62"/>
    </row>
    <row r="66" s="61" customFormat="1" ht="16" customHeight="1" spans="1:88">
      <c r="A66" s="269" t="s">
        <v>423</v>
      </c>
      <c r="B66" s="270"/>
      <c r="C66" s="270"/>
      <c r="D66" s="327"/>
      <c r="E66" s="269" t="s">
        <v>448</v>
      </c>
      <c r="F66" s="270"/>
      <c r="G66" s="73"/>
      <c r="H66" s="269" t="s">
        <v>524</v>
      </c>
      <c r="I66" s="97"/>
      <c r="J66" s="97"/>
      <c r="K66" s="97"/>
      <c r="L66" s="97">
        <v>0</v>
      </c>
      <c r="M66" s="85"/>
      <c r="N66" s="117" t="s">
        <v>208</v>
      </c>
      <c r="O66" s="118">
        <f>O71-第5期!O71</f>
        <v>2</v>
      </c>
      <c r="P66" s="118">
        <f>P71-第5期!P71</f>
        <v>2</v>
      </c>
      <c r="Q66" s="118">
        <f>Q71-第5期!Q71</f>
        <v>4</v>
      </c>
      <c r="R66" s="118">
        <f>R71-第5期!R71</f>
        <v>4</v>
      </c>
      <c r="S66" s="74"/>
      <c r="T66" s="120"/>
      <c r="U66" s="269" t="s">
        <v>521</v>
      </c>
      <c r="V66" s="150">
        <f>ABS(IF(AB54=0,0,V60/AB54))</f>
        <v>0</v>
      </c>
      <c r="W66" s="150">
        <f t="shared" ref="W66:Y69" si="86">ABS(IF(AC54=0,0,W60/AC54))</f>
        <v>0</v>
      </c>
      <c r="X66" s="150">
        <f t="shared" si="86"/>
        <v>0</v>
      </c>
      <c r="Y66" s="150">
        <f t="shared" si="86"/>
        <v>0</v>
      </c>
      <c r="Z66" s="74"/>
      <c r="AA66" s="73"/>
      <c r="AB66" s="74"/>
      <c r="AC66" s="74"/>
      <c r="AD66" s="74"/>
      <c r="AE66" s="74"/>
      <c r="AF66" s="74"/>
      <c r="AG66" s="74"/>
      <c r="AH66" s="73"/>
      <c r="AI66" s="367"/>
      <c r="AJ66" s="362"/>
      <c r="AK66" s="362"/>
      <c r="AL66" s="362"/>
      <c r="AM66" s="362"/>
      <c r="AN66" s="362"/>
      <c r="AO66" s="362"/>
      <c r="AP66" s="362"/>
      <c r="AQ66" s="362"/>
      <c r="AR66" s="362"/>
      <c r="AS66" s="362"/>
      <c r="AT66" s="362"/>
      <c r="AU66" s="362"/>
      <c r="AV66" s="362"/>
      <c r="AW66" s="362"/>
      <c r="AX66" s="362"/>
      <c r="AY66" s="362"/>
      <c r="AZ66" s="193"/>
      <c r="BA66" s="195">
        <f t="shared" si="79"/>
        <v>0</v>
      </c>
      <c r="BB66" s="205">
        <f>IF(BT17=1,AL119/(第5期!AP119/2+AP119),0)</f>
        <v>0</v>
      </c>
      <c r="BC66" s="203"/>
      <c r="BD66" s="194">
        <f t="shared" si="80"/>
        <v>0</v>
      </c>
      <c r="BE66" s="209" t="e">
        <f t="shared" si="81"/>
        <v>#DIV/0!</v>
      </c>
      <c r="BF66" s="209" t="e">
        <f t="shared" si="81"/>
        <v>#DIV/0!</v>
      </c>
      <c r="BG66" s="209" t="e">
        <f t="shared" si="81"/>
        <v>#DIV/0!</v>
      </c>
      <c r="BH66" s="209" t="e">
        <f t="shared" si="81"/>
        <v>#DIV/0!</v>
      </c>
      <c r="BI66" s="203"/>
      <c r="BJ66" s="203"/>
      <c r="BK66" s="203"/>
      <c r="BL66" s="203"/>
      <c r="BM66" s="203"/>
      <c r="BN66" s="203"/>
      <c r="BO66" s="203"/>
      <c r="BP66" s="203"/>
      <c r="BQ66" s="203"/>
      <c r="BR66" s="211"/>
      <c r="BS66" s="211"/>
      <c r="BT66" s="211"/>
      <c r="BU66" s="211"/>
      <c r="BV66" s="211"/>
      <c r="BW66" s="211"/>
      <c r="BX66" s="211"/>
      <c r="BY66" s="211"/>
      <c r="BZ66" s="211"/>
      <c r="CA66" s="211"/>
      <c r="CB66" s="211"/>
      <c r="CC66" s="211"/>
      <c r="CD66" s="211"/>
      <c r="CE66" s="211"/>
      <c r="CF66" s="211"/>
      <c r="CG66" s="211"/>
      <c r="CH66" s="211"/>
      <c r="CI66" s="211"/>
      <c r="CJ66" s="62"/>
    </row>
    <row r="67" s="61" customFormat="1" ht="16" customHeight="1" spans="1:88">
      <c r="A67" s="269" t="s">
        <v>688</v>
      </c>
      <c r="B67" s="269" t="s">
        <v>689</v>
      </c>
      <c r="C67" s="269" t="s">
        <v>690</v>
      </c>
      <c r="D67" s="327"/>
      <c r="E67" s="328" t="s">
        <v>691</v>
      </c>
      <c r="F67" s="328" t="s">
        <v>692</v>
      </c>
      <c r="G67" s="73"/>
      <c r="H67" s="269" t="s">
        <v>687</v>
      </c>
      <c r="I67" s="270" t="str">
        <f>I62</f>
        <v>市场1</v>
      </c>
      <c r="J67" s="270" t="str">
        <f>J62</f>
        <v>市场2</v>
      </c>
      <c r="K67" s="270" t="str">
        <f>K62</f>
        <v>市场3</v>
      </c>
      <c r="L67" s="270" t="str">
        <f>L62</f>
        <v>市场4</v>
      </c>
      <c r="M67" s="378" t="s">
        <v>693</v>
      </c>
      <c r="N67" s="117" t="s">
        <v>729</v>
      </c>
      <c r="O67" s="117" t="s">
        <v>38</v>
      </c>
      <c r="P67" s="117" t="s">
        <v>39</v>
      </c>
      <c r="Q67" s="117" t="s">
        <v>40</v>
      </c>
      <c r="R67" s="117" t="s">
        <v>41</v>
      </c>
      <c r="S67" s="74"/>
      <c r="T67" s="120"/>
      <c r="U67" s="269" t="s">
        <v>522</v>
      </c>
      <c r="V67" s="150">
        <f t="shared" ref="V67:V69" si="87">ABS(IF(AB55=0,0,V61/AB55))</f>
        <v>0</v>
      </c>
      <c r="W67" s="150">
        <f t="shared" si="86"/>
        <v>0</v>
      </c>
      <c r="X67" s="150">
        <f t="shared" si="86"/>
        <v>0</v>
      </c>
      <c r="Y67" s="150">
        <f t="shared" si="86"/>
        <v>0</v>
      </c>
      <c r="Z67" s="74"/>
      <c r="AA67" s="73"/>
      <c r="AB67" s="74"/>
      <c r="AC67" s="74"/>
      <c r="AD67" s="74"/>
      <c r="AE67" s="74"/>
      <c r="AF67" s="74"/>
      <c r="AG67" s="74"/>
      <c r="AH67" s="73"/>
      <c r="AI67" s="367"/>
      <c r="AJ67" s="362"/>
      <c r="AK67" s="362"/>
      <c r="AL67" s="362"/>
      <c r="AM67" s="362"/>
      <c r="AN67" s="362"/>
      <c r="AO67" s="362"/>
      <c r="AP67" s="362"/>
      <c r="AQ67" s="362"/>
      <c r="AR67" s="362"/>
      <c r="AS67" s="362"/>
      <c r="AT67" s="362"/>
      <c r="AU67" s="362"/>
      <c r="AV67" s="362"/>
      <c r="AW67" s="362"/>
      <c r="AX67" s="362"/>
      <c r="AY67" s="362"/>
      <c r="AZ67" s="193"/>
      <c r="BA67" s="195">
        <f t="shared" si="79"/>
        <v>0</v>
      </c>
      <c r="BB67" s="205">
        <f>IF(BT18=1,AL120/(第5期!AP120/2+AP120),0)</f>
        <v>0</v>
      </c>
      <c r="BC67" s="203"/>
      <c r="BD67" s="194">
        <f t="shared" si="80"/>
        <v>0</v>
      </c>
      <c r="BE67" s="209" t="e">
        <f t="shared" si="81"/>
        <v>#DIV/0!</v>
      </c>
      <c r="BF67" s="209" t="e">
        <f t="shared" si="81"/>
        <v>#DIV/0!</v>
      </c>
      <c r="BG67" s="209" t="e">
        <f t="shared" si="81"/>
        <v>#DIV/0!</v>
      </c>
      <c r="BH67" s="209" t="e">
        <f t="shared" si="81"/>
        <v>#DIV/0!</v>
      </c>
      <c r="BI67" s="203"/>
      <c r="BJ67" s="203"/>
      <c r="BK67" s="203"/>
      <c r="BL67" s="203"/>
      <c r="BM67" s="203"/>
      <c r="BN67" s="203"/>
      <c r="BO67" s="203"/>
      <c r="BP67" s="203"/>
      <c r="BQ67" s="203"/>
      <c r="BR67" s="211"/>
      <c r="BS67" s="211"/>
      <c r="BT67" s="211"/>
      <c r="BU67" s="211"/>
      <c r="BV67" s="211"/>
      <c r="BW67" s="211"/>
      <c r="BX67" s="211"/>
      <c r="BY67" s="211"/>
      <c r="BZ67" s="211"/>
      <c r="CA67" s="211"/>
      <c r="CB67" s="211"/>
      <c r="CC67" s="211"/>
      <c r="CD67" s="211"/>
      <c r="CE67" s="211"/>
      <c r="CF67" s="211"/>
      <c r="CG67" s="211"/>
      <c r="CH67" s="211"/>
      <c r="CI67" s="211"/>
      <c r="CJ67" s="62"/>
    </row>
    <row r="68" s="61" customFormat="1" ht="16" customHeight="1" spans="1:88">
      <c r="A68" s="269" t="s">
        <v>694</v>
      </c>
      <c r="B68" s="77" t="e">
        <f>F64</f>
        <v>#DIV/0!</v>
      </c>
      <c r="C68" s="77" t="e">
        <f>B68</f>
        <v>#DIV/0!</v>
      </c>
      <c r="D68" s="327"/>
      <c r="E68" s="328" t="s">
        <v>345</v>
      </c>
      <c r="F68" s="235">
        <f>L17</f>
        <v>0</v>
      </c>
      <c r="G68" s="73"/>
      <c r="H68" s="270" t="str">
        <f>H63</f>
        <v>产品1</v>
      </c>
      <c r="I68" s="77">
        <f t="shared" ref="I68:L71" si="88">V86</f>
        <v>0</v>
      </c>
      <c r="J68" s="77">
        <f t="shared" si="88"/>
        <v>0</v>
      </c>
      <c r="K68" s="77">
        <f t="shared" si="88"/>
        <v>0</v>
      </c>
      <c r="L68" s="77">
        <f t="shared" si="88"/>
        <v>0</v>
      </c>
      <c r="M68" s="242">
        <f>SUM(I63:L63)</f>
        <v>0</v>
      </c>
      <c r="N68" s="117" t="s">
        <v>198</v>
      </c>
      <c r="O68" s="118">
        <f>IF(第5期!$AI$9=0,5,ABS((V23-第5期!V23)/((V17-第5期!V17)-IF(第5期!$J6&gt;0,10,0))))</f>
        <v>5</v>
      </c>
      <c r="P68" s="118">
        <f>IF(第5期!$AI$9=0,5,ABS((W23-第5期!W23)/((W17-第5期!W17)-IF(第5期!$J6&gt;0,10,0))))</f>
        <v>5</v>
      </c>
      <c r="Q68" s="118">
        <f>IF(第5期!$AI$9=0,4,ABS((X23-第5期!X23)/((X17-第5期!X17)-IF(第5期!$J6&gt;0,10,0))))</f>
        <v>4</v>
      </c>
      <c r="R68" s="118">
        <f>IF(第5期!$AI$9=0,4,ABS((Y23-第5期!Y23)/((Y17-第5期!Y17)-IF(第5期!$J6&gt;0,10,0))))</f>
        <v>4</v>
      </c>
      <c r="S68" s="74"/>
      <c r="T68" s="120"/>
      <c r="U68" s="269" t="s">
        <v>523</v>
      </c>
      <c r="V68" s="150">
        <f t="shared" si="87"/>
        <v>0</v>
      </c>
      <c r="W68" s="150">
        <f t="shared" si="86"/>
        <v>0</v>
      </c>
      <c r="X68" s="150">
        <f t="shared" si="86"/>
        <v>0</v>
      </c>
      <c r="Y68" s="150">
        <f t="shared" si="86"/>
        <v>0</v>
      </c>
      <c r="Z68" s="74"/>
      <c r="AA68" s="73"/>
      <c r="AB68" s="74"/>
      <c r="AC68" s="74"/>
      <c r="AD68" s="74"/>
      <c r="AE68" s="74"/>
      <c r="AF68" s="74"/>
      <c r="AG68" s="74"/>
      <c r="AH68" s="73"/>
      <c r="AI68" s="367"/>
      <c r="AJ68" s="362"/>
      <c r="AK68" s="362"/>
      <c r="AL68" s="362"/>
      <c r="AM68" s="362"/>
      <c r="AN68" s="362"/>
      <c r="AO68" s="362"/>
      <c r="AP68" s="362"/>
      <c r="AQ68" s="362"/>
      <c r="AR68" s="362"/>
      <c r="AS68" s="362"/>
      <c r="AT68" s="362"/>
      <c r="AU68" s="362"/>
      <c r="AV68" s="362"/>
      <c r="AW68" s="362"/>
      <c r="AX68" s="362"/>
      <c r="AY68" s="362"/>
      <c r="AZ68" s="193"/>
      <c r="BA68" s="195">
        <f t="shared" si="79"/>
        <v>0</v>
      </c>
      <c r="BB68" s="205">
        <f>IF(BT19=1,AL121/(第5期!AP121/2+AP121),0)</f>
        <v>0</v>
      </c>
      <c r="BC68" s="203"/>
      <c r="BD68" s="194">
        <f t="shared" si="80"/>
        <v>0</v>
      </c>
      <c r="BE68" s="209" t="e">
        <f t="shared" si="81"/>
        <v>#DIV/0!</v>
      </c>
      <c r="BF68" s="209" t="e">
        <f t="shared" si="81"/>
        <v>#DIV/0!</v>
      </c>
      <c r="BG68" s="209" t="e">
        <f t="shared" si="81"/>
        <v>#DIV/0!</v>
      </c>
      <c r="BH68" s="209" t="e">
        <f t="shared" si="81"/>
        <v>#DIV/0!</v>
      </c>
      <c r="BI68" s="203"/>
      <c r="BJ68" s="203"/>
      <c r="BK68" s="203"/>
      <c r="BL68" s="203"/>
      <c r="BM68" s="203"/>
      <c r="BN68" s="203"/>
      <c r="BO68" s="203"/>
      <c r="BP68" s="203"/>
      <c r="BQ68" s="203"/>
      <c r="BR68" s="211"/>
      <c r="BS68" s="211"/>
      <c r="BT68" s="211"/>
      <c r="BU68" s="211"/>
      <c r="BV68" s="211"/>
      <c r="BW68" s="211"/>
      <c r="BX68" s="211"/>
      <c r="BY68" s="211"/>
      <c r="BZ68" s="211"/>
      <c r="CA68" s="211"/>
      <c r="CB68" s="211"/>
      <c r="CC68" s="211"/>
      <c r="CD68" s="211"/>
      <c r="CE68" s="211"/>
      <c r="CF68" s="211"/>
      <c r="CG68" s="211"/>
      <c r="CH68" s="211"/>
      <c r="CI68" s="211"/>
      <c r="CJ68" s="62"/>
    </row>
    <row r="69" s="61" customFormat="1" ht="16" customHeight="1" spans="1:88">
      <c r="A69" s="269" t="s">
        <v>695</v>
      </c>
      <c r="B69" s="77">
        <f>D24</f>
        <v>0</v>
      </c>
      <c r="C69" s="77" t="e">
        <f t="shared" ref="C69:C76" si="89">C68+B69</f>
        <v>#DIV/0!</v>
      </c>
      <c r="D69" s="327"/>
      <c r="E69" s="328" t="s">
        <v>346</v>
      </c>
      <c r="F69" s="235" t="e">
        <f>O49</f>
        <v>#DIV/0!</v>
      </c>
      <c r="G69" s="73"/>
      <c r="H69" s="270" t="str">
        <f>H64</f>
        <v>产品2</v>
      </c>
      <c r="I69" s="77">
        <f t="shared" si="88"/>
        <v>0</v>
      </c>
      <c r="J69" s="77">
        <f t="shared" si="88"/>
        <v>0</v>
      </c>
      <c r="K69" s="77">
        <f t="shared" si="88"/>
        <v>0</v>
      </c>
      <c r="L69" s="77">
        <f t="shared" si="88"/>
        <v>0</v>
      </c>
      <c r="M69" s="242">
        <f>SUM(I64:L64)</f>
        <v>0</v>
      </c>
      <c r="N69" s="117" t="s">
        <v>202</v>
      </c>
      <c r="O69" s="118">
        <f>IF(第5期!$AI$9=0,7,ABS((V24-第5期!V24)/((V18-第5期!V18)-IF(第5期!$J7&gt;0,10,0))))</f>
        <v>7</v>
      </c>
      <c r="P69" s="118">
        <f>IF(第5期!$AI$9=0,7,ABS((W24-第5期!W24)/((W18-第5期!W18)-IF(第5期!$J7&gt;0,10,0))))</f>
        <v>7</v>
      </c>
      <c r="Q69" s="118">
        <f>IF(第5期!$AI$9=0,6,ABS((X24-第5期!X24)/((X18-第5期!X18)-IF(第5期!$J7&gt;0,10,0))))</f>
        <v>6</v>
      </c>
      <c r="R69" s="118">
        <f>IF(第5期!$AI$9=0,6,ABS((Y24-第5期!Y24)/((Y18-第5期!Y18)-IF(第5期!$J7&gt;0,10,0))))</f>
        <v>6</v>
      </c>
      <c r="S69" s="74"/>
      <c r="T69" s="120"/>
      <c r="U69" s="269" t="s">
        <v>524</v>
      </c>
      <c r="V69" s="150">
        <f t="shared" si="87"/>
        <v>0</v>
      </c>
      <c r="W69" s="150">
        <f t="shared" si="86"/>
        <v>0</v>
      </c>
      <c r="X69" s="150">
        <f t="shared" si="86"/>
        <v>0</v>
      </c>
      <c r="Y69" s="150">
        <f t="shared" si="86"/>
        <v>0</v>
      </c>
      <c r="Z69" s="74"/>
      <c r="AA69" s="73"/>
      <c r="AB69" s="74"/>
      <c r="AC69" s="74"/>
      <c r="AD69" s="74"/>
      <c r="AE69" s="74"/>
      <c r="AF69" s="74"/>
      <c r="AG69" s="74"/>
      <c r="AH69" s="73"/>
      <c r="AI69" s="367"/>
      <c r="AJ69" s="362"/>
      <c r="AK69" s="362"/>
      <c r="AL69" s="362"/>
      <c r="AM69" s="362"/>
      <c r="AN69" s="362"/>
      <c r="AO69" s="362"/>
      <c r="AP69" s="362"/>
      <c r="AQ69" s="362"/>
      <c r="AR69" s="362"/>
      <c r="AS69" s="362"/>
      <c r="AT69" s="362"/>
      <c r="AU69" s="362"/>
      <c r="AV69" s="362"/>
      <c r="AW69" s="362"/>
      <c r="AX69" s="362"/>
      <c r="AY69" s="362"/>
      <c r="AZ69" s="193"/>
      <c r="BA69" s="195">
        <f t="shared" si="79"/>
        <v>0</v>
      </c>
      <c r="BB69" s="205">
        <f>IF(BT20=1,AL122/(第5期!AP122/2+AP122),0)</f>
        <v>0</v>
      </c>
      <c r="BC69" s="203"/>
      <c r="BD69" s="194">
        <f t="shared" si="80"/>
        <v>0</v>
      </c>
      <c r="BE69" s="209" t="e">
        <f t="shared" si="81"/>
        <v>#DIV/0!</v>
      </c>
      <c r="BF69" s="209" t="e">
        <f t="shared" si="81"/>
        <v>#DIV/0!</v>
      </c>
      <c r="BG69" s="209" t="e">
        <f t="shared" si="81"/>
        <v>#DIV/0!</v>
      </c>
      <c r="BH69" s="209" t="e">
        <f t="shared" si="81"/>
        <v>#DIV/0!</v>
      </c>
      <c r="BI69" s="203"/>
      <c r="BJ69" s="203"/>
      <c r="BK69" s="203"/>
      <c r="BL69" s="203"/>
      <c r="BM69" s="203"/>
      <c r="BN69" s="203"/>
      <c r="BO69" s="203"/>
      <c r="BP69" s="203"/>
      <c r="BQ69" s="203"/>
      <c r="BR69" s="211"/>
      <c r="BS69" s="211"/>
      <c r="BT69" s="211"/>
      <c r="BU69" s="211"/>
      <c r="BV69" s="211"/>
      <c r="BW69" s="211"/>
      <c r="BX69" s="211"/>
      <c r="BY69" s="211"/>
      <c r="BZ69" s="211"/>
      <c r="CA69" s="211"/>
      <c r="CB69" s="211"/>
      <c r="CC69" s="211"/>
      <c r="CD69" s="211"/>
      <c r="CE69" s="211"/>
      <c r="CF69" s="211"/>
      <c r="CG69" s="211"/>
      <c r="CH69" s="211"/>
      <c r="CI69" s="211"/>
      <c r="CJ69" s="62"/>
    </row>
    <row r="70" s="61" customFormat="1" ht="16" customHeight="1" spans="1:88">
      <c r="A70" s="269" t="s">
        <v>441</v>
      </c>
      <c r="B70" s="77">
        <f>L43</f>
        <v>0</v>
      </c>
      <c r="C70" s="77" t="e">
        <f t="shared" si="89"/>
        <v>#DIV/0!</v>
      </c>
      <c r="D70" s="327"/>
      <c r="E70" s="328" t="s">
        <v>441</v>
      </c>
      <c r="F70" s="236">
        <f>L43</f>
        <v>0</v>
      </c>
      <c r="G70" s="73"/>
      <c r="H70" s="270" t="str">
        <f>H65</f>
        <v>产品3</v>
      </c>
      <c r="I70" s="77">
        <f t="shared" si="88"/>
        <v>0</v>
      </c>
      <c r="J70" s="77">
        <f t="shared" si="88"/>
        <v>0</v>
      </c>
      <c r="K70" s="77">
        <f t="shared" si="88"/>
        <v>0</v>
      </c>
      <c r="L70" s="77">
        <f t="shared" si="88"/>
        <v>0</v>
      </c>
      <c r="M70" s="242">
        <f>SUM(I65:L65)</f>
        <v>0</v>
      </c>
      <c r="N70" s="117" t="s">
        <v>206</v>
      </c>
      <c r="O70" s="118">
        <f>IF(第5期!$AI$9=0,10,ABS((V25-第5期!V25)/((V19-第5期!V19)-IF(第5期!$J8&gt;0,5,0))))</f>
        <v>10</v>
      </c>
      <c r="P70" s="118">
        <f>IF(第5期!$AI$9=0,10,ABS((W25-第5期!W25)/((W19-第5期!W19)-IF(第5期!$J8&gt;0,5,0))))</f>
        <v>10</v>
      </c>
      <c r="Q70" s="118">
        <f>IF(第5期!$AI$9=0,10,ABS((X25-第5期!X25)/((X19-第5期!X19)-IF(第5期!$J8&gt;0,5,0))))</f>
        <v>10</v>
      </c>
      <c r="R70" s="118">
        <f>IF(第5期!$AI$9=0,10,ABS((Y25-第5期!Y25)/((Y19-第5期!Y19)-IF(第5期!$J8&gt;0,5,0))))</f>
        <v>10</v>
      </c>
      <c r="S70" s="74"/>
      <c r="T70" s="120"/>
      <c r="U70" s="74"/>
      <c r="V70" s="74"/>
      <c r="W70" s="74"/>
      <c r="X70" s="74"/>
      <c r="Y70" s="74"/>
      <c r="Z70" s="74"/>
      <c r="AA70" s="73"/>
      <c r="AB70" s="74"/>
      <c r="AC70" s="74"/>
      <c r="AD70" s="74"/>
      <c r="AE70" s="74"/>
      <c r="AF70" s="74"/>
      <c r="AG70" s="74"/>
      <c r="AH70" s="73"/>
      <c r="AI70" s="367"/>
      <c r="AJ70" s="362"/>
      <c r="AK70" s="362"/>
      <c r="AL70" s="362"/>
      <c r="AM70" s="362"/>
      <c r="AN70" s="362"/>
      <c r="AO70" s="362"/>
      <c r="AP70" s="362"/>
      <c r="AQ70" s="362"/>
      <c r="AR70" s="362"/>
      <c r="AS70" s="362"/>
      <c r="AT70" s="362"/>
      <c r="AU70" s="362"/>
      <c r="AV70" s="362"/>
      <c r="AW70" s="362"/>
      <c r="AX70" s="362"/>
      <c r="AY70" s="362"/>
      <c r="AZ70" s="193"/>
      <c r="BA70" s="195">
        <f t="shared" si="79"/>
        <v>0</v>
      </c>
      <c r="BB70" s="205">
        <f>IF(BT21=1,AL123/(第5期!AP123/2+AP123),0)</f>
        <v>0</v>
      </c>
      <c r="BC70" s="203"/>
      <c r="BD70" s="194">
        <f t="shared" si="80"/>
        <v>0</v>
      </c>
      <c r="BE70" s="209" t="e">
        <f t="shared" si="81"/>
        <v>#DIV/0!</v>
      </c>
      <c r="BF70" s="209" t="e">
        <f t="shared" si="81"/>
        <v>#DIV/0!</v>
      </c>
      <c r="BG70" s="209" t="e">
        <f t="shared" si="81"/>
        <v>#DIV/0!</v>
      </c>
      <c r="BH70" s="209" t="e">
        <f t="shared" si="81"/>
        <v>#DIV/0!</v>
      </c>
      <c r="BI70" s="203"/>
      <c r="BJ70" s="203"/>
      <c r="BK70" s="203"/>
      <c r="BL70" s="203"/>
      <c r="BM70" s="203"/>
      <c r="BN70" s="203"/>
      <c r="BO70" s="203"/>
      <c r="BP70" s="203"/>
      <c r="BQ70" s="203"/>
      <c r="BR70" s="211"/>
      <c r="BS70" s="211"/>
      <c r="BT70" s="211"/>
      <c r="BU70" s="211"/>
      <c r="BV70" s="211"/>
      <c r="BW70" s="211"/>
      <c r="BX70" s="211"/>
      <c r="BY70" s="211"/>
      <c r="BZ70" s="211"/>
      <c r="CA70" s="211"/>
      <c r="CB70" s="211"/>
      <c r="CC70" s="211"/>
      <c r="CD70" s="211"/>
      <c r="CE70" s="211"/>
      <c r="CF70" s="211"/>
      <c r="CG70" s="211"/>
      <c r="CH70" s="211"/>
      <c r="CI70" s="211"/>
      <c r="CJ70" s="62"/>
    </row>
    <row r="71" s="61" customFormat="1" ht="16" customHeight="1" spans="1:88">
      <c r="A71" s="269" t="s">
        <v>696</v>
      </c>
      <c r="B71" s="77">
        <f>(SUM(AP9:AP12)+I56)*初始化表!E22</f>
        <v>0</v>
      </c>
      <c r="C71" s="77" t="e">
        <f t="shared" si="89"/>
        <v>#DIV/0!</v>
      </c>
      <c r="D71" s="327"/>
      <c r="E71" s="328" t="s">
        <v>697</v>
      </c>
      <c r="F71" s="236" t="e">
        <f>F64</f>
        <v>#DIV/0!</v>
      </c>
      <c r="G71" s="73"/>
      <c r="H71" s="270" t="str">
        <f>H66</f>
        <v>产品4</v>
      </c>
      <c r="I71" s="77">
        <f t="shared" si="88"/>
        <v>0</v>
      </c>
      <c r="J71" s="77">
        <f t="shared" si="88"/>
        <v>0</v>
      </c>
      <c r="K71" s="77">
        <f t="shared" si="88"/>
        <v>0</v>
      </c>
      <c r="L71" s="77">
        <f t="shared" si="88"/>
        <v>0</v>
      </c>
      <c r="M71" s="242">
        <f>SUM(I66:L66)</f>
        <v>0</v>
      </c>
      <c r="N71" s="117" t="s">
        <v>208</v>
      </c>
      <c r="O71" s="118">
        <f>IF(第5期!$AI$9=0,15,ABS((V26-第5期!V26)/((V20-第5期!V20)-IF(第5期!$J9&gt;0,5,0))))</f>
        <v>15</v>
      </c>
      <c r="P71" s="118">
        <f>IF(第5期!$AI$9=0,15,ABS((W26-第5期!W26)/((W20-第5期!W20)-IF(第5期!$J9&gt;0,5,0))))</f>
        <v>15</v>
      </c>
      <c r="Q71" s="118">
        <f>IF(第5期!$AI$9=0,15,ABS((X26-第5期!X26)/((X20-第5期!X20)-IF(第5期!$J9&gt;0,5,0))))</f>
        <v>15</v>
      </c>
      <c r="R71" s="118">
        <f>IF(第5期!$AI$9=0,15,ABS((Y26-第5期!Y26)/((Y20-第5期!Y20)-IF(第5期!$J9&gt;0,5,0))))</f>
        <v>15</v>
      </c>
      <c r="S71" s="74"/>
      <c r="T71" s="120"/>
      <c r="U71" s="68" t="s">
        <v>656</v>
      </c>
      <c r="V71" s="68" t="s">
        <v>459</v>
      </c>
      <c r="W71" s="68" t="s">
        <v>460</v>
      </c>
      <c r="X71" s="68" t="s">
        <v>461</v>
      </c>
      <c r="Y71" s="68" t="s">
        <v>462</v>
      </c>
      <c r="Z71" s="74"/>
      <c r="AA71" s="73"/>
      <c r="AB71" s="74"/>
      <c r="AC71" s="74"/>
      <c r="AD71" s="74"/>
      <c r="AE71" s="74"/>
      <c r="AF71" s="74"/>
      <c r="AG71" s="74"/>
      <c r="AH71" s="73"/>
      <c r="AI71" s="367"/>
      <c r="AJ71" s="362"/>
      <c r="AK71" s="362"/>
      <c r="AL71" s="362"/>
      <c r="AM71" s="362"/>
      <c r="AN71" s="362"/>
      <c r="AO71" s="362"/>
      <c r="AP71" s="362"/>
      <c r="AQ71" s="362"/>
      <c r="AR71" s="362"/>
      <c r="AS71" s="362"/>
      <c r="AT71" s="362"/>
      <c r="AU71" s="362"/>
      <c r="AV71" s="362"/>
      <c r="AW71" s="362"/>
      <c r="AX71" s="362"/>
      <c r="AY71" s="362"/>
      <c r="AZ71" s="193"/>
      <c r="BA71" s="195">
        <f t="shared" si="79"/>
        <v>0</v>
      </c>
      <c r="BB71" s="205">
        <f>IF(BT22=1,AL124/(第5期!AP124/2+AP124),0)</f>
        <v>0</v>
      </c>
      <c r="BC71" s="203"/>
      <c r="BD71" s="194">
        <f t="shared" si="80"/>
        <v>0</v>
      </c>
      <c r="BE71" s="209" t="e">
        <f t="shared" ref="BE71:BH73" si="90">BB48/$BE$31</f>
        <v>#DIV/0!</v>
      </c>
      <c r="BF71" s="209" t="e">
        <f t="shared" si="90"/>
        <v>#DIV/0!</v>
      </c>
      <c r="BG71" s="209" t="e">
        <f t="shared" si="90"/>
        <v>#DIV/0!</v>
      </c>
      <c r="BH71" s="209" t="e">
        <f t="shared" si="90"/>
        <v>#DIV/0!</v>
      </c>
      <c r="BI71" s="203"/>
      <c r="BJ71" s="203"/>
      <c r="BK71" s="203"/>
      <c r="BL71" s="203"/>
      <c r="BM71" s="203"/>
      <c r="BN71" s="203"/>
      <c r="BO71" s="203"/>
      <c r="BP71" s="203"/>
      <c r="BQ71" s="203"/>
      <c r="BR71" s="211"/>
      <c r="BS71" s="211"/>
      <c r="BT71" s="211"/>
      <c r="BU71" s="211"/>
      <c r="BV71" s="211"/>
      <c r="BW71" s="211"/>
      <c r="BX71" s="211"/>
      <c r="BY71" s="211"/>
      <c r="BZ71" s="211"/>
      <c r="CA71" s="211"/>
      <c r="CB71" s="211"/>
      <c r="CC71" s="211"/>
      <c r="CD71" s="211"/>
      <c r="CE71" s="211"/>
      <c r="CF71" s="211"/>
      <c r="CG71" s="211"/>
      <c r="CH71" s="211"/>
      <c r="CI71" s="211"/>
      <c r="CJ71" s="62"/>
    </row>
    <row r="72" s="61" customFormat="1" ht="16" customHeight="1" spans="1:88">
      <c r="A72" s="269" t="s">
        <v>699</v>
      </c>
      <c r="B72" s="77">
        <f>(SUM(AP13:AP16)+J56)*初始化表!F22</f>
        <v>0</v>
      </c>
      <c r="C72" s="77" t="e">
        <f t="shared" si="89"/>
        <v>#DIV/0!</v>
      </c>
      <c r="D72" s="327"/>
      <c r="E72" s="328" t="s">
        <v>457</v>
      </c>
      <c r="F72" s="236" t="e">
        <f>B77</f>
        <v>#DIV/0!</v>
      </c>
      <c r="G72" s="73"/>
      <c r="H72" s="270" t="str">
        <f t="shared" ref="H72:L76" si="91">U41</f>
        <v>本期待销</v>
      </c>
      <c r="I72" s="270" t="str">
        <f t="shared" si="91"/>
        <v>市场1</v>
      </c>
      <c r="J72" s="270" t="str">
        <f t="shared" si="91"/>
        <v>市场2</v>
      </c>
      <c r="K72" s="270" t="str">
        <f t="shared" si="91"/>
        <v>市场3</v>
      </c>
      <c r="L72" s="270" t="str">
        <f t="shared" si="91"/>
        <v>市场4</v>
      </c>
      <c r="M72" s="378" t="s">
        <v>700</v>
      </c>
      <c r="N72" s="117" t="s">
        <v>720</v>
      </c>
      <c r="O72" s="117" t="s">
        <v>38</v>
      </c>
      <c r="P72" s="117" t="s">
        <v>39</v>
      </c>
      <c r="Q72" s="117" t="s">
        <v>40</v>
      </c>
      <c r="R72" s="117" t="s">
        <v>41</v>
      </c>
      <c r="S72" s="117" t="s">
        <v>721</v>
      </c>
      <c r="T72" s="120"/>
      <c r="U72" s="68" t="s">
        <v>464</v>
      </c>
      <c r="V72" s="248" t="e">
        <f t="shared" ref="V72:Y75" si="92">INT(IF(IF(B6&lt;V23,(1+((V23-B6)/V23+O10)*15)*IF($F17&gt;$L6,1.1,1)*V17,(1+((V23-B6)/V23+O10)*5)*IF($F17&gt;$L6,1.1,1)*V17)&gt;0,IF(B6&lt;V23,(1+((V23-B6)/V23+O10)*15)*IF($F17&gt;$L6,1.1,1)*V17,(1+((V23-B6)/V23+O10)*5)*IF($F17&gt;$L6,1.1,1)*V17),0))</f>
        <v>#DIV/0!</v>
      </c>
      <c r="W72" s="248" t="e">
        <f t="shared" si="92"/>
        <v>#DIV/0!</v>
      </c>
      <c r="X72" s="248" t="e">
        <f t="shared" si="92"/>
        <v>#DIV/0!</v>
      </c>
      <c r="Y72" s="248" t="e">
        <f t="shared" si="92"/>
        <v>#DIV/0!</v>
      </c>
      <c r="Z72" s="249"/>
      <c r="AA72" s="254"/>
      <c r="AB72" s="249"/>
      <c r="AC72" s="68" t="s">
        <v>673</v>
      </c>
      <c r="AD72" s="68" t="s">
        <v>459</v>
      </c>
      <c r="AE72" s="68" t="s">
        <v>460</v>
      </c>
      <c r="AF72" s="68" t="s">
        <v>461</v>
      </c>
      <c r="AG72" s="68" t="s">
        <v>462</v>
      </c>
      <c r="AH72" s="73"/>
      <c r="AI72" s="367"/>
      <c r="AJ72" s="362"/>
      <c r="AK72" s="362"/>
      <c r="AL72" s="362"/>
      <c r="AM72" s="362"/>
      <c r="AN72" s="362"/>
      <c r="AO72" s="362"/>
      <c r="AP72" s="362"/>
      <c r="AQ72" s="362"/>
      <c r="AR72" s="362"/>
      <c r="AS72" s="362"/>
      <c r="AT72" s="362"/>
      <c r="AU72" s="362"/>
      <c r="AV72" s="362"/>
      <c r="AW72" s="362"/>
      <c r="AX72" s="362"/>
      <c r="AY72" s="362"/>
      <c r="AZ72" s="193"/>
      <c r="BA72" s="195">
        <f t="shared" si="79"/>
        <v>0</v>
      </c>
      <c r="BB72" s="205">
        <f>IF(BT23=1,AL125/(第5期!AP125/2+AP125),0)</f>
        <v>0</v>
      </c>
      <c r="BC72" s="203"/>
      <c r="BD72" s="194">
        <f t="shared" si="80"/>
        <v>0</v>
      </c>
      <c r="BE72" s="209" t="e">
        <f t="shared" si="90"/>
        <v>#DIV/0!</v>
      </c>
      <c r="BF72" s="209" t="e">
        <f t="shared" si="90"/>
        <v>#DIV/0!</v>
      </c>
      <c r="BG72" s="209" t="e">
        <f t="shared" si="90"/>
        <v>#DIV/0!</v>
      </c>
      <c r="BH72" s="209" t="e">
        <f t="shared" si="90"/>
        <v>#DIV/0!</v>
      </c>
      <c r="BI72" s="203"/>
      <c r="BJ72" s="203"/>
      <c r="BK72" s="203"/>
      <c r="BL72" s="203"/>
      <c r="BM72" s="203"/>
      <c r="BN72" s="203"/>
      <c r="BO72" s="203"/>
      <c r="BP72" s="203"/>
      <c r="BQ72" s="203"/>
      <c r="BR72" s="211"/>
      <c r="BS72" s="211"/>
      <c r="BT72" s="211"/>
      <c r="BU72" s="211"/>
      <c r="BV72" s="211"/>
      <c r="BW72" s="211"/>
      <c r="BX72" s="211"/>
      <c r="BY72" s="211"/>
      <c r="BZ72" s="211"/>
      <c r="CA72" s="211"/>
      <c r="CB72" s="211"/>
      <c r="CC72" s="211"/>
      <c r="CD72" s="211"/>
      <c r="CE72" s="211"/>
      <c r="CF72" s="211"/>
      <c r="CG72" s="211"/>
      <c r="CH72" s="211"/>
      <c r="CI72" s="211"/>
      <c r="CJ72" s="62"/>
    </row>
    <row r="73" s="61" customFormat="1" ht="16" customHeight="1" spans="1:88">
      <c r="A73" s="269" t="s">
        <v>701</v>
      </c>
      <c r="B73" s="77">
        <f>(SUM(AP17:AP20)+K56)*初始化表!G22</f>
        <v>0</v>
      </c>
      <c r="C73" s="77" t="e">
        <f t="shared" si="89"/>
        <v>#DIV/0!</v>
      </c>
      <c r="D73" s="327"/>
      <c r="E73" s="328" t="s">
        <v>463</v>
      </c>
      <c r="F73" s="236">
        <f>MAX(P33-B24,0)</f>
        <v>0</v>
      </c>
      <c r="G73" s="73"/>
      <c r="H73" s="270" t="str">
        <f t="shared" si="91"/>
        <v>产品1</v>
      </c>
      <c r="I73" s="77">
        <f t="shared" si="91"/>
        <v>0</v>
      </c>
      <c r="J73" s="77">
        <f t="shared" si="91"/>
        <v>0</v>
      </c>
      <c r="K73" s="77">
        <f t="shared" si="91"/>
        <v>0</v>
      </c>
      <c r="L73" s="77">
        <f t="shared" si="91"/>
        <v>0</v>
      </c>
      <c r="M73" s="243" t="e">
        <f>INT((M68-Z5)/初始化表!$B$4)</f>
        <v>#DIV/0!</v>
      </c>
      <c r="N73" s="117" t="s">
        <v>198</v>
      </c>
      <c r="O73" s="244">
        <f>V42-IF(V17=0,第5期!I73,V17)</f>
        <v>0</v>
      </c>
      <c r="P73" s="244">
        <f>W42-IF(W17=0,第5期!J73,W17)</f>
        <v>0</v>
      </c>
      <c r="Q73" s="244">
        <f>X42-IF(X17=0,第5期!K73,X17)</f>
        <v>0</v>
      </c>
      <c r="R73" s="244">
        <f>Y42-IF(Y17=0,第5期!L73,Y17)</f>
        <v>0</v>
      </c>
      <c r="S73" s="244">
        <f>IF(I85=0,0,ABS(P85-O85)/ABS(I85-J85))</f>
        <v>0</v>
      </c>
      <c r="T73" s="120"/>
      <c r="U73" s="68" t="s">
        <v>465</v>
      </c>
      <c r="V73" s="248" t="e">
        <f t="shared" si="92"/>
        <v>#DIV/0!</v>
      </c>
      <c r="W73" s="248" t="e">
        <f t="shared" si="92"/>
        <v>#DIV/0!</v>
      </c>
      <c r="X73" s="248" t="e">
        <f t="shared" si="92"/>
        <v>#DIV/0!</v>
      </c>
      <c r="Y73" s="248" t="e">
        <f t="shared" si="92"/>
        <v>#DIV/0!</v>
      </c>
      <c r="Z73" s="249"/>
      <c r="AA73" s="254"/>
      <c r="AB73" s="249"/>
      <c r="AC73" s="68" t="s">
        <v>464</v>
      </c>
      <c r="AD73" s="248" t="e">
        <f t="shared" ref="AD73:AG76" si="93">IF(V42&gt;V72,V42-V72,0)</f>
        <v>#DIV/0!</v>
      </c>
      <c r="AE73" s="248" t="e">
        <f t="shared" si="93"/>
        <v>#DIV/0!</v>
      </c>
      <c r="AF73" s="248" t="e">
        <f t="shared" si="93"/>
        <v>#DIV/0!</v>
      </c>
      <c r="AG73" s="248" t="e">
        <f t="shared" si="93"/>
        <v>#DIV/0!</v>
      </c>
      <c r="AH73" s="73"/>
      <c r="AI73" s="367"/>
      <c r="AJ73" s="362"/>
      <c r="AK73" s="362"/>
      <c r="AL73" s="362"/>
      <c r="AM73" s="362"/>
      <c r="AN73" s="362"/>
      <c r="AO73" s="362"/>
      <c r="AP73" s="362"/>
      <c r="AQ73" s="362"/>
      <c r="AR73" s="362"/>
      <c r="AS73" s="362"/>
      <c r="AT73" s="362"/>
      <c r="AU73" s="362"/>
      <c r="AV73" s="362"/>
      <c r="AW73" s="362"/>
      <c r="AX73" s="362"/>
      <c r="AY73" s="362"/>
      <c r="AZ73" s="193"/>
      <c r="BA73" s="195">
        <f t="shared" si="79"/>
        <v>0</v>
      </c>
      <c r="BB73" s="205">
        <f>IF(BT24=1,AL126/(第5期!AP126/2+AP126),0)</f>
        <v>0</v>
      </c>
      <c r="BC73" s="203"/>
      <c r="BD73" s="194">
        <f t="shared" si="80"/>
        <v>0</v>
      </c>
      <c r="BE73" s="209" t="e">
        <f t="shared" si="90"/>
        <v>#DIV/0!</v>
      </c>
      <c r="BF73" s="209" t="e">
        <f t="shared" si="90"/>
        <v>#DIV/0!</v>
      </c>
      <c r="BG73" s="209" t="e">
        <f t="shared" si="90"/>
        <v>#DIV/0!</v>
      </c>
      <c r="BH73" s="209" t="e">
        <f t="shared" si="90"/>
        <v>#DIV/0!</v>
      </c>
      <c r="BI73" s="203"/>
      <c r="BJ73" s="203"/>
      <c r="BK73" s="203"/>
      <c r="BL73" s="203"/>
      <c r="BM73" s="203"/>
      <c r="BN73" s="203"/>
      <c r="BO73" s="203"/>
      <c r="BP73" s="203"/>
      <c r="BQ73" s="203"/>
      <c r="BR73" s="211"/>
      <c r="BS73" s="211"/>
      <c r="BT73" s="211"/>
      <c r="BU73" s="211"/>
      <c r="BV73" s="211"/>
      <c r="BW73" s="211"/>
      <c r="BX73" s="211"/>
      <c r="BY73" s="211"/>
      <c r="BZ73" s="211"/>
      <c r="CA73" s="211"/>
      <c r="CB73" s="211"/>
      <c r="CC73" s="211"/>
      <c r="CD73" s="211"/>
      <c r="CE73" s="211"/>
      <c r="CF73" s="211"/>
      <c r="CG73" s="211"/>
      <c r="CH73" s="211"/>
      <c r="CI73" s="211"/>
      <c r="CJ73" s="62"/>
    </row>
    <row r="74" s="61" customFormat="1" ht="16" customHeight="1" spans="1:88">
      <c r="A74" s="269" t="s">
        <v>702</v>
      </c>
      <c r="B74" s="77">
        <f>(SUM(AP21:AP24)+L56)*初始化表!H22</f>
        <v>0</v>
      </c>
      <c r="C74" s="77" t="e">
        <f t="shared" si="89"/>
        <v>#DIV/0!</v>
      </c>
      <c r="D74" s="327"/>
      <c r="E74" s="328" t="s">
        <v>703</v>
      </c>
      <c r="F74" s="236">
        <f>D24</f>
        <v>0</v>
      </c>
      <c r="G74" s="73"/>
      <c r="H74" s="270" t="str">
        <f t="shared" si="91"/>
        <v>产品2</v>
      </c>
      <c r="I74" s="77">
        <f t="shared" si="91"/>
        <v>0</v>
      </c>
      <c r="J74" s="77">
        <f t="shared" si="91"/>
        <v>0</v>
      </c>
      <c r="K74" s="77">
        <f t="shared" si="91"/>
        <v>0</v>
      </c>
      <c r="L74" s="77">
        <f t="shared" si="91"/>
        <v>0</v>
      </c>
      <c r="M74" s="243" t="e">
        <f>INT((M69-Z6)/初始化表!$B$4)</f>
        <v>#DIV/0!</v>
      </c>
      <c r="N74" s="117" t="s">
        <v>202</v>
      </c>
      <c r="O74" s="244">
        <f>V43-IF(V18=0,第5期!I74,V18)</f>
        <v>0</v>
      </c>
      <c r="P74" s="244">
        <f>W43-IF(W18=0,第5期!J74,W18)</f>
        <v>0</v>
      </c>
      <c r="Q74" s="244">
        <f>X43-IF(X18=0,第5期!K74,X18)</f>
        <v>0</v>
      </c>
      <c r="R74" s="244">
        <f>Y43-IF(Y18=0,第5期!L74,Y18)</f>
        <v>0</v>
      </c>
      <c r="S74" s="244">
        <f>IF(I86=0,0,ABS(P86-O86)/ABS(I86-J86))</f>
        <v>0</v>
      </c>
      <c r="T74" s="120"/>
      <c r="U74" s="68" t="s">
        <v>466</v>
      </c>
      <c r="V74" s="248" t="e">
        <f t="shared" si="92"/>
        <v>#DIV/0!</v>
      </c>
      <c r="W74" s="248" t="e">
        <f t="shared" si="92"/>
        <v>#DIV/0!</v>
      </c>
      <c r="X74" s="248" t="e">
        <f t="shared" si="92"/>
        <v>#DIV/0!</v>
      </c>
      <c r="Y74" s="248" t="e">
        <f t="shared" si="92"/>
        <v>#DIV/0!</v>
      </c>
      <c r="Z74" s="249"/>
      <c r="AA74" s="254"/>
      <c r="AB74" s="249"/>
      <c r="AC74" s="68" t="s">
        <v>465</v>
      </c>
      <c r="AD74" s="248" t="e">
        <f t="shared" si="93"/>
        <v>#DIV/0!</v>
      </c>
      <c r="AE74" s="248" t="e">
        <f t="shared" si="93"/>
        <v>#DIV/0!</v>
      </c>
      <c r="AF74" s="248" t="e">
        <f t="shared" si="93"/>
        <v>#DIV/0!</v>
      </c>
      <c r="AG74" s="248" t="e">
        <f t="shared" si="93"/>
        <v>#DIV/0!</v>
      </c>
      <c r="AH74" s="73"/>
      <c r="AI74" s="367"/>
      <c r="AJ74" s="362"/>
      <c r="AK74" s="362"/>
      <c r="AL74" s="362"/>
      <c r="AM74" s="362"/>
      <c r="AN74" s="362"/>
      <c r="AO74" s="362"/>
      <c r="AP74" s="362"/>
      <c r="AQ74" s="362"/>
      <c r="AR74" s="362"/>
      <c r="AS74" s="362"/>
      <c r="AT74" s="362"/>
      <c r="AU74" s="362"/>
      <c r="AV74" s="362"/>
      <c r="AW74" s="362"/>
      <c r="AX74" s="362"/>
      <c r="AY74" s="362"/>
      <c r="AZ74" s="193"/>
      <c r="BA74" s="203"/>
      <c r="BB74" s="203"/>
      <c r="BC74" s="203"/>
      <c r="BD74" s="203"/>
      <c r="BE74" s="203"/>
      <c r="BF74" s="203"/>
      <c r="BG74" s="203"/>
      <c r="BH74" s="203"/>
      <c r="BI74" s="203"/>
      <c r="BJ74" s="203"/>
      <c r="BK74" s="203"/>
      <c r="BL74" s="203"/>
      <c r="BM74" s="203"/>
      <c r="BN74" s="203"/>
      <c r="BO74" s="203"/>
      <c r="BP74" s="203"/>
      <c r="BQ74" s="203"/>
      <c r="BR74" s="211"/>
      <c r="BS74" s="211"/>
      <c r="BT74" s="211"/>
      <c r="BU74" s="211"/>
      <c r="BV74" s="211"/>
      <c r="BW74" s="211"/>
      <c r="BX74" s="211"/>
      <c r="BY74" s="211"/>
      <c r="BZ74" s="211"/>
      <c r="CA74" s="211"/>
      <c r="CB74" s="211"/>
      <c r="CC74" s="211"/>
      <c r="CD74" s="211"/>
      <c r="CE74" s="211"/>
      <c r="CF74" s="211"/>
      <c r="CG74" s="211"/>
      <c r="CH74" s="211"/>
      <c r="CI74" s="211"/>
      <c r="CJ74" s="62"/>
    </row>
    <row r="75" s="61" customFormat="1" ht="16" customHeight="1" spans="1:88">
      <c r="A75" s="269" t="s">
        <v>442</v>
      </c>
      <c r="B75" s="77">
        <f>SUM(F17:F20)/2</f>
        <v>0</v>
      </c>
      <c r="C75" s="77" t="e">
        <f t="shared" si="89"/>
        <v>#DIV/0!</v>
      </c>
      <c r="D75" s="327"/>
      <c r="E75" s="328" t="s">
        <v>704</v>
      </c>
      <c r="F75" s="236">
        <f>B78</f>
        <v>0</v>
      </c>
      <c r="G75" s="73"/>
      <c r="H75" s="270" t="str">
        <f t="shared" si="91"/>
        <v>产品3</v>
      </c>
      <c r="I75" s="77">
        <f t="shared" si="91"/>
        <v>0</v>
      </c>
      <c r="J75" s="77">
        <f t="shared" si="91"/>
        <v>0</v>
      </c>
      <c r="K75" s="77">
        <f t="shared" si="91"/>
        <v>0</v>
      </c>
      <c r="L75" s="77">
        <f t="shared" si="91"/>
        <v>0</v>
      </c>
      <c r="M75" s="243" t="e">
        <f>INT((M70-Z7)/初始化表!$B$4)</f>
        <v>#DIV/0!</v>
      </c>
      <c r="N75" s="117" t="s">
        <v>206</v>
      </c>
      <c r="O75" s="244">
        <f>V44-IF(V19=0,第5期!I75,V19)</f>
        <v>0</v>
      </c>
      <c r="P75" s="244">
        <f>W44-IF(W19=0,第5期!J75,W19)</f>
        <v>0</v>
      </c>
      <c r="Q75" s="244">
        <f>X44-IF(X19=0,第5期!K75,X19)</f>
        <v>0</v>
      </c>
      <c r="R75" s="244">
        <f>Y44-IF(Y19=0,第5期!L75,Y19)</f>
        <v>0</v>
      </c>
      <c r="S75" s="244">
        <f t="shared" ref="S75:S76" si="94">IF(I87=0,0,ABS(P87-O87)/ABS(I87-J87))</f>
        <v>0</v>
      </c>
      <c r="T75" s="120"/>
      <c r="U75" s="68" t="s">
        <v>468</v>
      </c>
      <c r="V75" s="248" t="e">
        <f t="shared" si="92"/>
        <v>#DIV/0!</v>
      </c>
      <c r="W75" s="248" t="e">
        <f t="shared" si="92"/>
        <v>#DIV/0!</v>
      </c>
      <c r="X75" s="248" t="e">
        <f t="shared" si="92"/>
        <v>#DIV/0!</v>
      </c>
      <c r="Y75" s="248" t="e">
        <f t="shared" si="92"/>
        <v>#DIV/0!</v>
      </c>
      <c r="Z75" s="249"/>
      <c r="AA75" s="254"/>
      <c r="AB75" s="249"/>
      <c r="AC75" s="68" t="s">
        <v>466</v>
      </c>
      <c r="AD75" s="248" t="e">
        <f t="shared" si="93"/>
        <v>#DIV/0!</v>
      </c>
      <c r="AE75" s="248" t="e">
        <f t="shared" si="93"/>
        <v>#DIV/0!</v>
      </c>
      <c r="AF75" s="248" t="e">
        <f t="shared" si="93"/>
        <v>#DIV/0!</v>
      </c>
      <c r="AG75" s="248" t="e">
        <f t="shared" si="93"/>
        <v>#DIV/0!</v>
      </c>
      <c r="AH75" s="73"/>
      <c r="AI75" s="367"/>
      <c r="AJ75" s="362"/>
      <c r="AK75" s="362"/>
      <c r="AL75" s="362"/>
      <c r="AM75" s="362"/>
      <c r="AN75" s="362"/>
      <c r="AO75" s="362"/>
      <c r="AP75" s="362"/>
      <c r="AQ75" s="362"/>
      <c r="AR75" s="362"/>
      <c r="AS75" s="362"/>
      <c r="AT75" s="362"/>
      <c r="AU75" s="362"/>
      <c r="AV75" s="362"/>
      <c r="AW75" s="362"/>
      <c r="AX75" s="362"/>
      <c r="AY75" s="362"/>
      <c r="AZ75" s="193"/>
      <c r="BA75" s="203"/>
      <c r="BB75" s="203"/>
      <c r="BC75" s="203"/>
      <c r="BD75" s="203"/>
      <c r="BE75" s="203"/>
      <c r="BF75" s="203"/>
      <c r="BG75" s="203"/>
      <c r="BH75" s="203"/>
      <c r="BI75" s="203"/>
      <c r="BJ75" s="203"/>
      <c r="BK75" s="203"/>
      <c r="BL75" s="203"/>
      <c r="BM75" s="203"/>
      <c r="BN75" s="203"/>
      <c r="BO75" s="203"/>
      <c r="BP75" s="203"/>
      <c r="BQ75" s="203"/>
      <c r="BR75" s="211"/>
      <c r="BS75" s="211"/>
      <c r="BT75" s="211"/>
      <c r="BU75" s="211"/>
      <c r="BV75" s="211"/>
      <c r="BW75" s="211"/>
      <c r="BX75" s="211"/>
      <c r="BY75" s="211"/>
      <c r="BZ75" s="211"/>
      <c r="CA75" s="211"/>
      <c r="CB75" s="211"/>
      <c r="CC75" s="211"/>
      <c r="CD75" s="211"/>
      <c r="CE75" s="211"/>
      <c r="CF75" s="211"/>
      <c r="CG75" s="211"/>
      <c r="CH75" s="211"/>
      <c r="CI75" s="211"/>
      <c r="CJ75" s="62"/>
    </row>
    <row r="76" s="61" customFormat="1" ht="16" customHeight="1" spans="1:88">
      <c r="A76" s="269" t="s">
        <v>443</v>
      </c>
      <c r="B76" s="77" t="e">
        <f>O49*初始化表!B8</f>
        <v>#DIV/0!</v>
      </c>
      <c r="C76" s="77" t="e">
        <f t="shared" si="89"/>
        <v>#DIV/0!</v>
      </c>
      <c r="D76" s="327"/>
      <c r="E76" s="328" t="s">
        <v>467</v>
      </c>
      <c r="F76" s="236">
        <f>SUM(I6:I9,F17:F20)</f>
        <v>0</v>
      </c>
      <c r="G76" s="73"/>
      <c r="H76" s="270" t="str">
        <f t="shared" si="91"/>
        <v>产品4</v>
      </c>
      <c r="I76" s="77">
        <f t="shared" si="91"/>
        <v>0</v>
      </c>
      <c r="J76" s="77">
        <f t="shared" si="91"/>
        <v>0</v>
      </c>
      <c r="K76" s="77">
        <f t="shared" si="91"/>
        <v>0</v>
      </c>
      <c r="L76" s="77">
        <f t="shared" si="91"/>
        <v>0</v>
      </c>
      <c r="M76" s="243" t="e">
        <f>INT((M71-Z8)/初始化表!$B$4)</f>
        <v>#DIV/0!</v>
      </c>
      <c r="N76" s="117" t="s">
        <v>208</v>
      </c>
      <c r="O76" s="244">
        <f>V45-IF(V20=0,第5期!I76,V20)</f>
        <v>0</v>
      </c>
      <c r="P76" s="244">
        <f>W45-IF(W20=0,第5期!J76,W20)</f>
        <v>0</v>
      </c>
      <c r="Q76" s="244">
        <f>X45-IF(X20=0,第5期!K76,X20)</f>
        <v>0</v>
      </c>
      <c r="R76" s="244">
        <f>Y45-IF(Y20=0,第5期!L76,Y20)</f>
        <v>0</v>
      </c>
      <c r="S76" s="244">
        <f t="shared" si="94"/>
        <v>0</v>
      </c>
      <c r="T76" s="120"/>
      <c r="U76" s="297"/>
      <c r="V76" s="379"/>
      <c r="W76" s="379"/>
      <c r="X76" s="379"/>
      <c r="Y76" s="379"/>
      <c r="Z76" s="249"/>
      <c r="AA76" s="254"/>
      <c r="AB76" s="249"/>
      <c r="AC76" s="68" t="s">
        <v>468</v>
      </c>
      <c r="AD76" s="248" t="e">
        <f t="shared" si="93"/>
        <v>#DIV/0!</v>
      </c>
      <c r="AE76" s="248" t="e">
        <f t="shared" si="93"/>
        <v>#DIV/0!</v>
      </c>
      <c r="AF76" s="248" t="e">
        <f t="shared" si="93"/>
        <v>#DIV/0!</v>
      </c>
      <c r="AG76" s="248" t="e">
        <f t="shared" si="93"/>
        <v>#DIV/0!</v>
      </c>
      <c r="AH76" s="73"/>
      <c r="AI76" s="367"/>
      <c r="AJ76" s="362"/>
      <c r="AK76" s="362"/>
      <c r="AL76" s="362"/>
      <c r="AM76" s="362"/>
      <c r="AN76" s="362"/>
      <c r="AO76" s="362"/>
      <c r="AP76" s="362"/>
      <c r="AQ76" s="362"/>
      <c r="AR76" s="362"/>
      <c r="AS76" s="362"/>
      <c r="AT76" s="362"/>
      <c r="AU76" s="362"/>
      <c r="AV76" s="362"/>
      <c r="AW76" s="362"/>
      <c r="AX76" s="362"/>
      <c r="AY76" s="362"/>
      <c r="AZ76" s="193"/>
      <c r="BA76" s="203"/>
      <c r="BB76" s="203"/>
      <c r="BC76" s="203"/>
      <c r="BD76" s="203"/>
      <c r="BE76" s="203"/>
      <c r="BF76" s="203"/>
      <c r="BG76" s="203"/>
      <c r="BH76" s="203"/>
      <c r="BI76" s="203"/>
      <c r="BJ76" s="203"/>
      <c r="BK76" s="203"/>
      <c r="BL76" s="203"/>
      <c r="BM76" s="203"/>
      <c r="BN76" s="203"/>
      <c r="BO76" s="203"/>
      <c r="BP76" s="203"/>
      <c r="BQ76" s="203"/>
      <c r="BR76" s="211"/>
      <c r="BS76" s="211"/>
      <c r="BT76" s="211"/>
      <c r="BU76" s="211"/>
      <c r="BV76" s="211"/>
      <c r="BW76" s="211"/>
      <c r="BX76" s="211"/>
      <c r="BY76" s="211"/>
      <c r="BZ76" s="211"/>
      <c r="CA76" s="211"/>
      <c r="CB76" s="211"/>
      <c r="CC76" s="211"/>
      <c r="CD76" s="211"/>
      <c r="CE76" s="211"/>
      <c r="CF76" s="211"/>
      <c r="CG76" s="211"/>
      <c r="CH76" s="211"/>
      <c r="CI76" s="211"/>
      <c r="CJ76" s="62"/>
    </row>
    <row r="77" s="61" customFormat="1" ht="16" customHeight="1" spans="1:88">
      <c r="A77" s="269" t="s">
        <v>444</v>
      </c>
      <c r="B77" s="77" t="e">
        <f>第5期!B77-C51</f>
        <v>#DIV/0!</v>
      </c>
      <c r="C77" s="77" t="e">
        <f>C76-B77</f>
        <v>#DIV/0!</v>
      </c>
      <c r="D77" s="327"/>
      <c r="E77" s="328" t="s">
        <v>255</v>
      </c>
      <c r="F77" s="236" t="e">
        <f>D56-E60</f>
        <v>#DIV/0!</v>
      </c>
      <c r="G77" s="73"/>
      <c r="H77" s="269" t="s">
        <v>722</v>
      </c>
      <c r="I77" s="269"/>
      <c r="J77" s="269"/>
      <c r="K77" s="269"/>
      <c r="L77" s="269"/>
      <c r="M77" s="269" t="s">
        <v>723</v>
      </c>
      <c r="N77" s="117" t="s">
        <v>730</v>
      </c>
      <c r="O77" s="117" t="s">
        <v>38</v>
      </c>
      <c r="P77" s="117" t="s">
        <v>39</v>
      </c>
      <c r="Q77" s="117" t="s">
        <v>40</v>
      </c>
      <c r="R77" s="117" t="s">
        <v>41</v>
      </c>
      <c r="S77" s="340" t="s">
        <v>747</v>
      </c>
      <c r="T77" s="120"/>
      <c r="U77" s="249"/>
      <c r="V77" s="249"/>
      <c r="W77" s="249"/>
      <c r="X77" s="249"/>
      <c r="Y77" s="249"/>
      <c r="Z77" s="249"/>
      <c r="AA77" s="254"/>
      <c r="AB77" s="249"/>
      <c r="AC77" s="249"/>
      <c r="AD77" s="249"/>
      <c r="AE77" s="249"/>
      <c r="AF77" s="249"/>
      <c r="AG77" s="249"/>
      <c r="AH77" s="73"/>
      <c r="AI77" s="367"/>
      <c r="AJ77" s="362"/>
      <c r="AK77" s="362"/>
      <c r="AL77" s="362"/>
      <c r="AM77" s="362"/>
      <c r="AN77" s="362"/>
      <c r="AO77" s="362"/>
      <c r="AP77" s="362"/>
      <c r="AQ77" s="362"/>
      <c r="AR77" s="362"/>
      <c r="AS77" s="362"/>
      <c r="AT77" s="362"/>
      <c r="AU77" s="362"/>
      <c r="AV77" s="362"/>
      <c r="AW77" s="362"/>
      <c r="AX77" s="362"/>
      <c r="AY77" s="362"/>
      <c r="AZ77" s="193"/>
      <c r="BA77" s="203"/>
      <c r="BB77" s="203"/>
      <c r="BC77" s="203"/>
      <c r="BD77" s="203"/>
      <c r="BE77" s="203"/>
      <c r="BF77" s="203"/>
      <c r="BG77" s="203"/>
      <c r="BH77" s="203"/>
      <c r="BI77" s="203"/>
      <c r="BJ77" s="203"/>
      <c r="BK77" s="203"/>
      <c r="BL77" s="203"/>
      <c r="BM77" s="203"/>
      <c r="BN77" s="203"/>
      <c r="BO77" s="203"/>
      <c r="BP77" s="203"/>
      <c r="BQ77" s="203"/>
      <c r="BR77" s="211"/>
      <c r="BS77" s="211"/>
      <c r="BT77" s="211"/>
      <c r="BU77" s="211"/>
      <c r="BV77" s="211"/>
      <c r="BW77" s="203"/>
      <c r="BX77" s="264"/>
      <c r="BY77" s="211"/>
      <c r="BZ77" s="211"/>
      <c r="CA77" s="211"/>
      <c r="CB77" s="211"/>
      <c r="CC77" s="211"/>
      <c r="CD77" s="211"/>
      <c r="CE77" s="211"/>
      <c r="CF77" s="211"/>
      <c r="CG77" s="211"/>
      <c r="CH77" s="211"/>
      <c r="CI77" s="211"/>
      <c r="CJ77" s="62"/>
    </row>
    <row r="78" s="61" customFormat="1" ht="16" customHeight="1" spans="1:88">
      <c r="A78" s="269" t="s">
        <v>310</v>
      </c>
      <c r="B78" s="71">
        <f>O35+C24+C31</f>
        <v>0</v>
      </c>
      <c r="C78" s="71" t="e">
        <f>C77-B78</f>
        <v>#DIV/0!</v>
      </c>
      <c r="D78" s="327"/>
      <c r="E78" s="328" t="s">
        <v>469</v>
      </c>
      <c r="F78" s="236" t="e">
        <f>-C61</f>
        <v>#DIV/0!</v>
      </c>
      <c r="G78" s="73"/>
      <c r="H78" s="269" t="s">
        <v>521</v>
      </c>
      <c r="I78" s="77" t="e">
        <f>第5期!BN42</f>
        <v>#DIV/0!</v>
      </c>
      <c r="J78" s="77" t="e">
        <f>第5期!BO42</f>
        <v>#DIV/0!</v>
      </c>
      <c r="K78" s="77" t="e">
        <f>第5期!BP42</f>
        <v>#DIV/0!</v>
      </c>
      <c r="L78" s="77" t="e">
        <f>第5期!BQ42</f>
        <v>#DIV/0!</v>
      </c>
      <c r="M78" s="243" t="e">
        <f>SUM(I78:L78)</f>
        <v>#DIV/0!</v>
      </c>
      <c r="N78" s="117" t="s">
        <v>198</v>
      </c>
      <c r="O78" s="244" t="e">
        <f>V23-O68*(O73-IF($J6&gt;0,10,0))</f>
        <v>#DIV/0!</v>
      </c>
      <c r="P78" s="244" t="e">
        <f t="shared" ref="P78:R79" si="95">W23-P68*(P73-IF($J6&gt;0,10,0))</f>
        <v>#DIV/0!</v>
      </c>
      <c r="Q78" s="244" t="e">
        <f t="shared" si="95"/>
        <v>#DIV/0!</v>
      </c>
      <c r="R78" s="244" t="e">
        <f t="shared" si="95"/>
        <v>#DIV/0!</v>
      </c>
      <c r="S78" s="380">
        <f>SUM(第5期!AY107:AY126)</f>
        <v>0</v>
      </c>
      <c r="T78" s="120"/>
      <c r="U78" s="68" t="s">
        <v>682</v>
      </c>
      <c r="V78" s="68" t="s">
        <v>38</v>
      </c>
      <c r="W78" s="68" t="s">
        <v>39</v>
      </c>
      <c r="X78" s="68" t="s">
        <v>40</v>
      </c>
      <c r="Y78" s="68" t="s">
        <v>41</v>
      </c>
      <c r="Z78" s="249"/>
      <c r="AA78" s="254"/>
      <c r="AB78" s="249"/>
      <c r="AC78" s="249"/>
      <c r="AD78" s="249"/>
      <c r="AE78" s="249"/>
      <c r="AF78" s="249"/>
      <c r="AG78" s="249"/>
      <c r="AH78" s="73"/>
      <c r="AI78" s="367"/>
      <c r="AJ78" s="362"/>
      <c r="AK78" s="362"/>
      <c r="AL78" s="362"/>
      <c r="AM78" s="362"/>
      <c r="AN78" s="362"/>
      <c r="AO78" s="362"/>
      <c r="AP78" s="362"/>
      <c r="AQ78" s="362"/>
      <c r="AR78" s="362"/>
      <c r="AS78" s="362"/>
      <c r="AT78" s="362"/>
      <c r="AU78" s="362"/>
      <c r="AV78" s="362"/>
      <c r="AW78" s="362"/>
      <c r="AX78" s="362"/>
      <c r="AY78" s="362"/>
      <c r="AZ78" s="193"/>
      <c r="BA78" s="203"/>
      <c r="BB78" s="203"/>
      <c r="BC78" s="203"/>
      <c r="BD78" s="203"/>
      <c r="BE78" s="203"/>
      <c r="BF78" s="203"/>
      <c r="BG78" s="203"/>
      <c r="BH78" s="203"/>
      <c r="BI78" s="203"/>
      <c r="BJ78" s="203"/>
      <c r="BK78" s="203"/>
      <c r="BL78" s="203"/>
      <c r="BM78" s="203"/>
      <c r="BN78" s="203"/>
      <c r="BO78" s="203"/>
      <c r="BP78" s="203"/>
      <c r="BQ78" s="203"/>
      <c r="BR78" s="211"/>
      <c r="BS78" s="211"/>
      <c r="BT78" s="211"/>
      <c r="BU78" s="211"/>
      <c r="BV78" s="211"/>
      <c r="BW78" s="211"/>
      <c r="BX78" s="211"/>
      <c r="BY78" s="211"/>
      <c r="BZ78" s="211"/>
      <c r="CA78" s="211"/>
      <c r="CB78" s="211"/>
      <c r="CC78" s="211"/>
      <c r="CD78" s="211"/>
      <c r="CE78" s="211"/>
      <c r="CF78" s="211"/>
      <c r="CG78" s="211"/>
      <c r="CH78" s="211"/>
      <c r="CI78" s="211"/>
      <c r="CJ78" s="62"/>
    </row>
    <row r="79" s="61" customFormat="1" ht="16" customHeight="1" spans="1:88">
      <c r="A79" s="269" t="s">
        <v>446</v>
      </c>
      <c r="B79" s="77">
        <f>-C62</f>
        <v>0</v>
      </c>
      <c r="C79" s="77" t="e">
        <f>C78+B79</f>
        <v>#DIV/0!</v>
      </c>
      <c r="D79" s="327"/>
      <c r="E79" s="328" t="s">
        <v>470</v>
      </c>
      <c r="F79" s="236" t="e">
        <f>第5期!F79*(1+初始化表!B27/4)+F78</f>
        <v>#DIV/0!</v>
      </c>
      <c r="G79" s="73"/>
      <c r="H79" s="269" t="s">
        <v>522</v>
      </c>
      <c r="I79" s="77" t="e">
        <f>第5期!BN43</f>
        <v>#DIV/0!</v>
      </c>
      <c r="J79" s="77" t="e">
        <f>第5期!BO43</f>
        <v>#DIV/0!</v>
      </c>
      <c r="K79" s="77" t="e">
        <f>第5期!BP43</f>
        <v>#DIV/0!</v>
      </c>
      <c r="L79" s="77" t="e">
        <f>第5期!BQ43</f>
        <v>#DIV/0!</v>
      </c>
      <c r="M79" s="243" t="e">
        <f>SUM(I79:L79)</f>
        <v>#DIV/0!</v>
      </c>
      <c r="N79" s="117" t="s">
        <v>202</v>
      </c>
      <c r="O79" s="244" t="e">
        <f t="shared" ref="O79" si="96">V24-O69*(O74-IF($J7&gt;0,10,0))</f>
        <v>#DIV/0!</v>
      </c>
      <c r="P79" s="244" t="e">
        <f t="shared" si="95"/>
        <v>#DIV/0!</v>
      </c>
      <c r="Q79" s="244" t="e">
        <f t="shared" si="95"/>
        <v>#DIV/0!</v>
      </c>
      <c r="R79" s="244" t="e">
        <f t="shared" si="95"/>
        <v>#DIV/0!</v>
      </c>
      <c r="S79" s="74"/>
      <c r="T79" s="120"/>
      <c r="U79" s="68" t="s">
        <v>198</v>
      </c>
      <c r="V79" s="248" t="e">
        <f>IF(V72&gt;V42,INT((V72-V42)*初始化表!E11),0)</f>
        <v>#DIV/0!</v>
      </c>
      <c r="W79" s="248" t="e">
        <f>IF(W72&gt;W42,INT((W72-W42)*初始化表!F11),0)</f>
        <v>#DIV/0!</v>
      </c>
      <c r="X79" s="248" t="e">
        <f>IF(X72&gt;X42,INT((X72-X42)*初始化表!G11),0)</f>
        <v>#DIV/0!</v>
      </c>
      <c r="Y79" s="248" t="e">
        <f>IF(Y72&gt;Y42,INT((Y72-Y42)*初始化表!H11),0)</f>
        <v>#DIV/0!</v>
      </c>
      <c r="Z79" s="249"/>
      <c r="AA79" s="254"/>
      <c r="AB79" s="249"/>
      <c r="AC79" s="249"/>
      <c r="AD79" s="249"/>
      <c r="AE79" s="249"/>
      <c r="AF79" s="249"/>
      <c r="AG79" s="249"/>
      <c r="AH79" s="73"/>
      <c r="AI79" s="367"/>
      <c r="AJ79" s="362"/>
      <c r="AK79" s="362"/>
      <c r="AL79" s="362"/>
      <c r="AM79" s="362"/>
      <c r="AN79" s="362"/>
      <c r="AO79" s="362"/>
      <c r="AP79" s="362"/>
      <c r="AQ79" s="362"/>
      <c r="AR79" s="362"/>
      <c r="AS79" s="362"/>
      <c r="AT79" s="362"/>
      <c r="AU79" s="362"/>
      <c r="AV79" s="362"/>
      <c r="AW79" s="362"/>
      <c r="AX79" s="362"/>
      <c r="AY79" s="362"/>
      <c r="AZ79" s="193"/>
      <c r="BA79" s="203"/>
      <c r="BB79" s="203"/>
      <c r="BC79" s="203"/>
      <c r="BD79" s="203"/>
      <c r="BE79" s="203"/>
      <c r="BF79" s="203"/>
      <c r="BG79" s="203"/>
      <c r="BH79" s="203"/>
      <c r="BI79" s="203"/>
      <c r="BJ79" s="203"/>
      <c r="BK79" s="203"/>
      <c r="BL79" s="203"/>
      <c r="BM79" s="203"/>
      <c r="BN79" s="203"/>
      <c r="BO79" s="203"/>
      <c r="BP79" s="203"/>
      <c r="BQ79" s="203"/>
      <c r="BR79" s="211"/>
      <c r="BS79" s="211"/>
      <c r="BT79" s="211"/>
      <c r="BU79" s="211"/>
      <c r="BV79" s="211"/>
      <c r="BW79" s="211"/>
      <c r="BX79" s="211"/>
      <c r="BY79" s="211"/>
      <c r="BZ79" s="211"/>
      <c r="CA79" s="211"/>
      <c r="CB79" s="211"/>
      <c r="CC79" s="211"/>
      <c r="CD79" s="211"/>
      <c r="CE79" s="211"/>
      <c r="CF79" s="211"/>
      <c r="CG79" s="211"/>
      <c r="CH79" s="211"/>
      <c r="CI79" s="211"/>
      <c r="CJ79" s="62"/>
    </row>
    <row r="80" s="61" customFormat="1" ht="16" customHeight="1" spans="1:88">
      <c r="A80" s="269" t="s">
        <v>705</v>
      </c>
      <c r="B80" s="77" t="e">
        <f>C79</f>
        <v>#DIV/0!</v>
      </c>
      <c r="C80" s="77"/>
      <c r="D80" s="327"/>
      <c r="E80" s="328" t="s">
        <v>471</v>
      </c>
      <c r="F80" s="236" t="e">
        <f>IF(F77&lt;0,F77*初始化表!B26+第5期!F80,IF(F77*初始化表!B25&gt;-第5期!F80,0,第5期!F80+F77*初始化表!B25))</f>
        <v>#DIV/0!</v>
      </c>
      <c r="G80" s="73"/>
      <c r="H80" s="269" t="s">
        <v>523</v>
      </c>
      <c r="I80" s="77" t="e">
        <f>第5期!BN44</f>
        <v>#DIV/0!</v>
      </c>
      <c r="J80" s="77" t="e">
        <f>第5期!BO44</f>
        <v>#DIV/0!</v>
      </c>
      <c r="K80" s="77" t="e">
        <f>第5期!BP44</f>
        <v>#DIV/0!</v>
      </c>
      <c r="L80" s="77" t="e">
        <f>第5期!BQ44</f>
        <v>#DIV/0!</v>
      </c>
      <c r="M80" s="243" t="e">
        <f>SUM(I80:L80)</f>
        <v>#DIV/0!</v>
      </c>
      <c r="N80" s="117" t="s">
        <v>206</v>
      </c>
      <c r="O80" s="244" t="e">
        <f>V25-O70*(O75-IF($J8&gt;0,5,0))</f>
        <v>#DIV/0!</v>
      </c>
      <c r="P80" s="244" t="e">
        <f t="shared" ref="P80:R80" si="97">W25-P70*(P75-IF($J8&gt;0,5,0))</f>
        <v>#DIV/0!</v>
      </c>
      <c r="Q80" s="244" t="e">
        <f t="shared" si="97"/>
        <v>#DIV/0!</v>
      </c>
      <c r="R80" s="244" t="e">
        <f t="shared" si="97"/>
        <v>#DIV/0!</v>
      </c>
      <c r="S80" s="74"/>
      <c r="T80" s="120"/>
      <c r="U80" s="68" t="s">
        <v>202</v>
      </c>
      <c r="V80" s="248" t="e">
        <f>IF(V73&gt;V43,INT((V73-V43)*初始化表!E12),0)</f>
        <v>#DIV/0!</v>
      </c>
      <c r="W80" s="248" t="e">
        <f>IF(W73&gt;W43,INT((W73-W43)*初始化表!F12),0)</f>
        <v>#DIV/0!</v>
      </c>
      <c r="X80" s="248" t="e">
        <f>IF(X73&gt;X43,INT((X73-X43)*初始化表!G12),0)</f>
        <v>#DIV/0!</v>
      </c>
      <c r="Y80" s="248" t="e">
        <f>IF(Y73&gt;Y43,INT((Y73-Y43)*初始化表!H12),0)</f>
        <v>#DIV/0!</v>
      </c>
      <c r="Z80" s="249"/>
      <c r="AA80" s="254"/>
      <c r="AB80" s="249"/>
      <c r="AC80" s="249"/>
      <c r="AD80" s="249"/>
      <c r="AE80" s="249"/>
      <c r="AF80" s="249"/>
      <c r="AG80" s="249"/>
      <c r="AH80" s="73"/>
      <c r="AI80" s="367"/>
      <c r="AJ80" s="362"/>
      <c r="AK80" s="362"/>
      <c r="AL80" s="362"/>
      <c r="AM80" s="362"/>
      <c r="AN80" s="362"/>
      <c r="AO80" s="362"/>
      <c r="AP80" s="362"/>
      <c r="AQ80" s="362"/>
      <c r="AR80" s="362"/>
      <c r="AS80" s="362"/>
      <c r="AT80" s="362"/>
      <c r="AU80" s="362"/>
      <c r="AV80" s="362"/>
      <c r="AW80" s="362"/>
      <c r="AX80" s="362"/>
      <c r="AY80" s="362"/>
      <c r="AZ80" s="193"/>
      <c r="BA80" s="203"/>
      <c r="BB80" s="203"/>
      <c r="BC80" s="203"/>
      <c r="BD80" s="203"/>
      <c r="BE80" s="203"/>
      <c r="BF80" s="203"/>
      <c r="BG80" s="203"/>
      <c r="BH80" s="203"/>
      <c r="BI80" s="203"/>
      <c r="BJ80" s="203"/>
      <c r="BK80" s="203"/>
      <c r="BL80" s="203"/>
      <c r="BM80" s="203"/>
      <c r="BN80" s="203"/>
      <c r="BO80" s="203"/>
      <c r="BP80" s="203"/>
      <c r="BQ80" s="203"/>
      <c r="BR80" s="211"/>
      <c r="BS80" s="211"/>
      <c r="BT80" s="211"/>
      <c r="BU80" s="211"/>
      <c r="BV80" s="211"/>
      <c r="BW80" s="211"/>
      <c r="BX80" s="211"/>
      <c r="BY80" s="211"/>
      <c r="BZ80" s="211"/>
      <c r="CA80" s="211"/>
      <c r="CB80" s="211"/>
      <c r="CC80" s="211"/>
      <c r="CD80" s="211"/>
      <c r="CE80" s="211"/>
      <c r="CF80" s="211"/>
      <c r="CG80" s="211"/>
      <c r="CH80" s="211"/>
      <c r="CI80" s="211"/>
      <c r="CJ80" s="62"/>
    </row>
    <row r="81" s="61" customFormat="1" ht="16" customHeight="1" spans="1:88">
      <c r="A81" s="327"/>
      <c r="B81" s="327"/>
      <c r="C81" s="327"/>
      <c r="D81" s="327"/>
      <c r="E81" s="328" t="s">
        <v>264</v>
      </c>
      <c r="F81" s="236" t="e">
        <f>第5期!F81*(1+初始化表!B27/4)+E24</f>
        <v>#DIV/0!</v>
      </c>
      <c r="G81" s="73"/>
      <c r="H81" s="269" t="s">
        <v>524</v>
      </c>
      <c r="I81" s="77" t="e">
        <f>第5期!BN45</f>
        <v>#DIV/0!</v>
      </c>
      <c r="J81" s="77" t="e">
        <f>第5期!BO45</f>
        <v>#DIV/0!</v>
      </c>
      <c r="K81" s="77" t="e">
        <f>第5期!BP45</f>
        <v>#DIV/0!</v>
      </c>
      <c r="L81" s="77" t="e">
        <f>第5期!BQ45</f>
        <v>#DIV/0!</v>
      </c>
      <c r="M81" s="243" t="e">
        <f>SUM(I81:L81)</f>
        <v>#DIV/0!</v>
      </c>
      <c r="N81" s="117" t="s">
        <v>208</v>
      </c>
      <c r="O81" s="244" t="e">
        <f t="shared" ref="O81:R81" si="98">V26-O71*(O76-IF($J9&gt;0,5,0))</f>
        <v>#DIV/0!</v>
      </c>
      <c r="P81" s="244" t="e">
        <f t="shared" si="98"/>
        <v>#DIV/0!</v>
      </c>
      <c r="Q81" s="244" t="e">
        <f t="shared" si="98"/>
        <v>#DIV/0!</v>
      </c>
      <c r="R81" s="244" t="e">
        <f t="shared" si="98"/>
        <v>#DIV/0!</v>
      </c>
      <c r="S81" s="74"/>
      <c r="T81" s="120"/>
      <c r="U81" s="68" t="s">
        <v>206</v>
      </c>
      <c r="V81" s="248" t="e">
        <f>IF(V74&gt;V44,INT((V74-V44)*初始化表!E13),0)</f>
        <v>#DIV/0!</v>
      </c>
      <c r="W81" s="248" t="e">
        <f>IF(W74&gt;W44,INT((W74-W44)*初始化表!F13),0)</f>
        <v>#DIV/0!</v>
      </c>
      <c r="X81" s="248" t="e">
        <f>IF(X74&gt;X44,INT((X74-X44)*初始化表!G13),0)</f>
        <v>#DIV/0!</v>
      </c>
      <c r="Y81" s="248" t="e">
        <f>IF(Y74&gt;Y44,INT((Y74-Y44)*初始化表!H13),0)</f>
        <v>#DIV/0!</v>
      </c>
      <c r="Z81" s="249"/>
      <c r="AA81" s="254"/>
      <c r="AB81" s="249"/>
      <c r="AC81" s="249"/>
      <c r="AD81" s="249"/>
      <c r="AE81" s="249"/>
      <c r="AF81" s="249"/>
      <c r="AG81" s="249"/>
      <c r="AH81" s="73"/>
      <c r="AZ81" s="193"/>
      <c r="BA81" s="203"/>
      <c r="BB81" s="203"/>
      <c r="BC81" s="203"/>
      <c r="BD81" s="203"/>
      <c r="BE81" s="203"/>
      <c r="BF81" s="203"/>
      <c r="BG81" s="203"/>
      <c r="BH81" s="203"/>
      <c r="BI81" s="203"/>
      <c r="BJ81" s="203"/>
      <c r="BK81" s="203"/>
      <c r="BL81" s="203"/>
      <c r="BM81" s="203"/>
      <c r="BN81" s="203"/>
      <c r="BO81" s="203"/>
      <c r="BP81" s="203"/>
      <c r="BQ81" s="203"/>
      <c r="BR81" s="211"/>
      <c r="BS81" s="211"/>
      <c r="BT81" s="211"/>
      <c r="BU81" s="211"/>
      <c r="BV81" s="211"/>
      <c r="BW81" s="211"/>
      <c r="BX81" s="211"/>
      <c r="BY81" s="211"/>
      <c r="BZ81" s="211"/>
      <c r="CA81" s="211"/>
      <c r="CB81" s="211"/>
      <c r="CC81" s="211"/>
      <c r="CD81" s="211"/>
      <c r="CE81" s="211"/>
      <c r="CF81" s="211"/>
      <c r="CG81" s="211"/>
      <c r="CH81" s="211"/>
      <c r="CI81" s="211"/>
      <c r="CJ81" s="62"/>
    </row>
    <row r="82" s="61" customFormat="1" ht="16" customHeight="1" spans="1:88">
      <c r="A82" s="327"/>
      <c r="B82" s="327"/>
      <c r="C82" s="327"/>
      <c r="D82" s="327"/>
      <c r="E82" s="328" t="s">
        <v>268</v>
      </c>
      <c r="F82" s="236" t="e">
        <f>B80</f>
        <v>#DIV/0!</v>
      </c>
      <c r="G82" s="73"/>
      <c r="H82" s="376" t="s">
        <v>724</v>
      </c>
      <c r="I82" s="377"/>
      <c r="J82" s="377"/>
      <c r="K82" s="377"/>
      <c r="L82" s="377"/>
      <c r="M82" s="377"/>
      <c r="N82" s="377"/>
      <c r="O82" s="377"/>
      <c r="P82" s="377"/>
      <c r="Q82" s="377"/>
      <c r="R82" s="377"/>
      <c r="S82" s="74"/>
      <c r="T82" s="120"/>
      <c r="U82" s="68" t="s">
        <v>208</v>
      </c>
      <c r="V82" s="248" t="e">
        <f>IF(V75&gt;V45,INT((V75-V45)*初始化表!E14),0)</f>
        <v>#DIV/0!</v>
      </c>
      <c r="W82" s="248" t="e">
        <f>IF(W75&gt;W45,INT((W75-W45)*初始化表!F14),0)</f>
        <v>#DIV/0!</v>
      </c>
      <c r="X82" s="248" t="e">
        <f>IF(X75&gt;X45,INT((X75-X45)*初始化表!G14),0)</f>
        <v>#DIV/0!</v>
      </c>
      <c r="Y82" s="248" t="e">
        <f>IF(Y75&gt;Y45,INT((Y75-Y45)*初始化表!H14),0)</f>
        <v>#DIV/0!</v>
      </c>
      <c r="Z82" s="249"/>
      <c r="AA82" s="254"/>
      <c r="AB82" s="249"/>
      <c r="AC82" s="249"/>
      <c r="AD82" s="249"/>
      <c r="AE82" s="249"/>
      <c r="AF82" s="249"/>
      <c r="AG82" s="249"/>
      <c r="AH82" s="73"/>
      <c r="AI82" s="68" t="s">
        <v>488</v>
      </c>
      <c r="AJ82" s="69"/>
      <c r="AK82" s="69"/>
      <c r="AL82" s="69"/>
      <c r="AM82" s="69"/>
      <c r="AN82" s="69"/>
      <c r="AO82" s="69"/>
      <c r="AP82" s="69"/>
      <c r="AQ82" s="69"/>
      <c r="AR82" s="69"/>
      <c r="AS82" s="69"/>
      <c r="AT82" s="69"/>
      <c r="AU82" s="69"/>
      <c r="AV82" s="69"/>
      <c r="AZ82" s="193"/>
      <c r="BA82" s="203"/>
      <c r="BB82" s="203"/>
      <c r="BC82" s="203"/>
      <c r="BD82" s="203"/>
      <c r="BE82" s="203"/>
      <c r="BF82" s="203"/>
      <c r="BG82" s="203"/>
      <c r="BH82" s="203"/>
      <c r="BI82" s="203"/>
      <c r="BJ82" s="203"/>
      <c r="BK82" s="203"/>
      <c r="BL82" s="203"/>
      <c r="BM82" s="203"/>
      <c r="BN82" s="203"/>
      <c r="BO82" s="203"/>
      <c r="BP82" s="203"/>
      <c r="BQ82" s="203"/>
      <c r="BR82" s="211"/>
      <c r="BS82" s="211"/>
      <c r="BT82" s="211"/>
      <c r="BU82" s="211"/>
      <c r="BV82" s="211"/>
      <c r="BW82" s="211"/>
      <c r="BX82" s="211"/>
      <c r="BY82" s="211"/>
      <c r="BZ82" s="211"/>
      <c r="CA82" s="211"/>
      <c r="CB82" s="211"/>
      <c r="CC82" s="211"/>
      <c r="CD82" s="211"/>
      <c r="CE82" s="211"/>
      <c r="CF82" s="211"/>
      <c r="CG82" s="211"/>
      <c r="CH82" s="211"/>
      <c r="CI82" s="211"/>
      <c r="CJ82" s="62"/>
    </row>
    <row r="83" s="61" customFormat="1" ht="16" customHeight="1" spans="1:88">
      <c r="A83" s="327"/>
      <c r="B83" s="327"/>
      <c r="C83" s="327"/>
      <c r="D83" s="327"/>
      <c r="E83" s="328" t="s">
        <v>270</v>
      </c>
      <c r="F83" s="236" t="e">
        <f>IF(初始化表!B1=1,F77/(L17+K18),F77/L17)</f>
        <v>#DIV/0!</v>
      </c>
      <c r="G83" s="73"/>
      <c r="H83" s="377"/>
      <c r="I83" s="377"/>
      <c r="J83" s="377"/>
      <c r="K83" s="377"/>
      <c r="L83" s="377"/>
      <c r="M83" s="377"/>
      <c r="N83" s="377"/>
      <c r="O83" s="377"/>
      <c r="P83" s="377"/>
      <c r="Q83" s="377"/>
      <c r="R83" s="377"/>
      <c r="S83" s="74"/>
      <c r="T83" s="120"/>
      <c r="U83" s="297"/>
      <c r="V83" s="379"/>
      <c r="W83" s="379"/>
      <c r="X83" s="379"/>
      <c r="Y83" s="379"/>
      <c r="Z83" s="249"/>
      <c r="AA83" s="254"/>
      <c r="AB83" s="249"/>
      <c r="AC83" s="249"/>
      <c r="AD83" s="249"/>
      <c r="AE83" s="249"/>
      <c r="AF83" s="249"/>
      <c r="AG83" s="249"/>
      <c r="AH83" s="73"/>
      <c r="AI83" s="163" t="s">
        <v>37</v>
      </c>
      <c r="AJ83" s="69" t="s">
        <v>343</v>
      </c>
      <c r="AK83" s="69" t="s">
        <v>344</v>
      </c>
      <c r="AL83" s="69" t="s">
        <v>345</v>
      </c>
      <c r="AM83" s="69" t="s">
        <v>346</v>
      </c>
      <c r="AN83" s="69" t="s">
        <v>310</v>
      </c>
      <c r="AO83" s="69" t="s">
        <v>313</v>
      </c>
      <c r="AP83" s="69" t="s">
        <v>347</v>
      </c>
      <c r="AQ83" s="69" t="s">
        <v>264</v>
      </c>
      <c r="AR83" s="69" t="s">
        <v>268</v>
      </c>
      <c r="AS83" s="69" t="s">
        <v>270</v>
      </c>
      <c r="AT83" s="69" t="s">
        <v>272</v>
      </c>
      <c r="AU83" s="69" t="str">
        <f>IF(初始化表!$B1=1,"综合评分","")</f>
        <v/>
      </c>
      <c r="AV83" s="69" t="str">
        <f>IF(初始化表!$B1=1,"总评名次","")</f>
        <v/>
      </c>
      <c r="AZ83" s="193"/>
      <c r="BA83" s="203"/>
      <c r="BB83" s="203"/>
      <c r="BC83" s="203"/>
      <c r="BD83" s="203"/>
      <c r="BE83" s="203"/>
      <c r="BF83" s="203"/>
      <c r="BG83" s="203"/>
      <c r="BH83" s="203"/>
      <c r="BI83" s="203"/>
      <c r="BJ83" s="203"/>
      <c r="BK83" s="203"/>
      <c r="BL83" s="203"/>
      <c r="BM83" s="203"/>
      <c r="BN83" s="203"/>
      <c r="BO83" s="203"/>
      <c r="BP83" s="203"/>
      <c r="BQ83" s="203"/>
      <c r="BR83" s="211"/>
      <c r="BS83" s="211"/>
      <c r="BT83" s="211"/>
      <c r="BU83" s="211"/>
      <c r="BV83" s="211"/>
      <c r="BW83" s="211"/>
      <c r="BX83" s="211"/>
      <c r="BY83" s="211"/>
      <c r="BZ83" s="211"/>
      <c r="CA83" s="211"/>
      <c r="CB83" s="211"/>
      <c r="CC83" s="211"/>
      <c r="CD83" s="211"/>
      <c r="CE83" s="211"/>
      <c r="CF83" s="211"/>
      <c r="CG83" s="211"/>
      <c r="CH83" s="211"/>
      <c r="CI83" s="211"/>
      <c r="CJ83" s="62"/>
    </row>
    <row r="84" s="61" customFormat="1" ht="16" customHeight="1" spans="1:88">
      <c r="A84" s="327"/>
      <c r="B84" s="327"/>
      <c r="C84" s="327"/>
      <c r="D84" s="327"/>
      <c r="E84" s="328" t="s">
        <v>707</v>
      </c>
      <c r="F84" s="239" t="e">
        <f>F77/(F82+F75+C37)</f>
        <v>#DIV/0!</v>
      </c>
      <c r="G84" s="73"/>
      <c r="H84" s="269" t="s">
        <v>548</v>
      </c>
      <c r="I84" s="269" t="s">
        <v>513</v>
      </c>
      <c r="J84" s="269" t="s">
        <v>514</v>
      </c>
      <c r="K84" s="269" t="s">
        <v>515</v>
      </c>
      <c r="L84" s="269" t="s">
        <v>516</v>
      </c>
      <c r="M84" s="269" t="s">
        <v>549</v>
      </c>
      <c r="N84" s="269" t="s">
        <v>561</v>
      </c>
      <c r="O84" s="269" t="s">
        <v>513</v>
      </c>
      <c r="P84" s="269" t="s">
        <v>514</v>
      </c>
      <c r="Q84" s="269" t="s">
        <v>515</v>
      </c>
      <c r="R84" s="269" t="s">
        <v>516</v>
      </c>
      <c r="S84" s="74"/>
      <c r="T84" s="120"/>
      <c r="U84" s="74"/>
      <c r="V84" s="74"/>
      <c r="W84" s="74"/>
      <c r="X84" s="74"/>
      <c r="Y84" s="74"/>
      <c r="Z84" s="249"/>
      <c r="AA84" s="254"/>
      <c r="AB84" s="249"/>
      <c r="AC84" s="249"/>
      <c r="AD84" s="249"/>
      <c r="AE84" s="249"/>
      <c r="AF84" s="249"/>
      <c r="AG84" s="249"/>
      <c r="AH84" s="73"/>
      <c r="AI84" s="367"/>
      <c r="AJ84" s="360"/>
      <c r="AK84" s="360"/>
      <c r="AL84" s="360"/>
      <c r="AM84" s="360"/>
      <c r="AN84" s="360"/>
      <c r="AO84" s="360"/>
      <c r="AP84" s="360"/>
      <c r="AQ84" s="360"/>
      <c r="AR84" s="360"/>
      <c r="AS84" s="360"/>
      <c r="AT84" s="360"/>
      <c r="AU84" s="362"/>
      <c r="AV84" s="362"/>
      <c r="AW84" s="383"/>
      <c r="AX84" s="383"/>
      <c r="AY84" s="383"/>
      <c r="AZ84" s="193"/>
      <c r="BA84" s="203"/>
      <c r="BB84" s="203"/>
      <c r="BC84" s="203"/>
      <c r="BD84" s="203"/>
      <c r="BE84" s="203"/>
      <c r="BF84" s="203"/>
      <c r="BG84" s="203"/>
      <c r="BH84" s="203"/>
      <c r="BI84" s="203"/>
      <c r="BJ84" s="203"/>
      <c r="BK84" s="203"/>
      <c r="BL84" s="203"/>
      <c r="BM84" s="203"/>
      <c r="BN84" s="203"/>
      <c r="BO84" s="203"/>
      <c r="BP84" s="203"/>
      <c r="BQ84" s="203"/>
      <c r="BR84" s="211"/>
      <c r="BS84" s="211"/>
      <c r="BT84" s="211"/>
      <c r="BU84" s="211"/>
      <c r="BV84" s="211"/>
      <c r="BW84" s="211"/>
      <c r="BX84" s="211"/>
      <c r="BY84" s="211"/>
      <c r="BZ84" s="211"/>
      <c r="CA84" s="211"/>
      <c r="CB84" s="211"/>
      <c r="CC84" s="211"/>
      <c r="CD84" s="211"/>
      <c r="CE84" s="211"/>
      <c r="CF84" s="211"/>
      <c r="CG84" s="211"/>
      <c r="CH84" s="211"/>
      <c r="CI84" s="211"/>
      <c r="CJ84" s="62"/>
    </row>
    <row r="85" s="61" customFormat="1" ht="16" customHeight="1" spans="1:88">
      <c r="A85" s="327"/>
      <c r="B85" s="327"/>
      <c r="C85" s="327"/>
      <c r="D85" s="327"/>
      <c r="E85" s="326"/>
      <c r="F85" s="327"/>
      <c r="G85" s="73"/>
      <c r="H85" s="269" t="s">
        <v>521</v>
      </c>
      <c r="I85" s="115">
        <f>V17</f>
        <v>0</v>
      </c>
      <c r="J85" s="115">
        <f t="shared" ref="J85:L88" si="99">W17</f>
        <v>0</v>
      </c>
      <c r="K85" s="115">
        <f t="shared" si="99"/>
        <v>0</v>
      </c>
      <c r="L85" s="115">
        <f t="shared" si="99"/>
        <v>0</v>
      </c>
      <c r="M85" s="115">
        <f>SUM(I85:L85)</f>
        <v>0</v>
      </c>
      <c r="N85" s="269" t="s">
        <v>521</v>
      </c>
      <c r="O85" s="115" t="e">
        <f>V23</f>
        <v>#DIV/0!</v>
      </c>
      <c r="P85" s="115" t="e">
        <f t="shared" ref="P85:R88" si="100">W23</f>
        <v>#DIV/0!</v>
      </c>
      <c r="Q85" s="115" t="e">
        <f t="shared" si="100"/>
        <v>#DIV/0!</v>
      </c>
      <c r="R85" s="115" t="e">
        <f t="shared" si="100"/>
        <v>#DIV/0!</v>
      </c>
      <c r="S85" s="74"/>
      <c r="T85" s="120"/>
      <c r="U85" s="68" t="s">
        <v>687</v>
      </c>
      <c r="V85" s="68" t="s">
        <v>459</v>
      </c>
      <c r="W85" s="68" t="s">
        <v>460</v>
      </c>
      <c r="X85" s="68" t="s">
        <v>461</v>
      </c>
      <c r="Y85" s="68" t="s">
        <v>462</v>
      </c>
      <c r="Z85" s="249"/>
      <c r="AA85" s="254"/>
      <c r="AB85" s="249"/>
      <c r="AC85" s="249"/>
      <c r="AD85" s="249"/>
      <c r="AE85" s="249"/>
      <c r="AF85" s="249"/>
      <c r="AG85" s="249"/>
      <c r="AH85" s="73"/>
      <c r="AI85" s="367"/>
      <c r="AJ85" s="360"/>
      <c r="AK85" s="360"/>
      <c r="AL85" s="360"/>
      <c r="AM85" s="360"/>
      <c r="AN85" s="360"/>
      <c r="AO85" s="360"/>
      <c r="AP85" s="360"/>
      <c r="AQ85" s="360"/>
      <c r="AR85" s="360"/>
      <c r="AS85" s="360"/>
      <c r="AT85" s="360"/>
      <c r="AU85" s="362"/>
      <c r="AV85" s="362"/>
      <c r="AW85" s="383"/>
      <c r="AX85" s="383"/>
      <c r="AY85" s="383"/>
      <c r="AZ85" s="193"/>
      <c r="BA85" s="203"/>
      <c r="BB85" s="203"/>
      <c r="BC85" s="203"/>
      <c r="BD85" s="203"/>
      <c r="BE85" s="203"/>
      <c r="BF85" s="203"/>
      <c r="BG85" s="203"/>
      <c r="BH85" s="203"/>
      <c r="BI85" s="203"/>
      <c r="BJ85" s="203"/>
      <c r="BK85" s="203"/>
      <c r="BL85" s="203"/>
      <c r="BM85" s="203"/>
      <c r="BN85" s="203"/>
      <c r="BO85" s="203"/>
      <c r="BP85" s="203"/>
      <c r="BQ85" s="203"/>
      <c r="BR85" s="211"/>
      <c r="BS85" s="211"/>
      <c r="BT85" s="211"/>
      <c r="BU85" s="211"/>
      <c r="BV85" s="211"/>
      <c r="BW85" s="211"/>
      <c r="BX85" s="211"/>
      <c r="BY85" s="211"/>
      <c r="BZ85" s="211"/>
      <c r="CA85" s="211"/>
      <c r="CB85" s="211"/>
      <c r="CC85" s="211"/>
      <c r="CD85" s="211"/>
      <c r="CE85" s="211"/>
      <c r="CF85" s="211"/>
      <c r="CG85" s="211"/>
      <c r="CH85" s="211"/>
      <c r="CI85" s="211"/>
      <c r="CJ85" s="62"/>
    </row>
    <row r="86" s="61" customFormat="1" ht="16" customHeight="1" spans="1:88">
      <c r="A86" s="74"/>
      <c r="B86" s="74"/>
      <c r="C86" s="74"/>
      <c r="D86" s="74"/>
      <c r="E86" s="74"/>
      <c r="F86" s="74"/>
      <c r="G86" s="73"/>
      <c r="H86" s="269" t="s">
        <v>522</v>
      </c>
      <c r="I86" s="115">
        <f t="shared" ref="I86:I88" si="101">V18</f>
        <v>0</v>
      </c>
      <c r="J86" s="115">
        <f t="shared" si="99"/>
        <v>0</v>
      </c>
      <c r="K86" s="115">
        <f t="shared" si="99"/>
        <v>0</v>
      </c>
      <c r="L86" s="115">
        <f t="shared" si="99"/>
        <v>0</v>
      </c>
      <c r="M86" s="115">
        <f t="shared" ref="M86:M88" si="102">SUM(I86:L86)</f>
        <v>0</v>
      </c>
      <c r="N86" s="269" t="s">
        <v>522</v>
      </c>
      <c r="O86" s="115" t="e">
        <f t="shared" ref="O86:O88" si="103">V24</f>
        <v>#DIV/0!</v>
      </c>
      <c r="P86" s="115" t="e">
        <f t="shared" si="100"/>
        <v>#DIV/0!</v>
      </c>
      <c r="Q86" s="115" t="e">
        <f t="shared" si="100"/>
        <v>#DIV/0!</v>
      </c>
      <c r="R86" s="115" t="e">
        <f t="shared" si="100"/>
        <v>#DIV/0!</v>
      </c>
      <c r="S86" s="74"/>
      <c r="T86" s="120"/>
      <c r="U86" s="269" t="s">
        <v>521</v>
      </c>
      <c r="V86" s="251">
        <f>INT(B12*(1-$O$43)+0.5)</f>
        <v>0</v>
      </c>
      <c r="W86" s="251">
        <f>INT(C12*(1-$O$43)+0.5)</f>
        <v>0</v>
      </c>
      <c r="X86" s="251">
        <f>INT(D12*(1-$O$43)+0.5)</f>
        <v>0</v>
      </c>
      <c r="Y86" s="251">
        <f>INT(E12*(1-$O$43)+0.5)</f>
        <v>0</v>
      </c>
      <c r="Z86" s="74"/>
      <c r="AA86" s="73"/>
      <c r="AB86" s="74"/>
      <c r="AC86" s="74"/>
      <c r="AD86" s="74"/>
      <c r="AE86" s="74"/>
      <c r="AF86" s="74"/>
      <c r="AG86" s="74"/>
      <c r="AH86" s="73"/>
      <c r="AI86" s="367"/>
      <c r="AJ86" s="360"/>
      <c r="AK86" s="360"/>
      <c r="AL86" s="360"/>
      <c r="AM86" s="360"/>
      <c r="AN86" s="360"/>
      <c r="AO86" s="360"/>
      <c r="AP86" s="360"/>
      <c r="AQ86" s="360"/>
      <c r="AR86" s="360"/>
      <c r="AS86" s="360"/>
      <c r="AT86" s="360"/>
      <c r="AU86" s="362"/>
      <c r="AV86" s="362"/>
      <c r="AW86" s="383"/>
      <c r="AX86" s="383"/>
      <c r="AY86" s="383"/>
      <c r="AZ86" s="193"/>
      <c r="BA86" s="203"/>
      <c r="BB86" s="203"/>
      <c r="BC86" s="203"/>
      <c r="BD86" s="203"/>
      <c r="BE86" s="203"/>
      <c r="BF86" s="203"/>
      <c r="BG86" s="203"/>
      <c r="BH86" s="203"/>
      <c r="BI86" s="203"/>
      <c r="BJ86" s="203"/>
      <c r="BK86" s="203"/>
      <c r="BL86" s="203"/>
      <c r="BM86" s="203"/>
      <c r="BN86" s="203"/>
      <c r="BO86" s="203"/>
      <c r="BP86" s="203"/>
      <c r="BQ86" s="203"/>
      <c r="BR86" s="211"/>
      <c r="BS86" s="211"/>
      <c r="BT86" s="211"/>
      <c r="BU86" s="211"/>
      <c r="BV86" s="211"/>
      <c r="BW86" s="211"/>
      <c r="BX86" s="211"/>
      <c r="BY86" s="211"/>
      <c r="BZ86" s="211"/>
      <c r="CA86" s="211"/>
      <c r="CB86" s="211"/>
      <c r="CC86" s="211"/>
      <c r="CD86" s="211"/>
      <c r="CE86" s="211"/>
      <c r="CF86" s="211"/>
      <c r="CG86" s="211"/>
      <c r="CH86" s="211"/>
      <c r="CI86" s="211"/>
      <c r="CJ86" s="62"/>
    </row>
    <row r="87" s="61" customFormat="1" ht="16" customHeight="1" spans="1:88">
      <c r="A87" s="74"/>
      <c r="B87" s="74"/>
      <c r="C87" s="74"/>
      <c r="D87" s="74"/>
      <c r="E87" s="74"/>
      <c r="F87" s="74"/>
      <c r="G87" s="73"/>
      <c r="H87" s="269" t="s">
        <v>523</v>
      </c>
      <c r="I87" s="115">
        <f t="shared" si="101"/>
        <v>0</v>
      </c>
      <c r="J87" s="115">
        <f t="shared" si="99"/>
        <v>0</v>
      </c>
      <c r="K87" s="115">
        <f t="shared" si="99"/>
        <v>0</v>
      </c>
      <c r="L87" s="115">
        <f t="shared" si="99"/>
        <v>0</v>
      </c>
      <c r="M87" s="115">
        <f t="shared" si="102"/>
        <v>0</v>
      </c>
      <c r="N87" s="269" t="s">
        <v>523</v>
      </c>
      <c r="O87" s="115" t="e">
        <f t="shared" si="103"/>
        <v>#DIV/0!</v>
      </c>
      <c r="P87" s="115" t="e">
        <f t="shared" si="100"/>
        <v>#DIV/0!</v>
      </c>
      <c r="Q87" s="115" t="e">
        <f t="shared" si="100"/>
        <v>#DIV/0!</v>
      </c>
      <c r="R87" s="115" t="e">
        <f t="shared" si="100"/>
        <v>#DIV/0!</v>
      </c>
      <c r="S87" s="74"/>
      <c r="T87" s="120"/>
      <c r="U87" s="269" t="s">
        <v>522</v>
      </c>
      <c r="V87" s="251">
        <f>INT(B13*(1-$P$43)+0.5)</f>
        <v>0</v>
      </c>
      <c r="W87" s="251">
        <f>INT(C13*(1-$P$43)+0.5)</f>
        <v>0</v>
      </c>
      <c r="X87" s="251">
        <f>INT(D13*(1-$P$43)+0.5)</f>
        <v>0</v>
      </c>
      <c r="Y87" s="251">
        <f>INT(E13*(1-$P$43)+0.5)</f>
        <v>0</v>
      </c>
      <c r="Z87" s="74"/>
      <c r="AA87" s="73"/>
      <c r="AB87" s="74"/>
      <c r="AC87" s="74"/>
      <c r="AD87" s="74"/>
      <c r="AE87" s="74"/>
      <c r="AF87" s="74"/>
      <c r="AG87" s="74"/>
      <c r="AH87" s="73"/>
      <c r="AI87" s="367"/>
      <c r="AJ87" s="360"/>
      <c r="AK87" s="360"/>
      <c r="AL87" s="360"/>
      <c r="AM87" s="360"/>
      <c r="AN87" s="360"/>
      <c r="AO87" s="360"/>
      <c r="AP87" s="360"/>
      <c r="AQ87" s="360"/>
      <c r="AR87" s="360"/>
      <c r="AS87" s="360"/>
      <c r="AT87" s="360"/>
      <c r="AU87" s="362"/>
      <c r="AV87" s="362"/>
      <c r="AW87" s="383"/>
      <c r="AX87" s="383"/>
      <c r="AY87" s="383"/>
      <c r="AZ87" s="193"/>
      <c r="BA87" s="203"/>
      <c r="BB87" s="203"/>
      <c r="BC87" s="203"/>
      <c r="BD87" s="203"/>
      <c r="BE87" s="203"/>
      <c r="BF87" s="203"/>
      <c r="BG87" s="203"/>
      <c r="BH87" s="203"/>
      <c r="BI87" s="203"/>
      <c r="BJ87" s="203"/>
      <c r="BK87" s="203"/>
      <c r="BL87" s="203"/>
      <c r="BM87" s="203"/>
      <c r="BN87" s="203"/>
      <c r="BO87" s="203"/>
      <c r="BP87" s="203"/>
      <c r="BQ87" s="203"/>
      <c r="BR87" s="211"/>
      <c r="BS87" s="211"/>
      <c r="BT87" s="211"/>
      <c r="BU87" s="211"/>
      <c r="BV87" s="211"/>
      <c r="BW87" s="211"/>
      <c r="BX87" s="211"/>
      <c r="BY87" s="211"/>
      <c r="BZ87" s="211"/>
      <c r="CA87" s="211"/>
      <c r="CB87" s="211"/>
      <c r="CC87" s="211"/>
      <c r="CD87" s="211"/>
      <c r="CE87" s="211"/>
      <c r="CF87" s="211"/>
      <c r="CG87" s="211"/>
      <c r="CH87" s="211"/>
      <c r="CI87" s="211"/>
      <c r="CJ87" s="62"/>
    </row>
    <row r="88" s="61" customFormat="1" ht="16" customHeight="1" spans="1:88">
      <c r="A88" s="74"/>
      <c r="B88" s="74"/>
      <c r="C88" s="74"/>
      <c r="D88" s="74"/>
      <c r="E88" s="74"/>
      <c r="F88" s="74"/>
      <c r="G88" s="73"/>
      <c r="H88" s="269" t="s">
        <v>524</v>
      </c>
      <c r="I88" s="115">
        <f t="shared" si="101"/>
        <v>0</v>
      </c>
      <c r="J88" s="115">
        <f t="shared" si="99"/>
        <v>0</v>
      </c>
      <c r="K88" s="115">
        <f t="shared" si="99"/>
        <v>0</v>
      </c>
      <c r="L88" s="115">
        <f t="shared" si="99"/>
        <v>0</v>
      </c>
      <c r="M88" s="115">
        <f t="shared" si="102"/>
        <v>0</v>
      </c>
      <c r="N88" s="269" t="s">
        <v>524</v>
      </c>
      <c r="O88" s="115" t="e">
        <f t="shared" si="103"/>
        <v>#DIV/0!</v>
      </c>
      <c r="P88" s="115" t="e">
        <f t="shared" si="100"/>
        <v>#DIV/0!</v>
      </c>
      <c r="Q88" s="115" t="e">
        <f t="shared" si="100"/>
        <v>#DIV/0!</v>
      </c>
      <c r="R88" s="115" t="e">
        <f t="shared" si="100"/>
        <v>#DIV/0!</v>
      </c>
      <c r="S88" s="74"/>
      <c r="T88" s="120"/>
      <c r="U88" s="269" t="s">
        <v>523</v>
      </c>
      <c r="V88" s="251">
        <f>INT(B14*(1-$Q$43)+0.5)</f>
        <v>0</v>
      </c>
      <c r="W88" s="251">
        <f>INT(C14*(1-$Q$43)+0.5)</f>
        <v>0</v>
      </c>
      <c r="X88" s="251">
        <f>INT(D14*(1-$Q$43)+0.5)</f>
        <v>0</v>
      </c>
      <c r="Y88" s="251">
        <f>INT(E14*(1-$Q$43)+0.5)</f>
        <v>0</v>
      </c>
      <c r="Z88" s="74"/>
      <c r="AA88" s="73"/>
      <c r="AB88" s="74"/>
      <c r="AC88" s="74"/>
      <c r="AD88" s="74"/>
      <c r="AE88" s="74"/>
      <c r="AF88" s="74"/>
      <c r="AG88" s="74"/>
      <c r="AH88" s="73"/>
      <c r="AI88" s="367"/>
      <c r="AJ88" s="360"/>
      <c r="AK88" s="360"/>
      <c r="AL88" s="360"/>
      <c r="AM88" s="360"/>
      <c r="AN88" s="360"/>
      <c r="AO88" s="360"/>
      <c r="AP88" s="360"/>
      <c r="AQ88" s="360"/>
      <c r="AR88" s="360"/>
      <c r="AS88" s="360"/>
      <c r="AT88" s="360"/>
      <c r="AU88" s="362"/>
      <c r="AV88" s="362"/>
      <c r="AW88" s="383"/>
      <c r="AX88" s="383"/>
      <c r="AY88" s="383"/>
      <c r="AZ88" s="193"/>
      <c r="BA88" s="203"/>
      <c r="BB88" s="203"/>
      <c r="BC88" s="203"/>
      <c r="BD88" s="203"/>
      <c r="BE88" s="203"/>
      <c r="BF88" s="203"/>
      <c r="BG88" s="203"/>
      <c r="BH88" s="203"/>
      <c r="BI88" s="203"/>
      <c r="BJ88" s="203"/>
      <c r="BK88" s="203"/>
      <c r="BL88" s="203"/>
      <c r="BM88" s="203"/>
      <c r="BN88" s="203"/>
      <c r="BO88" s="203"/>
      <c r="BP88" s="203"/>
      <c r="BQ88" s="203"/>
      <c r="BR88" s="211"/>
      <c r="BS88" s="211"/>
      <c r="BT88" s="211"/>
      <c r="BU88" s="211"/>
      <c r="BV88" s="211"/>
      <c r="BW88" s="211"/>
      <c r="BX88" s="211"/>
      <c r="BY88" s="211"/>
      <c r="BZ88" s="211"/>
      <c r="CA88" s="211"/>
      <c r="CB88" s="211"/>
      <c r="CC88" s="211"/>
      <c r="CD88" s="211"/>
      <c r="CE88" s="211"/>
      <c r="CF88" s="211"/>
      <c r="CG88" s="211"/>
      <c r="CH88" s="211"/>
      <c r="CI88" s="211"/>
      <c r="CJ88" s="62"/>
    </row>
    <row r="89" s="61" customFormat="1" ht="16" customHeight="1" spans="1:88">
      <c r="A89" s="74"/>
      <c r="B89" s="74"/>
      <c r="C89" s="74"/>
      <c r="D89" s="74"/>
      <c r="E89" s="74"/>
      <c r="F89" s="74"/>
      <c r="G89" s="73"/>
      <c r="H89" s="74"/>
      <c r="I89" s="74"/>
      <c r="J89" s="74"/>
      <c r="K89" s="74"/>
      <c r="L89" s="74"/>
      <c r="M89" s="85"/>
      <c r="N89" s="74"/>
      <c r="O89" s="74"/>
      <c r="P89" s="74"/>
      <c r="Q89" s="74"/>
      <c r="R89" s="74"/>
      <c r="S89" s="74"/>
      <c r="T89" s="120"/>
      <c r="U89" s="269" t="s">
        <v>524</v>
      </c>
      <c r="V89" s="251">
        <f>INT(B15*(1-$R$43)+0.5)</f>
        <v>0</v>
      </c>
      <c r="W89" s="251">
        <f>INT(C15*(1-$R$43)+0.5)</f>
        <v>0</v>
      </c>
      <c r="X89" s="251">
        <f>INT(D15*(1-$R$43)+0.5)</f>
        <v>0</v>
      </c>
      <c r="Y89" s="251">
        <f>INT(E15*(1-$R$43)+0.5)</f>
        <v>0</v>
      </c>
      <c r="Z89" s="74"/>
      <c r="AA89" s="73"/>
      <c r="AB89" s="74"/>
      <c r="AC89" s="74"/>
      <c r="AD89" s="74"/>
      <c r="AE89" s="74"/>
      <c r="AF89" s="74"/>
      <c r="AG89" s="74"/>
      <c r="AH89" s="73"/>
      <c r="AI89" s="367"/>
      <c r="AJ89" s="360"/>
      <c r="AK89" s="360"/>
      <c r="AL89" s="360"/>
      <c r="AM89" s="360"/>
      <c r="AN89" s="360"/>
      <c r="AO89" s="360"/>
      <c r="AP89" s="360"/>
      <c r="AQ89" s="360"/>
      <c r="AR89" s="360"/>
      <c r="AS89" s="360"/>
      <c r="AT89" s="360"/>
      <c r="AU89" s="362"/>
      <c r="AV89" s="362"/>
      <c r="AW89" s="383"/>
      <c r="AX89" s="383"/>
      <c r="AY89" s="383"/>
      <c r="AZ89" s="193"/>
      <c r="BA89" s="203"/>
      <c r="BB89" s="203"/>
      <c r="BC89" s="203"/>
      <c r="BD89" s="203"/>
      <c r="BE89" s="203"/>
      <c r="BF89" s="203"/>
      <c r="BG89" s="203"/>
      <c r="BH89" s="203"/>
      <c r="BI89" s="203"/>
      <c r="BJ89" s="203"/>
      <c r="BK89" s="203"/>
      <c r="BL89" s="203"/>
      <c r="BM89" s="203"/>
      <c r="BN89" s="203"/>
      <c r="BO89" s="203"/>
      <c r="BP89" s="203"/>
      <c r="BQ89" s="203"/>
      <c r="BR89" s="211"/>
      <c r="BS89" s="211"/>
      <c r="BT89" s="211"/>
      <c r="BU89" s="211"/>
      <c r="BV89" s="211"/>
      <c r="BW89" s="211"/>
      <c r="BX89" s="211"/>
      <c r="BY89" s="211"/>
      <c r="BZ89" s="211"/>
      <c r="CA89" s="211"/>
      <c r="CB89" s="211"/>
      <c r="CC89" s="211"/>
      <c r="CD89" s="211"/>
      <c r="CE89" s="211"/>
      <c r="CF89" s="211"/>
      <c r="CG89" s="211"/>
      <c r="CH89" s="211"/>
      <c r="CI89" s="211"/>
      <c r="CJ89" s="62"/>
    </row>
    <row r="90" s="61" customFormat="1" ht="16" customHeight="1" spans="1:88">
      <c r="A90" s="74"/>
      <c r="B90" s="74"/>
      <c r="C90" s="74"/>
      <c r="D90" s="74"/>
      <c r="E90" s="74"/>
      <c r="F90" s="74"/>
      <c r="G90" s="73"/>
      <c r="H90" s="269" t="s">
        <v>731</v>
      </c>
      <c r="I90" s="339" t="s">
        <v>513</v>
      </c>
      <c r="J90" s="339" t="s">
        <v>514</v>
      </c>
      <c r="K90" s="339" t="s">
        <v>515</v>
      </c>
      <c r="L90" s="339" t="s">
        <v>516</v>
      </c>
      <c r="M90" s="340" t="s">
        <v>748</v>
      </c>
      <c r="N90" s="151" t="s">
        <v>562</v>
      </c>
      <c r="O90" s="151" t="s">
        <v>459</v>
      </c>
      <c r="P90" s="151" t="s">
        <v>460</v>
      </c>
      <c r="Q90" s="151" t="s">
        <v>461</v>
      </c>
      <c r="R90" s="151" t="s">
        <v>462</v>
      </c>
      <c r="S90" s="74"/>
      <c r="T90" s="120"/>
      <c r="U90" s="74"/>
      <c r="V90" s="74"/>
      <c r="W90" s="74"/>
      <c r="X90" s="74"/>
      <c r="Y90" s="74"/>
      <c r="Z90" s="74"/>
      <c r="AA90" s="73"/>
      <c r="AB90" s="74"/>
      <c r="AC90" s="74"/>
      <c r="AD90" s="74"/>
      <c r="AE90" s="74"/>
      <c r="AF90" s="74"/>
      <c r="AG90" s="74"/>
      <c r="AH90" s="73"/>
      <c r="AI90" s="367"/>
      <c r="AJ90" s="360"/>
      <c r="AK90" s="360"/>
      <c r="AL90" s="360"/>
      <c r="AM90" s="360"/>
      <c r="AN90" s="360"/>
      <c r="AO90" s="360"/>
      <c r="AP90" s="360"/>
      <c r="AQ90" s="360"/>
      <c r="AR90" s="360"/>
      <c r="AS90" s="360"/>
      <c r="AT90" s="360"/>
      <c r="AU90" s="362"/>
      <c r="AV90" s="362"/>
      <c r="AW90" s="383"/>
      <c r="AX90" s="383"/>
      <c r="AY90" s="383"/>
      <c r="AZ90" s="193"/>
      <c r="BA90" s="203"/>
      <c r="BB90" s="203"/>
      <c r="BC90" s="203"/>
      <c r="BD90" s="203"/>
      <c r="BE90" s="203"/>
      <c r="BF90" s="203"/>
      <c r="BG90" s="203"/>
      <c r="BH90" s="203"/>
      <c r="BI90" s="203"/>
      <c r="BJ90" s="203"/>
      <c r="BK90" s="203"/>
      <c r="BL90" s="203"/>
      <c r="BM90" s="203"/>
      <c r="BN90" s="203"/>
      <c r="BO90" s="203"/>
      <c r="BP90" s="203"/>
      <c r="BQ90" s="203"/>
      <c r="BR90" s="211"/>
      <c r="BS90" s="211"/>
      <c r="BT90" s="211"/>
      <c r="BU90" s="211"/>
      <c r="BV90" s="211"/>
      <c r="BW90" s="211"/>
      <c r="BX90" s="211"/>
      <c r="BY90" s="211"/>
      <c r="BZ90" s="211"/>
      <c r="CA90" s="211"/>
      <c r="CB90" s="211"/>
      <c r="CC90" s="211"/>
      <c r="CD90" s="211"/>
      <c r="CE90" s="211"/>
      <c r="CF90" s="211"/>
      <c r="CG90" s="211"/>
      <c r="CH90" s="211"/>
      <c r="CI90" s="211"/>
      <c r="CJ90" s="62"/>
    </row>
    <row r="91" s="61" customFormat="1" ht="16" customHeight="1" spans="1:88">
      <c r="A91" s="74"/>
      <c r="B91" s="74"/>
      <c r="C91" s="74"/>
      <c r="D91" s="74"/>
      <c r="E91" s="74"/>
      <c r="F91" s="74"/>
      <c r="G91" s="73"/>
      <c r="H91" s="269" t="s">
        <v>521</v>
      </c>
      <c r="I91" s="146">
        <f>V54</f>
        <v>0</v>
      </c>
      <c r="J91" s="146">
        <f t="shared" ref="J91:L94" si="104">W54</f>
        <v>0</v>
      </c>
      <c r="K91" s="146">
        <f t="shared" si="104"/>
        <v>0</v>
      </c>
      <c r="L91" s="146">
        <f t="shared" si="104"/>
        <v>0</v>
      </c>
      <c r="M91" s="246" t="str">
        <f>IF((IF(I91&lt;1.1,1,0)+IF(J91&lt;1.1,1,0)+IF(K91&lt;1.1,1,0)+IF(L91&lt;1.1,1,0))&gt;=2,"市场异常","市场正常")</f>
        <v>市场异常</v>
      </c>
      <c r="N91" s="151" t="s">
        <v>464</v>
      </c>
      <c r="O91" s="157" t="e">
        <f>IF(O20="","",AC23)</f>
        <v>#DIV/0!</v>
      </c>
      <c r="P91" s="157" t="e">
        <f t="shared" ref="P91:R94" si="105">IF(P20="","",AD23)</f>
        <v>#DIV/0!</v>
      </c>
      <c r="Q91" s="157" t="e">
        <f t="shared" si="105"/>
        <v>#DIV/0!</v>
      </c>
      <c r="R91" s="157" t="e">
        <f t="shared" si="105"/>
        <v>#DIV/0!</v>
      </c>
      <c r="S91" s="74"/>
      <c r="T91" s="120"/>
      <c r="U91" s="74"/>
      <c r="V91" s="74"/>
      <c r="W91" s="74"/>
      <c r="X91" s="74"/>
      <c r="Y91" s="74"/>
      <c r="Z91" s="74"/>
      <c r="AA91" s="73"/>
      <c r="AB91" s="74"/>
      <c r="AC91" s="74"/>
      <c r="AD91" s="74"/>
      <c r="AE91" s="74"/>
      <c r="AF91" s="74"/>
      <c r="AG91" s="74"/>
      <c r="AH91" s="73"/>
      <c r="AI91" s="367"/>
      <c r="AJ91" s="360"/>
      <c r="AK91" s="360"/>
      <c r="AL91" s="360"/>
      <c r="AM91" s="360"/>
      <c r="AN91" s="360"/>
      <c r="AO91" s="360"/>
      <c r="AP91" s="360"/>
      <c r="AQ91" s="360"/>
      <c r="AR91" s="360"/>
      <c r="AS91" s="360"/>
      <c r="AT91" s="360"/>
      <c r="AU91" s="362"/>
      <c r="AV91" s="362"/>
      <c r="AW91" s="383"/>
      <c r="AX91" s="383"/>
      <c r="AY91" s="383"/>
      <c r="AZ91" s="193"/>
      <c r="BA91" s="203"/>
      <c r="BB91" s="203"/>
      <c r="BC91" s="203"/>
      <c r="BD91" s="203"/>
      <c r="BE91" s="203"/>
      <c r="BF91" s="203"/>
      <c r="BG91" s="203"/>
      <c r="BH91" s="203"/>
      <c r="BI91" s="203"/>
      <c r="BJ91" s="203"/>
      <c r="BK91" s="203"/>
      <c r="BL91" s="203"/>
      <c r="BM91" s="203"/>
      <c r="BN91" s="203"/>
      <c r="BO91" s="203"/>
      <c r="BP91" s="203"/>
      <c r="BQ91" s="203"/>
      <c r="BR91" s="211"/>
      <c r="BS91" s="211"/>
      <c r="BT91" s="211"/>
      <c r="BU91" s="211"/>
      <c r="BV91" s="211"/>
      <c r="BW91" s="211"/>
      <c r="BX91" s="211"/>
      <c r="BY91" s="211"/>
      <c r="BZ91" s="211"/>
      <c r="CA91" s="211"/>
      <c r="CB91" s="211"/>
      <c r="CC91" s="211"/>
      <c r="CD91" s="211"/>
      <c r="CE91" s="211"/>
      <c r="CF91" s="211"/>
      <c r="CG91" s="211"/>
      <c r="CH91" s="211"/>
      <c r="CI91" s="211"/>
      <c r="CJ91" s="62"/>
    </row>
    <row r="92" s="61" customFormat="1" ht="16" customHeight="1" spans="1:88">
      <c r="A92" s="74"/>
      <c r="B92" s="74"/>
      <c r="C92" s="74"/>
      <c r="D92" s="74"/>
      <c r="E92" s="74"/>
      <c r="F92" s="74"/>
      <c r="G92" s="73"/>
      <c r="H92" s="269" t="s">
        <v>522</v>
      </c>
      <c r="I92" s="146">
        <f t="shared" ref="I92:I94" si="106">V55</f>
        <v>0</v>
      </c>
      <c r="J92" s="146">
        <f t="shared" si="104"/>
        <v>0</v>
      </c>
      <c r="K92" s="146">
        <f t="shared" si="104"/>
        <v>0</v>
      </c>
      <c r="L92" s="146">
        <f t="shared" si="104"/>
        <v>0</v>
      </c>
      <c r="M92" s="246" t="str">
        <f t="shared" ref="M92:M94" si="107">IF((IF(I92&lt;1.1,1,0)+IF(J92&lt;1.1,1,0)+IF(K92&lt;1.1,1,0)+IF(L92&lt;1.1,1,0))&gt;=2,"市场异常","市场正常")</f>
        <v>市场异常</v>
      </c>
      <c r="N92" s="151" t="s">
        <v>465</v>
      </c>
      <c r="O92" s="157" t="e">
        <f t="shared" ref="O92:O94" si="108">IF(O21="","",AC24)</f>
        <v>#DIV/0!</v>
      </c>
      <c r="P92" s="157" t="e">
        <f t="shared" si="105"/>
        <v>#DIV/0!</v>
      </c>
      <c r="Q92" s="157" t="e">
        <f t="shared" si="105"/>
        <v>#DIV/0!</v>
      </c>
      <c r="R92" s="157" t="e">
        <f t="shared" si="105"/>
        <v>#DIV/0!</v>
      </c>
      <c r="S92" s="74"/>
      <c r="T92" s="120"/>
      <c r="U92" s="74"/>
      <c r="V92" s="74"/>
      <c r="W92" s="74"/>
      <c r="X92" s="74"/>
      <c r="Y92" s="74"/>
      <c r="Z92" s="74"/>
      <c r="AA92" s="73"/>
      <c r="AB92" s="74"/>
      <c r="AC92" s="74"/>
      <c r="AD92" s="74"/>
      <c r="AE92" s="74"/>
      <c r="AF92" s="74"/>
      <c r="AG92" s="74"/>
      <c r="AH92" s="73"/>
      <c r="AI92" s="367"/>
      <c r="AJ92" s="360"/>
      <c r="AK92" s="360"/>
      <c r="AL92" s="360"/>
      <c r="AM92" s="360"/>
      <c r="AN92" s="360"/>
      <c r="AO92" s="360"/>
      <c r="AP92" s="360"/>
      <c r="AQ92" s="360"/>
      <c r="AR92" s="360"/>
      <c r="AS92" s="360"/>
      <c r="AT92" s="360"/>
      <c r="AU92" s="362"/>
      <c r="AV92" s="362"/>
      <c r="AW92" s="383"/>
      <c r="AX92" s="383"/>
      <c r="AY92" s="383"/>
      <c r="AZ92" s="193"/>
      <c r="BA92" s="203"/>
      <c r="BB92" s="203"/>
      <c r="BC92" s="203"/>
      <c r="BD92" s="203"/>
      <c r="BE92" s="203"/>
      <c r="BF92" s="203"/>
      <c r="BG92" s="203"/>
      <c r="BH92" s="203"/>
      <c r="BI92" s="203"/>
      <c r="BJ92" s="203"/>
      <c r="BK92" s="203"/>
      <c r="BL92" s="203"/>
      <c r="BM92" s="203"/>
      <c r="BN92" s="203"/>
      <c r="BO92" s="203"/>
      <c r="BP92" s="203"/>
      <c r="BQ92" s="203"/>
      <c r="BR92" s="211"/>
      <c r="BS92" s="211"/>
      <c r="BT92" s="211"/>
      <c r="BU92" s="211"/>
      <c r="BV92" s="211"/>
      <c r="BW92" s="211"/>
      <c r="BX92" s="211"/>
      <c r="BY92" s="211"/>
      <c r="BZ92" s="211"/>
      <c r="CA92" s="211"/>
      <c r="CB92" s="211"/>
      <c r="CC92" s="211"/>
      <c r="CD92" s="211"/>
      <c r="CE92" s="211"/>
      <c r="CF92" s="211"/>
      <c r="CG92" s="211"/>
      <c r="CH92" s="211"/>
      <c r="CI92" s="211"/>
      <c r="CJ92" s="62"/>
    </row>
    <row r="93" s="61" customFormat="1" ht="16" customHeight="1" spans="1:88">
      <c r="A93" s="74"/>
      <c r="B93" s="74"/>
      <c r="C93" s="74"/>
      <c r="D93" s="74"/>
      <c r="E93" s="74"/>
      <c r="F93" s="74"/>
      <c r="G93" s="73"/>
      <c r="H93" s="269" t="s">
        <v>523</v>
      </c>
      <c r="I93" s="146">
        <f t="shared" si="106"/>
        <v>0</v>
      </c>
      <c r="J93" s="146">
        <f t="shared" si="104"/>
        <v>0</v>
      </c>
      <c r="K93" s="146">
        <f t="shared" si="104"/>
        <v>0</v>
      </c>
      <c r="L93" s="146">
        <f t="shared" si="104"/>
        <v>0</v>
      </c>
      <c r="M93" s="246" t="str">
        <f t="shared" si="107"/>
        <v>市场异常</v>
      </c>
      <c r="N93" s="151" t="s">
        <v>466</v>
      </c>
      <c r="O93" s="157" t="e">
        <f t="shared" si="108"/>
        <v>#DIV/0!</v>
      </c>
      <c r="P93" s="157" t="e">
        <f t="shared" si="105"/>
        <v>#DIV/0!</v>
      </c>
      <c r="Q93" s="157" t="e">
        <f t="shared" si="105"/>
        <v>#DIV/0!</v>
      </c>
      <c r="R93" s="157" t="e">
        <f t="shared" si="105"/>
        <v>#DIV/0!</v>
      </c>
      <c r="S93" s="74"/>
      <c r="T93" s="120"/>
      <c r="U93" s="74"/>
      <c r="V93" s="74"/>
      <c r="W93" s="74"/>
      <c r="X93" s="74"/>
      <c r="Y93" s="74"/>
      <c r="Z93" s="74"/>
      <c r="AA93" s="73"/>
      <c r="AB93" s="74"/>
      <c r="AC93" s="74"/>
      <c r="AD93" s="74"/>
      <c r="AE93" s="74"/>
      <c r="AF93" s="74"/>
      <c r="AG93" s="74"/>
      <c r="AH93" s="73"/>
      <c r="AI93" s="367"/>
      <c r="AJ93" s="360"/>
      <c r="AK93" s="360"/>
      <c r="AL93" s="360"/>
      <c r="AM93" s="360"/>
      <c r="AN93" s="360"/>
      <c r="AO93" s="360"/>
      <c r="AP93" s="360"/>
      <c r="AQ93" s="360"/>
      <c r="AR93" s="360"/>
      <c r="AS93" s="360"/>
      <c r="AT93" s="360"/>
      <c r="AU93" s="362"/>
      <c r="AV93" s="362"/>
      <c r="AW93" s="383"/>
      <c r="AX93" s="383"/>
      <c r="AY93" s="383"/>
      <c r="AZ93" s="193"/>
      <c r="BA93" s="203"/>
      <c r="BB93" s="203"/>
      <c r="BC93" s="203"/>
      <c r="BD93" s="203"/>
      <c r="BE93" s="203"/>
      <c r="BF93" s="203"/>
      <c r="BG93" s="203"/>
      <c r="BH93" s="203"/>
      <c r="BI93" s="203"/>
      <c r="BJ93" s="203"/>
      <c r="BK93" s="203"/>
      <c r="BL93" s="203"/>
      <c r="BM93" s="203"/>
      <c r="BN93" s="203"/>
      <c r="BO93" s="203"/>
      <c r="BP93" s="203"/>
      <c r="BQ93" s="203"/>
      <c r="BR93" s="211"/>
      <c r="BS93" s="211"/>
      <c r="BT93" s="211"/>
      <c r="BU93" s="211"/>
      <c r="BV93" s="211"/>
      <c r="BW93" s="211"/>
      <c r="BX93" s="211"/>
      <c r="BY93" s="211"/>
      <c r="BZ93" s="211"/>
      <c r="CA93" s="211"/>
      <c r="CB93" s="211"/>
      <c r="CC93" s="211"/>
      <c r="CD93" s="211"/>
      <c r="CE93" s="211"/>
      <c r="CF93" s="211"/>
      <c r="CG93" s="211"/>
      <c r="CH93" s="211"/>
      <c r="CI93" s="211"/>
      <c r="CJ93" s="62"/>
    </row>
    <row r="94" s="61" customFormat="1" ht="16" customHeight="1" spans="1:88">
      <c r="A94" s="74"/>
      <c r="B94" s="74"/>
      <c r="C94" s="74"/>
      <c r="D94" s="74"/>
      <c r="E94" s="74"/>
      <c r="F94" s="74"/>
      <c r="G94" s="73"/>
      <c r="H94" s="269" t="s">
        <v>524</v>
      </c>
      <c r="I94" s="146">
        <f t="shared" si="106"/>
        <v>0</v>
      </c>
      <c r="J94" s="146">
        <f t="shared" si="104"/>
        <v>0</v>
      </c>
      <c r="K94" s="146">
        <f t="shared" si="104"/>
        <v>0</v>
      </c>
      <c r="L94" s="146">
        <f t="shared" si="104"/>
        <v>0</v>
      </c>
      <c r="M94" s="246" t="str">
        <f t="shared" si="107"/>
        <v>市场异常</v>
      </c>
      <c r="N94" s="151" t="s">
        <v>468</v>
      </c>
      <c r="O94" s="157" t="e">
        <f t="shared" si="108"/>
        <v>#DIV/0!</v>
      </c>
      <c r="P94" s="157" t="e">
        <f t="shared" si="105"/>
        <v>#DIV/0!</v>
      </c>
      <c r="Q94" s="157" t="e">
        <f t="shared" si="105"/>
        <v>#DIV/0!</v>
      </c>
      <c r="R94" s="157" t="e">
        <f t="shared" si="105"/>
        <v>#DIV/0!</v>
      </c>
      <c r="S94" s="74"/>
      <c r="T94" s="120"/>
      <c r="U94" s="74"/>
      <c r="V94" s="74"/>
      <c r="W94" s="74"/>
      <c r="X94" s="74"/>
      <c r="Y94" s="74"/>
      <c r="Z94" s="74"/>
      <c r="AA94" s="73"/>
      <c r="AB94" s="74"/>
      <c r="AC94" s="74"/>
      <c r="AD94" s="74"/>
      <c r="AE94" s="74"/>
      <c r="AF94" s="74"/>
      <c r="AG94" s="74"/>
      <c r="AH94" s="73"/>
      <c r="AI94" s="367"/>
      <c r="AJ94" s="360"/>
      <c r="AK94" s="360"/>
      <c r="AL94" s="360"/>
      <c r="AM94" s="360"/>
      <c r="AN94" s="360"/>
      <c r="AO94" s="360"/>
      <c r="AP94" s="360"/>
      <c r="AQ94" s="360"/>
      <c r="AR94" s="360"/>
      <c r="AS94" s="360"/>
      <c r="AT94" s="360"/>
      <c r="AU94" s="362"/>
      <c r="AV94" s="362"/>
      <c r="AW94" s="383"/>
      <c r="AX94" s="383"/>
      <c r="AY94" s="383"/>
      <c r="AZ94" s="193"/>
      <c r="BA94" s="203"/>
      <c r="BB94" s="203"/>
      <c r="BC94" s="203"/>
      <c r="BD94" s="203"/>
      <c r="BE94" s="203"/>
      <c r="BF94" s="203"/>
      <c r="BG94" s="203"/>
      <c r="BH94" s="203"/>
      <c r="BI94" s="203"/>
      <c r="BJ94" s="203"/>
      <c r="BK94" s="203"/>
      <c r="BL94" s="203"/>
      <c r="BM94" s="203"/>
      <c r="BN94" s="203"/>
      <c r="BO94" s="203"/>
      <c r="BP94" s="203"/>
      <c r="BQ94" s="203"/>
      <c r="BR94" s="211"/>
      <c r="BS94" s="211"/>
      <c r="BT94" s="211"/>
      <c r="BU94" s="211"/>
      <c r="BV94" s="211"/>
      <c r="BW94" s="211"/>
      <c r="BX94" s="211"/>
      <c r="BY94" s="211"/>
      <c r="BZ94" s="211"/>
      <c r="CA94" s="211"/>
      <c r="CB94" s="211"/>
      <c r="CC94" s="211"/>
      <c r="CD94" s="211"/>
      <c r="CE94" s="211"/>
      <c r="CF94" s="211"/>
      <c r="CG94" s="211"/>
      <c r="CH94" s="211"/>
      <c r="CI94" s="211"/>
      <c r="CJ94" s="62"/>
    </row>
    <row r="95" s="61" customFormat="1" ht="16" customHeight="1" spans="1:88">
      <c r="A95" s="74"/>
      <c r="B95" s="74"/>
      <c r="C95" s="74"/>
      <c r="D95" s="74"/>
      <c r="E95" s="74"/>
      <c r="F95" s="74"/>
      <c r="G95" s="331"/>
      <c r="H95" s="74"/>
      <c r="I95" s="74"/>
      <c r="J95" s="74"/>
      <c r="K95" s="74"/>
      <c r="L95" s="74"/>
      <c r="M95" s="85"/>
      <c r="N95" s="74"/>
      <c r="O95" s="74"/>
      <c r="P95" s="74"/>
      <c r="Q95" s="74"/>
      <c r="R95" s="74"/>
      <c r="S95" s="74"/>
      <c r="T95" s="120"/>
      <c r="U95" s="74"/>
      <c r="V95" s="74"/>
      <c r="W95" s="74"/>
      <c r="X95" s="74"/>
      <c r="Y95" s="74"/>
      <c r="Z95" s="74"/>
      <c r="AA95" s="73"/>
      <c r="AB95" s="74"/>
      <c r="AC95" s="74"/>
      <c r="AD95" s="74"/>
      <c r="AE95" s="74"/>
      <c r="AF95" s="74"/>
      <c r="AG95" s="74"/>
      <c r="AH95" s="73"/>
      <c r="AI95" s="367"/>
      <c r="AJ95" s="360"/>
      <c r="AK95" s="360"/>
      <c r="AL95" s="360"/>
      <c r="AM95" s="360"/>
      <c r="AN95" s="360"/>
      <c r="AO95" s="360"/>
      <c r="AP95" s="360"/>
      <c r="AQ95" s="360"/>
      <c r="AR95" s="360"/>
      <c r="AS95" s="360"/>
      <c r="AT95" s="360"/>
      <c r="AU95" s="362"/>
      <c r="AV95" s="362"/>
      <c r="AZ95" s="193"/>
      <c r="BA95" s="203"/>
      <c r="BB95" s="203"/>
      <c r="BC95" s="203"/>
      <c r="BD95" s="203"/>
      <c r="BE95" s="203"/>
      <c r="BF95" s="203"/>
      <c r="BG95" s="203"/>
      <c r="BH95" s="203"/>
      <c r="BI95" s="203"/>
      <c r="BJ95" s="203"/>
      <c r="BK95" s="203"/>
      <c r="BL95" s="203"/>
      <c r="BM95" s="203"/>
      <c r="BN95" s="203"/>
      <c r="BO95" s="203"/>
      <c r="BP95" s="203"/>
      <c r="BQ95" s="203"/>
      <c r="BR95" s="211"/>
      <c r="BS95" s="211"/>
      <c r="BT95" s="211"/>
      <c r="BU95" s="211"/>
      <c r="BV95" s="211"/>
      <c r="BW95" s="211"/>
      <c r="BX95" s="211"/>
      <c r="BY95" s="211"/>
      <c r="BZ95" s="211"/>
      <c r="CA95" s="211"/>
      <c r="CB95" s="211"/>
      <c r="CC95" s="211"/>
      <c r="CD95" s="211"/>
      <c r="CE95" s="211"/>
      <c r="CF95" s="211"/>
      <c r="CG95" s="211"/>
      <c r="CH95" s="211"/>
      <c r="CI95" s="211"/>
      <c r="CJ95" s="62"/>
    </row>
    <row r="96" s="61" customFormat="1" ht="16" customHeight="1" spans="1:88">
      <c r="A96" s="74"/>
      <c r="B96" s="74"/>
      <c r="C96" s="74"/>
      <c r="D96" s="74"/>
      <c r="E96" s="74"/>
      <c r="F96" s="74"/>
      <c r="G96" s="73"/>
      <c r="H96" s="269" t="s">
        <v>732</v>
      </c>
      <c r="I96" s="269" t="s">
        <v>513</v>
      </c>
      <c r="J96" s="269" t="s">
        <v>514</v>
      </c>
      <c r="K96" s="269" t="s">
        <v>515</v>
      </c>
      <c r="L96" s="269" t="s">
        <v>516</v>
      </c>
      <c r="M96" s="85"/>
      <c r="N96" s="269" t="s">
        <v>733</v>
      </c>
      <c r="O96" s="269" t="s">
        <v>513</v>
      </c>
      <c r="P96" s="269" t="s">
        <v>514</v>
      </c>
      <c r="Q96" s="269" t="s">
        <v>515</v>
      </c>
      <c r="R96" s="269" t="s">
        <v>516</v>
      </c>
      <c r="S96" s="252" t="s">
        <v>734</v>
      </c>
      <c r="T96" s="252" t="s">
        <v>749</v>
      </c>
      <c r="U96" s="74"/>
      <c r="V96" s="74"/>
      <c r="W96" s="74"/>
      <c r="X96" s="74"/>
      <c r="Y96" s="74"/>
      <c r="Z96" s="74"/>
      <c r="AA96" s="73"/>
      <c r="AB96" s="74"/>
      <c r="AC96" s="74"/>
      <c r="AD96" s="74"/>
      <c r="AE96" s="74"/>
      <c r="AF96" s="74"/>
      <c r="AG96" s="74"/>
      <c r="AH96" s="73"/>
      <c r="AI96" s="367"/>
      <c r="AJ96" s="360"/>
      <c r="AK96" s="360"/>
      <c r="AL96" s="360"/>
      <c r="AM96" s="360"/>
      <c r="AN96" s="360"/>
      <c r="AO96" s="360"/>
      <c r="AP96" s="360"/>
      <c r="AQ96" s="360"/>
      <c r="AR96" s="360"/>
      <c r="AS96" s="360"/>
      <c r="AT96" s="360"/>
      <c r="AU96" s="362"/>
      <c r="AV96" s="362"/>
      <c r="AZ96" s="193"/>
      <c r="BA96" s="203"/>
      <c r="BB96" s="203"/>
      <c r="BC96" s="203"/>
      <c r="BD96" s="203"/>
      <c r="BE96" s="203"/>
      <c r="BF96" s="203"/>
      <c r="BG96" s="203"/>
      <c r="BH96" s="203"/>
      <c r="BI96" s="203"/>
      <c r="BJ96" s="203"/>
      <c r="BK96" s="203"/>
      <c r="BL96" s="203"/>
      <c r="BM96" s="203"/>
      <c r="BN96" s="203"/>
      <c r="BO96" s="203"/>
      <c r="BP96" s="203"/>
      <c r="BQ96" s="203"/>
      <c r="BR96" s="211"/>
      <c r="BS96" s="211"/>
      <c r="BT96" s="211"/>
      <c r="BU96" s="211"/>
      <c r="BV96" s="211"/>
      <c r="BW96" s="211"/>
      <c r="BX96" s="211"/>
      <c r="BY96" s="211"/>
      <c r="BZ96" s="211"/>
      <c r="CA96" s="211"/>
      <c r="CB96" s="211"/>
      <c r="CC96" s="211"/>
      <c r="CD96" s="211"/>
      <c r="CE96" s="211"/>
      <c r="CF96" s="211"/>
      <c r="CG96" s="211"/>
      <c r="CH96" s="211"/>
      <c r="CI96" s="211"/>
      <c r="CJ96" s="62"/>
    </row>
    <row r="97" s="61" customFormat="1" ht="16" customHeight="1" spans="1:88">
      <c r="A97" s="74"/>
      <c r="B97" s="74"/>
      <c r="C97" s="74"/>
      <c r="D97" s="74"/>
      <c r="E97" s="74"/>
      <c r="F97" s="74"/>
      <c r="G97" s="73"/>
      <c r="H97" s="269" t="s">
        <v>521</v>
      </c>
      <c r="I97" s="115" t="e">
        <f>第5期!O20-第4期!O20</f>
        <v>#DIV/0!</v>
      </c>
      <c r="J97" s="115" t="e">
        <f>第5期!P20-第4期!P20</f>
        <v>#DIV/0!</v>
      </c>
      <c r="K97" s="115" t="e">
        <f>第5期!Q20-第4期!Q20</f>
        <v>#DIV/0!</v>
      </c>
      <c r="L97" s="115" t="e">
        <f>第5期!R20-第4期!R20</f>
        <v>#DIV/0!</v>
      </c>
      <c r="M97" s="85"/>
      <c r="N97" s="269" t="s">
        <v>521</v>
      </c>
      <c r="O97" s="115">
        <f>V17-第5期!V17</f>
        <v>0</v>
      </c>
      <c r="P97" s="115">
        <f>W17-第5期!W17</f>
        <v>0</v>
      </c>
      <c r="Q97" s="115">
        <f>X17-第5期!X17</f>
        <v>0</v>
      </c>
      <c r="R97" s="115">
        <f>Y17-第5期!Y17</f>
        <v>0</v>
      </c>
      <c r="S97" s="253" t="e">
        <f>(I97+J97)/2+(O97+P97)/2*S73</f>
        <v>#DIV/0!</v>
      </c>
      <c r="T97" s="253" t="e">
        <f>S97-第5期!S97</f>
        <v>#DIV/0!</v>
      </c>
      <c r="U97" s="74"/>
      <c r="V97" s="74"/>
      <c r="W97" s="74"/>
      <c r="X97" s="74"/>
      <c r="Y97" s="74"/>
      <c r="Z97" s="74"/>
      <c r="AA97" s="73"/>
      <c r="AB97" s="74"/>
      <c r="AC97" s="74"/>
      <c r="AD97" s="74"/>
      <c r="AE97" s="74"/>
      <c r="AF97" s="74"/>
      <c r="AG97" s="74"/>
      <c r="AH97" s="73"/>
      <c r="AI97" s="367"/>
      <c r="AJ97" s="360"/>
      <c r="AK97" s="360"/>
      <c r="AL97" s="360"/>
      <c r="AM97" s="360"/>
      <c r="AN97" s="360"/>
      <c r="AO97" s="360"/>
      <c r="AP97" s="360"/>
      <c r="AQ97" s="360"/>
      <c r="AR97" s="360"/>
      <c r="AS97" s="360"/>
      <c r="AT97" s="360"/>
      <c r="AU97" s="362"/>
      <c r="AV97" s="362"/>
      <c r="AZ97" s="193"/>
      <c r="BA97" s="203"/>
      <c r="BB97" s="203"/>
      <c r="BC97" s="203"/>
      <c r="BD97" s="203"/>
      <c r="BE97" s="203"/>
      <c r="BF97" s="203"/>
      <c r="BG97" s="203"/>
      <c r="BH97" s="203"/>
      <c r="BI97" s="203"/>
      <c r="BJ97" s="203"/>
      <c r="BK97" s="203"/>
      <c r="BL97" s="203"/>
      <c r="BM97" s="203"/>
      <c r="BN97" s="203"/>
      <c r="BO97" s="203"/>
      <c r="BP97" s="203"/>
      <c r="BQ97" s="203"/>
      <c r="BR97" s="211"/>
      <c r="BS97" s="211"/>
      <c r="BT97" s="211"/>
      <c r="BU97" s="211"/>
      <c r="BV97" s="211"/>
      <c r="BW97" s="211"/>
      <c r="BX97" s="211"/>
      <c r="BY97" s="211"/>
      <c r="BZ97" s="211"/>
      <c r="CA97" s="211"/>
      <c r="CB97" s="211"/>
      <c r="CC97" s="211"/>
      <c r="CD97" s="211"/>
      <c r="CE97" s="211"/>
      <c r="CF97" s="211"/>
      <c r="CG97" s="211"/>
      <c r="CH97" s="211"/>
      <c r="CI97" s="211"/>
      <c r="CJ97" s="62"/>
    </row>
    <row r="98" s="61" customFormat="1" ht="16" customHeight="1" spans="1:88">
      <c r="A98" s="74"/>
      <c r="B98" s="74"/>
      <c r="C98" s="74"/>
      <c r="D98" s="74"/>
      <c r="E98" s="74"/>
      <c r="F98" s="74"/>
      <c r="G98" s="73"/>
      <c r="H98" s="269" t="s">
        <v>522</v>
      </c>
      <c r="I98" s="115" t="e">
        <f>第5期!O21-第4期!O21</f>
        <v>#DIV/0!</v>
      </c>
      <c r="J98" s="115" t="e">
        <f>第5期!P21-第4期!P21</f>
        <v>#DIV/0!</v>
      </c>
      <c r="K98" s="115" t="e">
        <f>第5期!Q21-第4期!Q21</f>
        <v>#DIV/0!</v>
      </c>
      <c r="L98" s="115" t="e">
        <f>第5期!R21-第4期!R21</f>
        <v>#DIV/0!</v>
      </c>
      <c r="M98" s="85"/>
      <c r="N98" s="269" t="s">
        <v>522</v>
      </c>
      <c r="O98" s="115">
        <f>V18-第5期!V18</f>
        <v>0</v>
      </c>
      <c r="P98" s="115">
        <f>W18-第5期!W18</f>
        <v>0</v>
      </c>
      <c r="Q98" s="115">
        <f>X18-第5期!X18</f>
        <v>0</v>
      </c>
      <c r="R98" s="115">
        <f>Y18-第5期!Y18</f>
        <v>0</v>
      </c>
      <c r="S98" s="253" t="e">
        <f t="shared" ref="S98:S100" si="109">(I98+J98)/2+(O98+P98)/2*S74</f>
        <v>#DIV/0!</v>
      </c>
      <c r="T98" s="253" t="e">
        <f>S98-第5期!S98</f>
        <v>#DIV/0!</v>
      </c>
      <c r="U98" s="74"/>
      <c r="V98" s="74"/>
      <c r="W98" s="74"/>
      <c r="X98" s="74"/>
      <c r="Y98" s="74"/>
      <c r="Z98" s="74"/>
      <c r="AA98" s="73"/>
      <c r="AB98" s="74"/>
      <c r="AC98" s="74"/>
      <c r="AD98" s="74"/>
      <c r="AE98" s="74"/>
      <c r="AF98" s="74"/>
      <c r="AG98" s="74"/>
      <c r="AH98" s="73"/>
      <c r="AI98" s="367"/>
      <c r="AJ98" s="360"/>
      <c r="AK98" s="360"/>
      <c r="AL98" s="360"/>
      <c r="AM98" s="360"/>
      <c r="AN98" s="360"/>
      <c r="AO98" s="360"/>
      <c r="AP98" s="360"/>
      <c r="AQ98" s="360"/>
      <c r="AR98" s="360"/>
      <c r="AS98" s="360"/>
      <c r="AT98" s="360"/>
      <c r="AU98" s="362"/>
      <c r="AV98" s="362"/>
      <c r="AZ98" s="193"/>
      <c r="BA98" s="203"/>
      <c r="BB98" s="203"/>
      <c r="BC98" s="203"/>
      <c r="BD98" s="203"/>
      <c r="BE98" s="203"/>
      <c r="BF98" s="203"/>
      <c r="BG98" s="203"/>
      <c r="BH98" s="203"/>
      <c r="BI98" s="203"/>
      <c r="BJ98" s="203"/>
      <c r="BK98" s="203"/>
      <c r="BL98" s="203"/>
      <c r="BM98" s="203"/>
      <c r="BN98" s="203"/>
      <c r="BO98" s="203"/>
      <c r="BP98" s="203"/>
      <c r="BQ98" s="203"/>
      <c r="BR98" s="211"/>
      <c r="BS98" s="211"/>
      <c r="BT98" s="211"/>
      <c r="BU98" s="211"/>
      <c r="BV98" s="211"/>
      <c r="BW98" s="211"/>
      <c r="BX98" s="211"/>
      <c r="BY98" s="211"/>
      <c r="BZ98" s="211"/>
      <c r="CA98" s="211"/>
      <c r="CB98" s="211"/>
      <c r="CC98" s="211"/>
      <c r="CD98" s="211"/>
      <c r="CE98" s="211"/>
      <c r="CF98" s="211"/>
      <c r="CG98" s="211"/>
      <c r="CH98" s="211"/>
      <c r="CI98" s="211"/>
      <c r="CJ98" s="62"/>
    </row>
    <row r="99" s="61" customFormat="1" ht="16" customHeight="1" spans="1:88">
      <c r="A99" s="74"/>
      <c r="B99" s="74"/>
      <c r="C99" s="74"/>
      <c r="D99" s="74"/>
      <c r="E99" s="74"/>
      <c r="F99" s="74"/>
      <c r="G99" s="73"/>
      <c r="H99" s="269" t="s">
        <v>523</v>
      </c>
      <c r="I99" s="115" t="e">
        <f>第5期!O22-第4期!O22</f>
        <v>#DIV/0!</v>
      </c>
      <c r="J99" s="115" t="e">
        <f>第5期!P22-第4期!P22</f>
        <v>#DIV/0!</v>
      </c>
      <c r="K99" s="115" t="e">
        <f>第5期!Q22-第4期!Q22</f>
        <v>#DIV/0!</v>
      </c>
      <c r="L99" s="115" t="e">
        <f>第5期!R22-第4期!R22</f>
        <v>#DIV/0!</v>
      </c>
      <c r="M99" s="85"/>
      <c r="N99" s="269" t="s">
        <v>523</v>
      </c>
      <c r="O99" s="115">
        <f>V19-第5期!V19</f>
        <v>0</v>
      </c>
      <c r="P99" s="115">
        <f>W19-第5期!W19</f>
        <v>0</v>
      </c>
      <c r="Q99" s="115">
        <f>X19-第5期!X19</f>
        <v>0</v>
      </c>
      <c r="R99" s="115">
        <f>Y19-第5期!Y19</f>
        <v>0</v>
      </c>
      <c r="S99" s="253" t="e">
        <f t="shared" si="109"/>
        <v>#DIV/0!</v>
      </c>
      <c r="T99" s="253" t="e">
        <f>S99-第5期!S99</f>
        <v>#DIV/0!</v>
      </c>
      <c r="U99" s="74"/>
      <c r="V99" s="74"/>
      <c r="W99" s="74"/>
      <c r="X99" s="74"/>
      <c r="Y99" s="74"/>
      <c r="Z99" s="74"/>
      <c r="AA99" s="73"/>
      <c r="AB99" s="74"/>
      <c r="AC99" s="74"/>
      <c r="AD99" s="74"/>
      <c r="AE99" s="74"/>
      <c r="AF99" s="74"/>
      <c r="AG99" s="74"/>
      <c r="AH99" s="73"/>
      <c r="AI99" s="367"/>
      <c r="AJ99" s="360"/>
      <c r="AK99" s="360"/>
      <c r="AL99" s="360"/>
      <c r="AM99" s="360"/>
      <c r="AN99" s="360"/>
      <c r="AO99" s="360"/>
      <c r="AP99" s="360"/>
      <c r="AQ99" s="360"/>
      <c r="AR99" s="360"/>
      <c r="AS99" s="360"/>
      <c r="AT99" s="360"/>
      <c r="AU99" s="362"/>
      <c r="AV99" s="362"/>
      <c r="AZ99" s="193"/>
      <c r="BA99" s="203"/>
      <c r="BB99" s="203"/>
      <c r="BC99" s="203"/>
      <c r="BD99" s="203"/>
      <c r="BE99" s="203"/>
      <c r="BF99" s="203"/>
      <c r="BG99" s="203"/>
      <c r="BH99" s="203"/>
      <c r="BI99" s="203"/>
      <c r="BJ99" s="203"/>
      <c r="BK99" s="203"/>
      <c r="BL99" s="203"/>
      <c r="BM99" s="203"/>
      <c r="BN99" s="203"/>
      <c r="BO99" s="203"/>
      <c r="BP99" s="203"/>
      <c r="BQ99" s="203"/>
      <c r="BR99" s="211"/>
      <c r="BS99" s="211"/>
      <c r="BT99" s="211"/>
      <c r="BU99" s="211"/>
      <c r="BV99" s="211"/>
      <c r="BW99" s="211"/>
      <c r="BX99" s="211"/>
      <c r="BY99" s="211"/>
      <c r="BZ99" s="211"/>
      <c r="CA99" s="211"/>
      <c r="CB99" s="211"/>
      <c r="CC99" s="211"/>
      <c r="CD99" s="211"/>
      <c r="CE99" s="211"/>
      <c r="CF99" s="211"/>
      <c r="CG99" s="211"/>
      <c r="CH99" s="211"/>
      <c r="CI99" s="211"/>
      <c r="CJ99" s="62"/>
    </row>
    <row r="100" s="61" customFormat="1" ht="16" customHeight="1" spans="1:88">
      <c r="A100" s="74"/>
      <c r="B100" s="74"/>
      <c r="C100" s="74"/>
      <c r="D100" s="74"/>
      <c r="E100" s="74"/>
      <c r="F100" s="74"/>
      <c r="G100" s="73"/>
      <c r="H100" s="269" t="s">
        <v>524</v>
      </c>
      <c r="I100" s="115" t="e">
        <f>第5期!O23-第4期!O23</f>
        <v>#DIV/0!</v>
      </c>
      <c r="J100" s="115" t="e">
        <f>第5期!P23-第4期!P23</f>
        <v>#DIV/0!</v>
      </c>
      <c r="K100" s="115" t="e">
        <f>第5期!Q23-第4期!Q23</f>
        <v>#DIV/0!</v>
      </c>
      <c r="L100" s="115" t="e">
        <f>第5期!R23-第4期!R23</f>
        <v>#DIV/0!</v>
      </c>
      <c r="M100" s="85"/>
      <c r="N100" s="269" t="s">
        <v>524</v>
      </c>
      <c r="O100" s="115">
        <f>V20-第5期!V20</f>
        <v>0</v>
      </c>
      <c r="P100" s="115">
        <f>W20-第5期!W20</f>
        <v>0</v>
      </c>
      <c r="Q100" s="115">
        <f>X20-第5期!X20</f>
        <v>0</v>
      </c>
      <c r="R100" s="115">
        <f>Y20-第5期!Y20</f>
        <v>0</v>
      </c>
      <c r="S100" s="253" t="e">
        <f t="shared" si="109"/>
        <v>#DIV/0!</v>
      </c>
      <c r="T100" s="253" t="e">
        <f>S100-第5期!S100</f>
        <v>#DIV/0!</v>
      </c>
      <c r="U100" s="74"/>
      <c r="V100" s="74"/>
      <c r="W100" s="74"/>
      <c r="X100" s="74"/>
      <c r="Y100" s="74"/>
      <c r="Z100" s="74"/>
      <c r="AA100" s="73"/>
      <c r="AB100" s="74"/>
      <c r="AC100" s="74"/>
      <c r="AD100" s="74"/>
      <c r="AE100" s="74"/>
      <c r="AF100" s="74"/>
      <c r="AG100" s="74"/>
      <c r="AH100" s="73"/>
      <c r="AI100" s="367"/>
      <c r="AJ100" s="360"/>
      <c r="AK100" s="360"/>
      <c r="AL100" s="360"/>
      <c r="AM100" s="360"/>
      <c r="AN100" s="360"/>
      <c r="AO100" s="360"/>
      <c r="AP100" s="360"/>
      <c r="AQ100" s="360"/>
      <c r="AR100" s="360"/>
      <c r="AS100" s="360"/>
      <c r="AT100" s="360"/>
      <c r="AU100" s="362"/>
      <c r="AV100" s="362"/>
      <c r="AZ100" s="193"/>
      <c r="BA100" s="203"/>
      <c r="BB100" s="203"/>
      <c r="BC100" s="203"/>
      <c r="BD100" s="203"/>
      <c r="BE100" s="203"/>
      <c r="BF100" s="203"/>
      <c r="BG100" s="203"/>
      <c r="BH100" s="203"/>
      <c r="BI100" s="203"/>
      <c r="BJ100" s="203"/>
      <c r="BK100" s="203"/>
      <c r="BL100" s="203"/>
      <c r="BM100" s="203"/>
      <c r="BN100" s="203"/>
      <c r="BO100" s="203"/>
      <c r="BP100" s="203"/>
      <c r="BQ100" s="203"/>
      <c r="BR100" s="211"/>
      <c r="BS100" s="211"/>
      <c r="BT100" s="211"/>
      <c r="BU100" s="211"/>
      <c r="BV100" s="211"/>
      <c r="BW100" s="211"/>
      <c r="BX100" s="211"/>
      <c r="BY100" s="211"/>
      <c r="BZ100" s="211"/>
      <c r="CA100" s="211"/>
      <c r="CB100" s="211"/>
      <c r="CC100" s="211"/>
      <c r="CD100" s="211"/>
      <c r="CE100" s="211"/>
      <c r="CF100" s="211"/>
      <c r="CG100" s="211"/>
      <c r="CH100" s="211"/>
      <c r="CI100" s="211"/>
      <c r="CJ100" s="62"/>
    </row>
    <row r="101" s="61" customFormat="1" ht="16" customHeight="1" spans="7:88">
      <c r="G101" s="63"/>
      <c r="M101" s="247"/>
      <c r="T101" s="64"/>
      <c r="AA101" s="63"/>
      <c r="AH101" s="63"/>
      <c r="AI101" s="367"/>
      <c r="AJ101" s="360"/>
      <c r="AK101" s="360"/>
      <c r="AL101" s="360"/>
      <c r="AM101" s="360"/>
      <c r="AN101" s="360"/>
      <c r="AO101" s="360"/>
      <c r="AP101" s="360"/>
      <c r="AQ101" s="360"/>
      <c r="AR101" s="360"/>
      <c r="AS101" s="360"/>
      <c r="AT101" s="360"/>
      <c r="AU101" s="362"/>
      <c r="AV101" s="362"/>
      <c r="AZ101" s="193"/>
      <c r="BA101" s="203"/>
      <c r="BB101" s="203"/>
      <c r="BC101" s="203"/>
      <c r="BD101" s="203"/>
      <c r="BE101" s="203"/>
      <c r="BF101" s="203"/>
      <c r="BG101" s="203"/>
      <c r="BH101" s="203"/>
      <c r="BI101" s="203"/>
      <c r="BJ101" s="203"/>
      <c r="BK101" s="203"/>
      <c r="BL101" s="203"/>
      <c r="BM101" s="203"/>
      <c r="BN101" s="203"/>
      <c r="BO101" s="203"/>
      <c r="BP101" s="203"/>
      <c r="BQ101" s="203"/>
      <c r="BR101" s="211"/>
      <c r="BS101" s="211"/>
      <c r="BT101" s="211"/>
      <c r="BU101" s="211"/>
      <c r="BV101" s="211"/>
      <c r="BW101" s="211"/>
      <c r="BX101" s="211"/>
      <c r="BY101" s="211"/>
      <c r="BZ101" s="211"/>
      <c r="CA101" s="211"/>
      <c r="CB101" s="211"/>
      <c r="CC101" s="211"/>
      <c r="CD101" s="211"/>
      <c r="CE101" s="211"/>
      <c r="CF101" s="211"/>
      <c r="CG101" s="211"/>
      <c r="CH101" s="211"/>
      <c r="CI101" s="211"/>
      <c r="CJ101" s="62"/>
    </row>
    <row r="102" s="61" customFormat="1" ht="16" customHeight="1" spans="7:88">
      <c r="G102" s="63"/>
      <c r="M102" s="247"/>
      <c r="T102" s="64"/>
      <c r="AA102" s="63"/>
      <c r="AH102" s="63"/>
      <c r="AI102" s="367"/>
      <c r="AJ102" s="360"/>
      <c r="AK102" s="360"/>
      <c r="AL102" s="360"/>
      <c r="AM102" s="360"/>
      <c r="AN102" s="360"/>
      <c r="AO102" s="360"/>
      <c r="AP102" s="360"/>
      <c r="AQ102" s="360"/>
      <c r="AR102" s="360"/>
      <c r="AS102" s="360"/>
      <c r="AT102" s="360"/>
      <c r="AU102" s="362"/>
      <c r="AV102" s="362"/>
      <c r="AZ102" s="193"/>
      <c r="BA102" s="203"/>
      <c r="BB102" s="203"/>
      <c r="BC102" s="203"/>
      <c r="BD102" s="203"/>
      <c r="BE102" s="203"/>
      <c r="BF102" s="203"/>
      <c r="BG102" s="203"/>
      <c r="BH102" s="203"/>
      <c r="BI102" s="203"/>
      <c r="BJ102" s="203"/>
      <c r="BK102" s="203"/>
      <c r="BL102" s="203"/>
      <c r="BM102" s="203"/>
      <c r="BN102" s="203"/>
      <c r="BO102" s="203"/>
      <c r="BP102" s="203"/>
      <c r="BQ102" s="203"/>
      <c r="BR102" s="211"/>
      <c r="BS102" s="211"/>
      <c r="BT102" s="211"/>
      <c r="BU102" s="211"/>
      <c r="BV102" s="211"/>
      <c r="BW102" s="211"/>
      <c r="BX102" s="211"/>
      <c r="BY102" s="211"/>
      <c r="BZ102" s="211"/>
      <c r="CA102" s="211"/>
      <c r="CB102" s="211"/>
      <c r="CC102" s="211"/>
      <c r="CD102" s="211"/>
      <c r="CE102" s="211"/>
      <c r="CF102" s="211"/>
      <c r="CG102" s="211"/>
      <c r="CH102" s="211"/>
      <c r="CI102" s="211"/>
      <c r="CJ102" s="62"/>
    </row>
    <row r="103" s="61" customFormat="1" ht="16" customHeight="1" spans="7:88">
      <c r="G103" s="63"/>
      <c r="M103" s="247"/>
      <c r="T103" s="64"/>
      <c r="AA103" s="63"/>
      <c r="AH103" s="63"/>
      <c r="AI103" s="367"/>
      <c r="AJ103" s="360"/>
      <c r="AK103" s="360"/>
      <c r="AL103" s="360"/>
      <c r="AM103" s="360"/>
      <c r="AN103" s="360"/>
      <c r="AO103" s="360"/>
      <c r="AP103" s="360"/>
      <c r="AQ103" s="360"/>
      <c r="AR103" s="360"/>
      <c r="AS103" s="360"/>
      <c r="AT103" s="360"/>
      <c r="AU103" s="362"/>
      <c r="AV103" s="362"/>
      <c r="AZ103" s="193"/>
      <c r="BA103" s="203"/>
      <c r="BB103" s="203"/>
      <c r="BC103" s="203"/>
      <c r="BD103" s="203"/>
      <c r="BE103" s="203"/>
      <c r="BF103" s="203"/>
      <c r="BG103" s="203"/>
      <c r="BH103" s="203"/>
      <c r="BI103" s="203"/>
      <c r="BJ103" s="203"/>
      <c r="BK103" s="203"/>
      <c r="BL103" s="203"/>
      <c r="BM103" s="203"/>
      <c r="BN103" s="203"/>
      <c r="BO103" s="203"/>
      <c r="BP103" s="203"/>
      <c r="BQ103" s="203"/>
      <c r="BR103" s="211"/>
      <c r="BS103" s="211"/>
      <c r="BT103" s="211"/>
      <c r="BU103" s="211"/>
      <c r="BV103" s="211"/>
      <c r="BW103" s="211"/>
      <c r="BX103" s="211"/>
      <c r="BY103" s="211"/>
      <c r="BZ103" s="211"/>
      <c r="CA103" s="211"/>
      <c r="CB103" s="211"/>
      <c r="CC103" s="211"/>
      <c r="CD103" s="211"/>
      <c r="CE103" s="211"/>
      <c r="CF103" s="211"/>
      <c r="CG103" s="211"/>
      <c r="CH103" s="211"/>
      <c r="CI103" s="211"/>
      <c r="CJ103" s="62"/>
    </row>
    <row r="104" s="61" customFormat="1" ht="16" customHeight="1" spans="7:88">
      <c r="G104" s="63"/>
      <c r="M104" s="247"/>
      <c r="T104" s="64"/>
      <c r="AA104" s="63"/>
      <c r="AH104" s="63"/>
      <c r="AZ104" s="193"/>
      <c r="BA104" s="203"/>
      <c r="BB104" s="203"/>
      <c r="BC104" s="203"/>
      <c r="BD104" s="203"/>
      <c r="BE104" s="203"/>
      <c r="BF104" s="203"/>
      <c r="BG104" s="203"/>
      <c r="BH104" s="203"/>
      <c r="BI104" s="203"/>
      <c r="BJ104" s="203"/>
      <c r="BK104" s="203"/>
      <c r="BL104" s="203"/>
      <c r="BM104" s="203"/>
      <c r="BN104" s="203"/>
      <c r="BO104" s="203"/>
      <c r="BP104" s="203"/>
      <c r="BQ104" s="203"/>
      <c r="BR104" s="211"/>
      <c r="BS104" s="211"/>
      <c r="BT104" s="211"/>
      <c r="BU104" s="211"/>
      <c r="BV104" s="211"/>
      <c r="BW104" s="211"/>
      <c r="BX104" s="211"/>
      <c r="BY104" s="211"/>
      <c r="BZ104" s="211"/>
      <c r="CA104" s="211"/>
      <c r="CB104" s="211"/>
      <c r="CC104" s="211"/>
      <c r="CD104" s="211"/>
      <c r="CE104" s="211"/>
      <c r="CF104" s="211"/>
      <c r="CG104" s="211"/>
      <c r="CH104" s="211"/>
      <c r="CI104" s="211"/>
      <c r="CJ104" s="62"/>
    </row>
    <row r="105" s="61" customFormat="1" ht="16" customHeight="1" spans="7:88">
      <c r="G105" s="63"/>
      <c r="M105" s="247"/>
      <c r="T105" s="64"/>
      <c r="AA105" s="63"/>
      <c r="AH105" s="63"/>
      <c r="AZ105" s="193"/>
      <c r="BA105" s="203"/>
      <c r="BB105" s="203"/>
      <c r="BC105" s="203"/>
      <c r="BD105" s="203"/>
      <c r="BE105" s="203"/>
      <c r="BF105" s="203"/>
      <c r="BG105" s="203"/>
      <c r="BH105" s="203"/>
      <c r="BI105" s="203"/>
      <c r="BJ105" s="203"/>
      <c r="BK105" s="203"/>
      <c r="BL105" s="203"/>
      <c r="BM105" s="203"/>
      <c r="BN105" s="203"/>
      <c r="BO105" s="203"/>
      <c r="BP105" s="203"/>
      <c r="BQ105" s="203"/>
      <c r="BR105" s="211"/>
      <c r="BS105" s="211"/>
      <c r="BT105" s="211"/>
      <c r="BU105" s="211"/>
      <c r="BV105" s="211"/>
      <c r="BW105" s="211"/>
      <c r="BX105" s="211"/>
      <c r="BY105" s="211"/>
      <c r="BZ105" s="211"/>
      <c r="CA105" s="211"/>
      <c r="CB105" s="211"/>
      <c r="CC105" s="211"/>
      <c r="CD105" s="211"/>
      <c r="CE105" s="211"/>
      <c r="CF105" s="211"/>
      <c r="CG105" s="211"/>
      <c r="CH105" s="211"/>
      <c r="CI105" s="211"/>
      <c r="CJ105" s="62"/>
    </row>
    <row r="106" s="61" customFormat="1" ht="16" customHeight="1" spans="7:88">
      <c r="G106" s="63"/>
      <c r="M106" s="247"/>
      <c r="T106" s="64"/>
      <c r="AA106" s="63"/>
      <c r="AH106" s="63"/>
      <c r="AI106" s="68" t="s">
        <v>37</v>
      </c>
      <c r="AJ106" s="68" t="s">
        <v>348</v>
      </c>
      <c r="AK106" s="68" t="s">
        <v>349</v>
      </c>
      <c r="AL106" s="68" t="s">
        <v>350</v>
      </c>
      <c r="AM106" s="68" t="s">
        <v>351</v>
      </c>
      <c r="AN106" s="68" t="s">
        <v>352</v>
      </c>
      <c r="AO106" s="68" t="s">
        <v>353</v>
      </c>
      <c r="AP106" s="68" t="s">
        <v>354</v>
      </c>
      <c r="AQ106" s="68" t="s">
        <v>355</v>
      </c>
      <c r="AR106" s="241" t="s">
        <v>708</v>
      </c>
      <c r="AS106" s="68" t="s">
        <v>709</v>
      </c>
      <c r="AT106" s="68" t="s">
        <v>710</v>
      </c>
      <c r="AU106" s="241" t="s">
        <v>711</v>
      </c>
      <c r="AV106" s="68" t="s">
        <v>712</v>
      </c>
      <c r="AW106" s="384" t="s">
        <v>713</v>
      </c>
      <c r="AX106" s="68" t="s">
        <v>714</v>
      </c>
      <c r="AY106" s="68" t="s">
        <v>735</v>
      </c>
      <c r="AZ106" s="193"/>
      <c r="BA106" s="203"/>
      <c r="BB106" s="203"/>
      <c r="BC106" s="203"/>
      <c r="BD106" s="203"/>
      <c r="BE106" s="203"/>
      <c r="BF106" s="203"/>
      <c r="BG106" s="203"/>
      <c r="BH106" s="203"/>
      <c r="BI106" s="203"/>
      <c r="BJ106" s="203"/>
      <c r="BK106" s="203"/>
      <c r="BL106" s="203"/>
      <c r="BM106" s="203"/>
      <c r="BN106" s="203"/>
      <c r="BO106" s="203"/>
      <c r="BP106" s="203"/>
      <c r="BQ106" s="203"/>
      <c r="BR106" s="211"/>
      <c r="BS106" s="211"/>
      <c r="BT106" s="211"/>
      <c r="BU106" s="211"/>
      <c r="BV106" s="211"/>
      <c r="BW106" s="211"/>
      <c r="BX106" s="211"/>
      <c r="BY106" s="211"/>
      <c r="BZ106" s="211"/>
      <c r="CA106" s="211"/>
      <c r="CB106" s="211"/>
      <c r="CC106" s="211"/>
      <c r="CD106" s="211"/>
      <c r="CE106" s="211"/>
      <c r="CF106" s="211"/>
      <c r="CG106" s="211"/>
      <c r="CH106" s="211"/>
      <c r="CI106" s="211"/>
      <c r="CJ106" s="62"/>
    </row>
    <row r="107" s="61" customFormat="1" ht="16" customHeight="1" spans="7:88">
      <c r="G107" s="63"/>
      <c r="M107" s="247"/>
      <c r="T107" s="64"/>
      <c r="AA107" s="63"/>
      <c r="AH107" s="63"/>
      <c r="AI107" s="367"/>
      <c r="AJ107" s="364"/>
      <c r="AK107" s="364"/>
      <c r="AL107" s="364"/>
      <c r="AM107" s="364"/>
      <c r="AN107" s="364"/>
      <c r="AO107" s="364"/>
      <c r="AP107" s="364"/>
      <c r="AQ107" s="360"/>
      <c r="AR107" s="381">
        <f>-AT107*5%</f>
        <v>0</v>
      </c>
      <c r="AS107" s="381">
        <f>第5期!AS107+第5期!AR107+第5期!AU107</f>
        <v>0</v>
      </c>
      <c r="AT107" s="382">
        <f>第5期!AU107+第5期!AT107</f>
        <v>0</v>
      </c>
      <c r="AU107" s="381">
        <f>0.5*第5期!AP107-AS107</f>
        <v>0</v>
      </c>
      <c r="AV107" s="381">
        <f>AU107+AS107+AR107</f>
        <v>0</v>
      </c>
      <c r="AW107" s="385" t="e">
        <f>AL107/(AP107+AV107)</f>
        <v>#DIV/0!</v>
      </c>
      <c r="AX107" s="386">
        <f>MAX(AK107,第5期!AO107)</f>
        <v>0</v>
      </c>
      <c r="AY107" s="327">
        <f>IF(AI107="",0,IF(AL107&lt;MAX(AL107:AL126)/3,1,0))</f>
        <v>0</v>
      </c>
      <c r="AZ107" s="193"/>
      <c r="BA107" s="203"/>
      <c r="BB107" s="203"/>
      <c r="BC107" s="203"/>
      <c r="BD107" s="203"/>
      <c r="BE107" s="203"/>
      <c r="BF107" s="203"/>
      <c r="BG107" s="203"/>
      <c r="BH107" s="203"/>
      <c r="BI107" s="203"/>
      <c r="BJ107" s="203"/>
      <c r="BK107" s="203"/>
      <c r="BL107" s="203"/>
      <c r="BM107" s="203"/>
      <c r="BN107" s="203"/>
      <c r="BO107" s="203"/>
      <c r="BP107" s="203"/>
      <c r="BQ107" s="203"/>
      <c r="BR107" s="211"/>
      <c r="BS107" s="211"/>
      <c r="BT107" s="211"/>
      <c r="BU107" s="211"/>
      <c r="BV107" s="211"/>
      <c r="BW107" s="211"/>
      <c r="BX107" s="211"/>
      <c r="BY107" s="211"/>
      <c r="BZ107" s="211"/>
      <c r="CA107" s="211"/>
      <c r="CB107" s="211"/>
      <c r="CC107" s="211"/>
      <c r="CD107" s="211"/>
      <c r="CE107" s="211"/>
      <c r="CF107" s="211"/>
      <c r="CG107" s="211"/>
      <c r="CH107" s="211"/>
      <c r="CI107" s="211"/>
      <c r="CJ107" s="62"/>
    </row>
    <row r="108" s="61" customFormat="1" ht="16" customHeight="1" spans="7:88">
      <c r="G108" s="63"/>
      <c r="M108" s="247"/>
      <c r="T108" s="64"/>
      <c r="AA108" s="63"/>
      <c r="AH108" s="63"/>
      <c r="AI108" s="367"/>
      <c r="AJ108" s="364"/>
      <c r="AK108" s="364"/>
      <c r="AL108" s="364"/>
      <c r="AM108" s="364"/>
      <c r="AN108" s="364"/>
      <c r="AO108" s="364"/>
      <c r="AP108" s="364"/>
      <c r="AQ108" s="360"/>
      <c r="AR108" s="381">
        <f t="shared" ref="AR108:AR126" si="110">-AT108*5%</f>
        <v>0</v>
      </c>
      <c r="AS108" s="381">
        <f>第5期!AS108+第5期!AR108+第5期!AU108</f>
        <v>0</v>
      </c>
      <c r="AT108" s="382">
        <f>第5期!AU108+第5期!AT108</f>
        <v>0</v>
      </c>
      <c r="AU108" s="381">
        <f>0.5*第5期!AP108-AS108</f>
        <v>0</v>
      </c>
      <c r="AV108" s="381">
        <f t="shared" ref="AV108:AV126" si="111">AU108+AS108+AR108</f>
        <v>0</v>
      </c>
      <c r="AW108" s="385" t="e">
        <f t="shared" ref="AW108:AW126" si="112">AL108/(AP108+AV108)</f>
        <v>#DIV/0!</v>
      </c>
      <c r="AX108" s="386">
        <f>MAX(AK108,第5期!AO108)</f>
        <v>0</v>
      </c>
      <c r="AY108" s="327">
        <f t="shared" ref="AY108:AY126" si="113">IF(AI108="",0,IF(AL108&lt;MAX(AL108:AL127)/3,1,0))</f>
        <v>0</v>
      </c>
      <c r="AZ108" s="193"/>
      <c r="BA108" s="203"/>
      <c r="BB108" s="203"/>
      <c r="BC108" s="203"/>
      <c r="BD108" s="203"/>
      <c r="BE108" s="203"/>
      <c r="BF108" s="203"/>
      <c r="BG108" s="203"/>
      <c r="BH108" s="203"/>
      <c r="BI108" s="203"/>
      <c r="BJ108" s="203"/>
      <c r="BK108" s="203"/>
      <c r="BL108" s="203"/>
      <c r="BM108" s="203"/>
      <c r="BN108" s="203"/>
      <c r="BO108" s="203"/>
      <c r="BP108" s="203"/>
      <c r="BQ108" s="203"/>
      <c r="BR108" s="211"/>
      <c r="BS108" s="211"/>
      <c r="BT108" s="211"/>
      <c r="BU108" s="211"/>
      <c r="BV108" s="211"/>
      <c r="BW108" s="211"/>
      <c r="BX108" s="211"/>
      <c r="BY108" s="211"/>
      <c r="BZ108" s="211"/>
      <c r="CA108" s="211"/>
      <c r="CB108" s="211"/>
      <c r="CC108" s="211"/>
      <c r="CD108" s="211"/>
      <c r="CE108" s="211"/>
      <c r="CF108" s="211"/>
      <c r="CG108" s="211"/>
      <c r="CH108" s="211"/>
      <c r="CI108" s="211"/>
      <c r="CJ108" s="62"/>
    </row>
    <row r="109" s="61" customFormat="1" ht="16" customHeight="1" spans="7:88">
      <c r="G109" s="63"/>
      <c r="M109" s="247"/>
      <c r="T109" s="64"/>
      <c r="AA109" s="63"/>
      <c r="AH109" s="63"/>
      <c r="AI109" s="367"/>
      <c r="AJ109" s="364"/>
      <c r="AK109" s="364"/>
      <c r="AL109" s="364"/>
      <c r="AM109" s="364"/>
      <c r="AN109" s="364"/>
      <c r="AO109" s="364"/>
      <c r="AP109" s="364"/>
      <c r="AQ109" s="360"/>
      <c r="AR109" s="381">
        <f t="shared" si="110"/>
        <v>0</v>
      </c>
      <c r="AS109" s="381">
        <f>第5期!AS109+第5期!AR109+第5期!AU109</f>
        <v>0</v>
      </c>
      <c r="AT109" s="382">
        <f>第5期!AU109+第5期!AT109</f>
        <v>0</v>
      </c>
      <c r="AU109" s="381">
        <f>0.5*第5期!AP109-AS109</f>
        <v>0</v>
      </c>
      <c r="AV109" s="381">
        <f t="shared" si="111"/>
        <v>0</v>
      </c>
      <c r="AW109" s="385" t="e">
        <f t="shared" si="112"/>
        <v>#DIV/0!</v>
      </c>
      <c r="AX109" s="386">
        <f>MAX(AK109,第5期!AO109)</f>
        <v>0</v>
      </c>
      <c r="AY109" s="327">
        <f t="shared" si="113"/>
        <v>0</v>
      </c>
      <c r="AZ109" s="193"/>
      <c r="BA109" s="203"/>
      <c r="BB109" s="203"/>
      <c r="BC109" s="203"/>
      <c r="BD109" s="203"/>
      <c r="BE109" s="203"/>
      <c r="BF109" s="203"/>
      <c r="BG109" s="203"/>
      <c r="BH109" s="203"/>
      <c r="BI109" s="203"/>
      <c r="BJ109" s="203"/>
      <c r="BK109" s="203"/>
      <c r="BL109" s="203"/>
      <c r="BM109" s="203"/>
      <c r="BN109" s="203"/>
      <c r="BO109" s="203"/>
      <c r="BP109" s="203"/>
      <c r="BQ109" s="203"/>
      <c r="BR109" s="211"/>
      <c r="BS109" s="211"/>
      <c r="BT109" s="211"/>
      <c r="BU109" s="211"/>
      <c r="BV109" s="211"/>
      <c r="BW109" s="211"/>
      <c r="BX109" s="211"/>
      <c r="BY109" s="211"/>
      <c r="BZ109" s="211"/>
      <c r="CA109" s="211"/>
      <c r="CB109" s="211"/>
      <c r="CC109" s="211"/>
      <c r="CD109" s="211"/>
      <c r="CE109" s="211"/>
      <c r="CF109" s="211"/>
      <c r="CG109" s="211"/>
      <c r="CH109" s="211"/>
      <c r="CI109" s="211"/>
      <c r="CJ109" s="62"/>
    </row>
    <row r="110" s="61" customFormat="1" ht="16" customHeight="1" spans="7:88">
      <c r="G110" s="63"/>
      <c r="M110" s="247"/>
      <c r="T110" s="64"/>
      <c r="AA110" s="63"/>
      <c r="AH110" s="63"/>
      <c r="AI110" s="367"/>
      <c r="AJ110" s="364"/>
      <c r="AK110" s="364"/>
      <c r="AL110" s="364"/>
      <c r="AM110" s="364"/>
      <c r="AN110" s="364"/>
      <c r="AO110" s="364"/>
      <c r="AP110" s="364"/>
      <c r="AQ110" s="360"/>
      <c r="AR110" s="381">
        <f t="shared" si="110"/>
        <v>0</v>
      </c>
      <c r="AS110" s="381">
        <f>第5期!AS110+第5期!AR110+第5期!AU110</f>
        <v>0</v>
      </c>
      <c r="AT110" s="382">
        <f>第5期!AU110+第5期!AT110</f>
        <v>0</v>
      </c>
      <c r="AU110" s="381">
        <f>0.5*第5期!AP110-AS110</f>
        <v>0</v>
      </c>
      <c r="AV110" s="381">
        <f t="shared" si="111"/>
        <v>0</v>
      </c>
      <c r="AW110" s="385" t="e">
        <f t="shared" si="112"/>
        <v>#DIV/0!</v>
      </c>
      <c r="AX110" s="386">
        <f>MAX(AK110,第5期!AO110)</f>
        <v>0</v>
      </c>
      <c r="AY110" s="327">
        <f t="shared" si="113"/>
        <v>0</v>
      </c>
      <c r="AZ110" s="193"/>
      <c r="BA110" s="203"/>
      <c r="BB110" s="203"/>
      <c r="BC110" s="203"/>
      <c r="BD110" s="203"/>
      <c r="BE110" s="203"/>
      <c r="BF110" s="203"/>
      <c r="BG110" s="203"/>
      <c r="BH110" s="203"/>
      <c r="BI110" s="203"/>
      <c r="BJ110" s="203"/>
      <c r="BK110" s="203"/>
      <c r="BL110" s="203"/>
      <c r="BM110" s="203"/>
      <c r="BN110" s="203"/>
      <c r="BO110" s="203"/>
      <c r="BP110" s="203"/>
      <c r="BQ110" s="203"/>
      <c r="BR110" s="211"/>
      <c r="BS110" s="211"/>
      <c r="BT110" s="211"/>
      <c r="BU110" s="211"/>
      <c r="BV110" s="211"/>
      <c r="BW110" s="211"/>
      <c r="BX110" s="211"/>
      <c r="BY110" s="211"/>
      <c r="BZ110" s="211"/>
      <c r="CA110" s="211"/>
      <c r="CB110" s="211"/>
      <c r="CC110" s="211"/>
      <c r="CD110" s="211"/>
      <c r="CE110" s="211"/>
      <c r="CF110" s="211"/>
      <c r="CG110" s="211"/>
      <c r="CH110" s="211"/>
      <c r="CI110" s="211"/>
      <c r="CJ110" s="62"/>
    </row>
    <row r="111" s="61" customFormat="1" ht="16" customHeight="1" spans="7:88">
      <c r="G111" s="63"/>
      <c r="M111" s="247"/>
      <c r="T111" s="64"/>
      <c r="AA111" s="63"/>
      <c r="AH111" s="63"/>
      <c r="AI111" s="367"/>
      <c r="AJ111" s="364"/>
      <c r="AK111" s="364"/>
      <c r="AL111" s="364"/>
      <c r="AM111" s="364"/>
      <c r="AN111" s="364"/>
      <c r="AO111" s="364"/>
      <c r="AP111" s="364"/>
      <c r="AQ111" s="360"/>
      <c r="AR111" s="381">
        <f t="shared" si="110"/>
        <v>0</v>
      </c>
      <c r="AS111" s="381">
        <f>第5期!AS111+第5期!AR111+第5期!AU111</f>
        <v>0</v>
      </c>
      <c r="AT111" s="382">
        <f>第5期!AU111+第5期!AT111</f>
        <v>0</v>
      </c>
      <c r="AU111" s="381">
        <f>0.5*第5期!AP111-AS111</f>
        <v>0</v>
      </c>
      <c r="AV111" s="381">
        <f t="shared" si="111"/>
        <v>0</v>
      </c>
      <c r="AW111" s="385" t="e">
        <f t="shared" si="112"/>
        <v>#DIV/0!</v>
      </c>
      <c r="AX111" s="386">
        <f>MAX(AK111,第5期!AO111)</f>
        <v>0</v>
      </c>
      <c r="AY111" s="327">
        <f t="shared" si="113"/>
        <v>0</v>
      </c>
      <c r="AZ111" s="193"/>
      <c r="BA111" s="203"/>
      <c r="BB111" s="203"/>
      <c r="BC111" s="203"/>
      <c r="BD111" s="203"/>
      <c r="BE111" s="203"/>
      <c r="BF111" s="203"/>
      <c r="BG111" s="203"/>
      <c r="BH111" s="203"/>
      <c r="BI111" s="203"/>
      <c r="BJ111" s="203"/>
      <c r="BK111" s="203"/>
      <c r="BL111" s="203"/>
      <c r="BM111" s="203"/>
      <c r="BN111" s="203"/>
      <c r="BO111" s="203"/>
      <c r="BP111" s="203"/>
      <c r="BQ111" s="203"/>
      <c r="BR111" s="211"/>
      <c r="BS111" s="211"/>
      <c r="BT111" s="211"/>
      <c r="BU111" s="211"/>
      <c r="BV111" s="211"/>
      <c r="BW111" s="211"/>
      <c r="BX111" s="211"/>
      <c r="BY111" s="211"/>
      <c r="BZ111" s="211"/>
      <c r="CA111" s="211"/>
      <c r="CB111" s="211"/>
      <c r="CC111" s="211"/>
      <c r="CD111" s="211"/>
      <c r="CE111" s="211"/>
      <c r="CF111" s="211"/>
      <c r="CG111" s="211"/>
      <c r="CH111" s="211"/>
      <c r="CI111" s="211"/>
      <c r="CJ111" s="62"/>
    </row>
    <row r="112" s="61" customFormat="1" ht="16" customHeight="1" spans="7:88">
      <c r="G112" s="63"/>
      <c r="M112" s="247"/>
      <c r="T112" s="64"/>
      <c r="AA112" s="63"/>
      <c r="AH112" s="63"/>
      <c r="AI112" s="367"/>
      <c r="AJ112" s="364"/>
      <c r="AK112" s="364"/>
      <c r="AL112" s="364"/>
      <c r="AM112" s="364"/>
      <c r="AN112" s="364"/>
      <c r="AO112" s="364"/>
      <c r="AP112" s="364"/>
      <c r="AQ112" s="360"/>
      <c r="AR112" s="381">
        <f t="shared" si="110"/>
        <v>0</v>
      </c>
      <c r="AS112" s="381">
        <f>第5期!AS112+第5期!AR112+第5期!AU112</f>
        <v>0</v>
      </c>
      <c r="AT112" s="382">
        <f>第5期!AU112+第5期!AT112</f>
        <v>0</v>
      </c>
      <c r="AU112" s="381">
        <f>0.5*第5期!AP112-AS112</f>
        <v>0</v>
      </c>
      <c r="AV112" s="381">
        <f t="shared" si="111"/>
        <v>0</v>
      </c>
      <c r="AW112" s="385" t="e">
        <f t="shared" si="112"/>
        <v>#DIV/0!</v>
      </c>
      <c r="AX112" s="386">
        <f>MAX(AK112,第5期!AO112)</f>
        <v>0</v>
      </c>
      <c r="AY112" s="327">
        <f t="shared" si="113"/>
        <v>0</v>
      </c>
      <c r="AZ112" s="193"/>
      <c r="BA112" s="203"/>
      <c r="BB112" s="203"/>
      <c r="BC112" s="203"/>
      <c r="BD112" s="203"/>
      <c r="BE112" s="203"/>
      <c r="BF112" s="203"/>
      <c r="BG112" s="203"/>
      <c r="BH112" s="203"/>
      <c r="BI112" s="203"/>
      <c r="BJ112" s="203"/>
      <c r="BK112" s="203"/>
      <c r="BL112" s="203"/>
      <c r="BM112" s="203"/>
      <c r="BN112" s="203"/>
      <c r="BO112" s="203"/>
      <c r="BP112" s="203"/>
      <c r="BQ112" s="203"/>
      <c r="BR112" s="211"/>
      <c r="BS112" s="211"/>
      <c r="BT112" s="211"/>
      <c r="BU112" s="211"/>
      <c r="BV112" s="211"/>
      <c r="BW112" s="211"/>
      <c r="BX112" s="211"/>
      <c r="BY112" s="211"/>
      <c r="BZ112" s="211"/>
      <c r="CA112" s="211"/>
      <c r="CB112" s="211"/>
      <c r="CC112" s="211"/>
      <c r="CD112" s="211"/>
      <c r="CE112" s="211"/>
      <c r="CF112" s="211"/>
      <c r="CG112" s="211"/>
      <c r="CH112" s="211"/>
      <c r="CI112" s="211"/>
      <c r="CJ112" s="62"/>
    </row>
    <row r="113" s="61" customFormat="1" ht="16" customHeight="1" spans="7:88">
      <c r="G113" s="63"/>
      <c r="M113" s="247"/>
      <c r="T113" s="64"/>
      <c r="AA113" s="63"/>
      <c r="AH113" s="63"/>
      <c r="AI113" s="367"/>
      <c r="AJ113" s="364"/>
      <c r="AK113" s="364"/>
      <c r="AL113" s="364"/>
      <c r="AM113" s="364"/>
      <c r="AN113" s="364"/>
      <c r="AO113" s="364"/>
      <c r="AP113" s="364"/>
      <c r="AQ113" s="360"/>
      <c r="AR113" s="381">
        <f t="shared" si="110"/>
        <v>0</v>
      </c>
      <c r="AS113" s="381">
        <f>第5期!AS113+第5期!AR113+第5期!AU113</f>
        <v>0</v>
      </c>
      <c r="AT113" s="382">
        <f>第5期!AU113+第5期!AT113</f>
        <v>0</v>
      </c>
      <c r="AU113" s="381">
        <f>0.5*第5期!AP113-AS113</f>
        <v>0</v>
      </c>
      <c r="AV113" s="381">
        <f t="shared" si="111"/>
        <v>0</v>
      </c>
      <c r="AW113" s="385" t="e">
        <f t="shared" si="112"/>
        <v>#DIV/0!</v>
      </c>
      <c r="AX113" s="386">
        <f>MAX(AK113,第5期!AO113)</f>
        <v>0</v>
      </c>
      <c r="AY113" s="327">
        <f t="shared" si="113"/>
        <v>0</v>
      </c>
      <c r="AZ113" s="193"/>
      <c r="BA113" s="203"/>
      <c r="BB113" s="203"/>
      <c r="BC113" s="203"/>
      <c r="BD113" s="203"/>
      <c r="BE113" s="203"/>
      <c r="BF113" s="203"/>
      <c r="BG113" s="203"/>
      <c r="BH113" s="203"/>
      <c r="BI113" s="203"/>
      <c r="BJ113" s="203"/>
      <c r="BK113" s="203"/>
      <c r="BL113" s="203"/>
      <c r="BM113" s="203"/>
      <c r="BN113" s="203"/>
      <c r="BO113" s="203"/>
      <c r="BP113" s="203"/>
      <c r="BQ113" s="203"/>
      <c r="BR113" s="211"/>
      <c r="BS113" s="211"/>
      <c r="BT113" s="211"/>
      <c r="BU113" s="211"/>
      <c r="BV113" s="211"/>
      <c r="BW113" s="211"/>
      <c r="BX113" s="211"/>
      <c r="BY113" s="211"/>
      <c r="BZ113" s="211"/>
      <c r="CA113" s="211"/>
      <c r="CB113" s="211"/>
      <c r="CC113" s="211"/>
      <c r="CD113" s="211"/>
      <c r="CE113" s="211"/>
      <c r="CF113" s="211"/>
      <c r="CG113" s="211"/>
      <c r="CH113" s="211"/>
      <c r="CI113" s="211"/>
      <c r="CJ113" s="62"/>
    </row>
    <row r="114" s="61" customFormat="1" ht="16" customHeight="1" spans="7:88">
      <c r="G114" s="63"/>
      <c r="M114" s="247"/>
      <c r="T114" s="64"/>
      <c r="AA114" s="63"/>
      <c r="AH114" s="63"/>
      <c r="AI114" s="367"/>
      <c r="AJ114" s="364"/>
      <c r="AK114" s="364"/>
      <c r="AL114" s="364"/>
      <c r="AM114" s="364"/>
      <c r="AN114" s="364"/>
      <c r="AO114" s="364"/>
      <c r="AP114" s="364"/>
      <c r="AQ114" s="360"/>
      <c r="AR114" s="381">
        <f t="shared" si="110"/>
        <v>0</v>
      </c>
      <c r="AS114" s="381">
        <f>第5期!AS114+第5期!AR114+第5期!AU114</f>
        <v>0</v>
      </c>
      <c r="AT114" s="382">
        <f>第5期!AU114+第5期!AT114</f>
        <v>0</v>
      </c>
      <c r="AU114" s="381">
        <f>0.5*第5期!AP114-AS114</f>
        <v>0</v>
      </c>
      <c r="AV114" s="381">
        <f t="shared" si="111"/>
        <v>0</v>
      </c>
      <c r="AW114" s="385" t="e">
        <f t="shared" si="112"/>
        <v>#DIV/0!</v>
      </c>
      <c r="AX114" s="386">
        <f>MAX(AK114,第5期!AO114)</f>
        <v>0</v>
      </c>
      <c r="AY114" s="327">
        <f t="shared" si="113"/>
        <v>0</v>
      </c>
      <c r="AZ114" s="193"/>
      <c r="BA114" s="203"/>
      <c r="BB114" s="203"/>
      <c r="BC114" s="203"/>
      <c r="BD114" s="203"/>
      <c r="BE114" s="203"/>
      <c r="BF114" s="203"/>
      <c r="BG114" s="203"/>
      <c r="BH114" s="203"/>
      <c r="BI114" s="203"/>
      <c r="BJ114" s="203"/>
      <c r="BK114" s="203"/>
      <c r="BL114" s="203"/>
      <c r="BM114" s="203"/>
      <c r="BN114" s="203"/>
      <c r="BO114" s="203"/>
      <c r="BP114" s="203"/>
      <c r="BQ114" s="203"/>
      <c r="BR114" s="211"/>
      <c r="BS114" s="211"/>
      <c r="BT114" s="211"/>
      <c r="BU114" s="211"/>
      <c r="BV114" s="211"/>
      <c r="BW114" s="211"/>
      <c r="BX114" s="211"/>
      <c r="BY114" s="211"/>
      <c r="BZ114" s="211"/>
      <c r="CA114" s="211"/>
      <c r="CB114" s="211"/>
      <c r="CC114" s="211"/>
      <c r="CD114" s="211"/>
      <c r="CE114" s="211"/>
      <c r="CF114" s="211"/>
      <c r="CG114" s="211"/>
      <c r="CH114" s="211"/>
      <c r="CI114" s="211"/>
      <c r="CJ114" s="62"/>
    </row>
    <row r="115" s="61" customFormat="1" ht="16" customHeight="1" spans="7:88">
      <c r="G115" s="63"/>
      <c r="M115" s="247"/>
      <c r="T115" s="64"/>
      <c r="AA115" s="63"/>
      <c r="AH115" s="63"/>
      <c r="AI115" s="367"/>
      <c r="AJ115" s="364"/>
      <c r="AK115" s="364"/>
      <c r="AL115" s="364"/>
      <c r="AM115" s="364"/>
      <c r="AN115" s="364"/>
      <c r="AO115" s="364"/>
      <c r="AP115" s="364"/>
      <c r="AQ115" s="360"/>
      <c r="AR115" s="381">
        <f t="shared" si="110"/>
        <v>0</v>
      </c>
      <c r="AS115" s="381">
        <f>第5期!AS115+第5期!AR115+第5期!AU115</f>
        <v>0</v>
      </c>
      <c r="AT115" s="382">
        <f>第5期!AU115+第5期!AT115</f>
        <v>0</v>
      </c>
      <c r="AU115" s="381">
        <f>0.5*第5期!AP115-AS115</f>
        <v>0</v>
      </c>
      <c r="AV115" s="381">
        <f t="shared" si="111"/>
        <v>0</v>
      </c>
      <c r="AW115" s="385" t="e">
        <f t="shared" si="112"/>
        <v>#DIV/0!</v>
      </c>
      <c r="AX115" s="386">
        <f>MAX(AK115,第5期!AO115)</f>
        <v>0</v>
      </c>
      <c r="AY115" s="327">
        <f t="shared" si="113"/>
        <v>0</v>
      </c>
      <c r="AZ115" s="193"/>
      <c r="BA115" s="203"/>
      <c r="BB115" s="203"/>
      <c r="BC115" s="203"/>
      <c r="BD115" s="203"/>
      <c r="BE115" s="203"/>
      <c r="BF115" s="203"/>
      <c r="BG115" s="203"/>
      <c r="BH115" s="203"/>
      <c r="BI115" s="203"/>
      <c r="BJ115" s="203"/>
      <c r="BK115" s="203"/>
      <c r="BL115" s="203"/>
      <c r="BM115" s="203"/>
      <c r="BN115" s="203"/>
      <c r="BO115" s="203"/>
      <c r="BP115" s="203"/>
      <c r="BQ115" s="203"/>
      <c r="BR115" s="211"/>
      <c r="BS115" s="211"/>
      <c r="BT115" s="211"/>
      <c r="BU115" s="211"/>
      <c r="BV115" s="211"/>
      <c r="BW115" s="211"/>
      <c r="BX115" s="211"/>
      <c r="BY115" s="211"/>
      <c r="BZ115" s="211"/>
      <c r="CA115" s="211"/>
      <c r="CB115" s="211"/>
      <c r="CC115" s="211"/>
      <c r="CD115" s="211"/>
      <c r="CE115" s="211"/>
      <c r="CF115" s="211"/>
      <c r="CG115" s="211"/>
      <c r="CH115" s="211"/>
      <c r="CI115" s="211"/>
      <c r="CJ115" s="62"/>
    </row>
    <row r="116" s="61" customFormat="1" ht="16" customHeight="1" spans="7:88">
      <c r="G116" s="63"/>
      <c r="M116" s="247"/>
      <c r="T116" s="64"/>
      <c r="AA116" s="63"/>
      <c r="AH116" s="63"/>
      <c r="AI116" s="367"/>
      <c r="AJ116" s="364"/>
      <c r="AK116" s="364"/>
      <c r="AL116" s="364"/>
      <c r="AM116" s="364"/>
      <c r="AN116" s="364"/>
      <c r="AO116" s="364"/>
      <c r="AP116" s="364"/>
      <c r="AQ116" s="360"/>
      <c r="AR116" s="381">
        <f t="shared" si="110"/>
        <v>0</v>
      </c>
      <c r="AS116" s="381">
        <f>第5期!AS116+第5期!AR116+第5期!AU116</f>
        <v>0</v>
      </c>
      <c r="AT116" s="382">
        <f>第5期!AU116+第5期!AT116</f>
        <v>0</v>
      </c>
      <c r="AU116" s="381">
        <f>0.5*第5期!AP116-AS116</f>
        <v>0</v>
      </c>
      <c r="AV116" s="381">
        <f t="shared" si="111"/>
        <v>0</v>
      </c>
      <c r="AW116" s="385" t="e">
        <f t="shared" si="112"/>
        <v>#DIV/0!</v>
      </c>
      <c r="AX116" s="386">
        <f>MAX(AK116,第5期!AO116)</f>
        <v>0</v>
      </c>
      <c r="AY116" s="327">
        <f t="shared" si="113"/>
        <v>0</v>
      </c>
      <c r="AZ116" s="193"/>
      <c r="BA116" s="203"/>
      <c r="BB116" s="203"/>
      <c r="BC116" s="203"/>
      <c r="BD116" s="203"/>
      <c r="BE116" s="203"/>
      <c r="BF116" s="203"/>
      <c r="BG116" s="203"/>
      <c r="BH116" s="203"/>
      <c r="BI116" s="203"/>
      <c r="BJ116" s="203"/>
      <c r="BK116" s="203"/>
      <c r="BL116" s="203"/>
      <c r="BM116" s="203"/>
      <c r="BN116" s="203"/>
      <c r="BO116" s="203"/>
      <c r="BP116" s="203"/>
      <c r="BQ116" s="203"/>
      <c r="BR116" s="211"/>
      <c r="BS116" s="211"/>
      <c r="BT116" s="211"/>
      <c r="BU116" s="211"/>
      <c r="BV116" s="211"/>
      <c r="BW116" s="211"/>
      <c r="BX116" s="211"/>
      <c r="BY116" s="211"/>
      <c r="BZ116" s="211"/>
      <c r="CA116" s="211"/>
      <c r="CB116" s="211"/>
      <c r="CC116" s="211"/>
      <c r="CD116" s="211"/>
      <c r="CE116" s="211"/>
      <c r="CF116" s="211"/>
      <c r="CG116" s="211"/>
      <c r="CH116" s="211"/>
      <c r="CI116" s="211"/>
      <c r="CJ116" s="62"/>
    </row>
    <row r="117" s="61" customFormat="1" ht="16" customHeight="1" spans="7:88">
      <c r="G117" s="63"/>
      <c r="M117" s="247"/>
      <c r="T117" s="64"/>
      <c r="AA117" s="63"/>
      <c r="AH117" s="63"/>
      <c r="AI117" s="367"/>
      <c r="AJ117" s="364"/>
      <c r="AK117" s="364"/>
      <c r="AL117" s="364"/>
      <c r="AM117" s="364"/>
      <c r="AN117" s="364"/>
      <c r="AO117" s="364"/>
      <c r="AP117" s="364"/>
      <c r="AQ117" s="360"/>
      <c r="AR117" s="381">
        <f t="shared" si="110"/>
        <v>0</v>
      </c>
      <c r="AS117" s="381">
        <f>第5期!AS117+第5期!AR117+第5期!AU117</f>
        <v>0</v>
      </c>
      <c r="AT117" s="382">
        <f>第5期!AU117+第5期!AT117</f>
        <v>0</v>
      </c>
      <c r="AU117" s="381">
        <f>0.5*第5期!AP117-AS117</f>
        <v>0</v>
      </c>
      <c r="AV117" s="381">
        <f t="shared" si="111"/>
        <v>0</v>
      </c>
      <c r="AW117" s="385" t="e">
        <f t="shared" si="112"/>
        <v>#DIV/0!</v>
      </c>
      <c r="AX117" s="386">
        <f>MAX(AK117,第5期!AO117)</f>
        <v>0</v>
      </c>
      <c r="AY117" s="327">
        <f t="shared" si="113"/>
        <v>0</v>
      </c>
      <c r="AZ117" s="193"/>
      <c r="BA117" s="203"/>
      <c r="BB117" s="203"/>
      <c r="BC117" s="203"/>
      <c r="BD117" s="203"/>
      <c r="BE117" s="203"/>
      <c r="BF117" s="203"/>
      <c r="BG117" s="203"/>
      <c r="BH117" s="203"/>
      <c r="BI117" s="203"/>
      <c r="BJ117" s="203"/>
      <c r="BK117" s="203"/>
      <c r="BL117" s="203"/>
      <c r="BM117" s="203"/>
      <c r="BN117" s="203"/>
      <c r="BO117" s="203"/>
      <c r="BP117" s="203"/>
      <c r="BQ117" s="203"/>
      <c r="BR117" s="211"/>
      <c r="BS117" s="211"/>
      <c r="BT117" s="211"/>
      <c r="BU117" s="211"/>
      <c r="BV117" s="211"/>
      <c r="BW117" s="211"/>
      <c r="BX117" s="211"/>
      <c r="BY117" s="211"/>
      <c r="BZ117" s="211"/>
      <c r="CA117" s="211"/>
      <c r="CB117" s="211"/>
      <c r="CC117" s="211"/>
      <c r="CD117" s="211"/>
      <c r="CE117" s="211"/>
      <c r="CF117" s="211"/>
      <c r="CG117" s="211"/>
      <c r="CH117" s="211"/>
      <c r="CI117" s="211"/>
      <c r="CJ117" s="62"/>
    </row>
    <row r="118" s="61" customFormat="1" ht="16" customHeight="1" spans="7:88">
      <c r="G118" s="63"/>
      <c r="M118" s="247"/>
      <c r="T118" s="64"/>
      <c r="AA118" s="63"/>
      <c r="AH118" s="63"/>
      <c r="AI118" s="367"/>
      <c r="AJ118" s="364"/>
      <c r="AK118" s="364"/>
      <c r="AL118" s="364"/>
      <c r="AM118" s="364"/>
      <c r="AN118" s="364"/>
      <c r="AO118" s="364"/>
      <c r="AP118" s="364"/>
      <c r="AQ118" s="360"/>
      <c r="AR118" s="381">
        <f t="shared" si="110"/>
        <v>0</v>
      </c>
      <c r="AS118" s="381">
        <f>第5期!AS118+第5期!AR118+第5期!AU118</f>
        <v>0</v>
      </c>
      <c r="AT118" s="382">
        <f>第5期!AU118+第5期!AT118</f>
        <v>0</v>
      </c>
      <c r="AU118" s="381">
        <f>0.5*第5期!AP118-AS118</f>
        <v>0</v>
      </c>
      <c r="AV118" s="381">
        <f t="shared" si="111"/>
        <v>0</v>
      </c>
      <c r="AW118" s="385" t="e">
        <f t="shared" si="112"/>
        <v>#DIV/0!</v>
      </c>
      <c r="AX118" s="386">
        <f>MAX(AK118,第5期!AO118)</f>
        <v>0</v>
      </c>
      <c r="AY118" s="327">
        <f t="shared" si="113"/>
        <v>0</v>
      </c>
      <c r="AZ118" s="193"/>
      <c r="BA118" s="203"/>
      <c r="BB118" s="203"/>
      <c r="BC118" s="203"/>
      <c r="BD118" s="203"/>
      <c r="BE118" s="203"/>
      <c r="BF118" s="203"/>
      <c r="BG118" s="203"/>
      <c r="BH118" s="203"/>
      <c r="BI118" s="203"/>
      <c r="BJ118" s="203"/>
      <c r="BK118" s="203"/>
      <c r="BL118" s="203"/>
      <c r="BM118" s="203"/>
      <c r="BN118" s="203"/>
      <c r="BO118" s="203"/>
      <c r="BP118" s="203"/>
      <c r="BQ118" s="203"/>
      <c r="BR118" s="211"/>
      <c r="BS118" s="211"/>
      <c r="BT118" s="211"/>
      <c r="BU118" s="211"/>
      <c r="BV118" s="211"/>
      <c r="BW118" s="211"/>
      <c r="BX118" s="211"/>
      <c r="BY118" s="211"/>
      <c r="BZ118" s="211"/>
      <c r="CA118" s="211"/>
      <c r="CB118" s="211"/>
      <c r="CC118" s="211"/>
      <c r="CD118" s="211"/>
      <c r="CE118" s="211"/>
      <c r="CF118" s="211"/>
      <c r="CG118" s="211"/>
      <c r="CH118" s="211"/>
      <c r="CI118" s="211"/>
      <c r="CJ118" s="62"/>
    </row>
    <row r="119" s="61" customFormat="1" ht="16" customHeight="1" spans="7:88">
      <c r="G119" s="63"/>
      <c r="M119" s="247"/>
      <c r="T119" s="64"/>
      <c r="AA119" s="63"/>
      <c r="AH119" s="63"/>
      <c r="AI119" s="367"/>
      <c r="AJ119" s="364"/>
      <c r="AK119" s="364"/>
      <c r="AL119" s="364"/>
      <c r="AM119" s="364"/>
      <c r="AN119" s="364"/>
      <c r="AO119" s="364"/>
      <c r="AP119" s="364"/>
      <c r="AQ119" s="360"/>
      <c r="AR119" s="381">
        <f t="shared" si="110"/>
        <v>0</v>
      </c>
      <c r="AS119" s="381">
        <f>第5期!AS119+第5期!AR119+第5期!AU119</f>
        <v>0</v>
      </c>
      <c r="AT119" s="382">
        <f>第5期!AU119+第5期!AT119</f>
        <v>0</v>
      </c>
      <c r="AU119" s="381">
        <f>0.5*第5期!AP119-AS119</f>
        <v>0</v>
      </c>
      <c r="AV119" s="381">
        <f t="shared" si="111"/>
        <v>0</v>
      </c>
      <c r="AW119" s="385" t="e">
        <f t="shared" si="112"/>
        <v>#DIV/0!</v>
      </c>
      <c r="AX119" s="386">
        <f>MAX(AK119,第5期!AO119)</f>
        <v>0</v>
      </c>
      <c r="AY119" s="327">
        <f t="shared" si="113"/>
        <v>0</v>
      </c>
      <c r="AZ119" s="63"/>
      <c r="BR119" s="62"/>
      <c r="BS119" s="62"/>
      <c r="BT119" s="62"/>
      <c r="BU119" s="62"/>
      <c r="BV119" s="62"/>
      <c r="BW119" s="62"/>
      <c r="BX119" s="62"/>
      <c r="BY119" s="62"/>
      <c r="BZ119" s="62"/>
      <c r="CA119" s="62"/>
      <c r="CB119" s="62"/>
      <c r="CC119" s="62"/>
      <c r="CD119" s="62"/>
      <c r="CE119" s="62"/>
      <c r="CF119" s="62"/>
      <c r="CG119" s="62"/>
      <c r="CH119" s="62"/>
      <c r="CI119" s="62"/>
      <c r="CJ119" s="62"/>
    </row>
    <row r="120" s="61" customFormat="1" ht="16" customHeight="1" spans="7:88">
      <c r="G120" s="63"/>
      <c r="M120" s="247"/>
      <c r="T120" s="64"/>
      <c r="AA120" s="63"/>
      <c r="AH120" s="63"/>
      <c r="AI120" s="367"/>
      <c r="AJ120" s="364"/>
      <c r="AK120" s="364"/>
      <c r="AL120" s="364"/>
      <c r="AM120" s="364"/>
      <c r="AN120" s="364"/>
      <c r="AO120" s="364"/>
      <c r="AP120" s="364"/>
      <c r="AQ120" s="360"/>
      <c r="AR120" s="381">
        <f t="shared" si="110"/>
        <v>0</v>
      </c>
      <c r="AS120" s="381">
        <f>第5期!AS120+第5期!AR120+第5期!AU120</f>
        <v>0</v>
      </c>
      <c r="AT120" s="382">
        <f>第5期!AU120+第5期!AT120</f>
        <v>0</v>
      </c>
      <c r="AU120" s="381">
        <f>0.5*第5期!AP120-AS120</f>
        <v>0</v>
      </c>
      <c r="AV120" s="381">
        <f t="shared" si="111"/>
        <v>0</v>
      </c>
      <c r="AW120" s="385" t="e">
        <f t="shared" si="112"/>
        <v>#DIV/0!</v>
      </c>
      <c r="AX120" s="386">
        <f>MAX(AK120,第5期!AO120)</f>
        <v>0</v>
      </c>
      <c r="AY120" s="327">
        <f t="shared" si="113"/>
        <v>0</v>
      </c>
      <c r="AZ120" s="63"/>
      <c r="BR120" s="62"/>
      <c r="BS120" s="62"/>
      <c r="BT120" s="62"/>
      <c r="BU120" s="62"/>
      <c r="BV120" s="62"/>
      <c r="BW120" s="62"/>
      <c r="BX120" s="62"/>
      <c r="BY120" s="62"/>
      <c r="BZ120" s="62"/>
      <c r="CA120" s="62"/>
      <c r="CB120" s="62"/>
      <c r="CC120" s="62"/>
      <c r="CD120" s="62"/>
      <c r="CE120" s="62"/>
      <c r="CF120" s="62"/>
      <c r="CG120" s="62"/>
      <c r="CH120" s="62"/>
      <c r="CI120" s="62"/>
      <c r="CJ120" s="62"/>
    </row>
    <row r="121" s="61" customFormat="1" ht="16" customHeight="1" spans="7:88">
      <c r="G121" s="63"/>
      <c r="M121" s="247"/>
      <c r="T121" s="64"/>
      <c r="AA121" s="63"/>
      <c r="AH121" s="63"/>
      <c r="AI121" s="367"/>
      <c r="AJ121" s="364"/>
      <c r="AK121" s="364"/>
      <c r="AL121" s="364"/>
      <c r="AM121" s="364"/>
      <c r="AN121" s="364"/>
      <c r="AO121" s="364"/>
      <c r="AP121" s="364"/>
      <c r="AQ121" s="360"/>
      <c r="AR121" s="381">
        <f t="shared" si="110"/>
        <v>0</v>
      </c>
      <c r="AS121" s="381">
        <f>第5期!AS121+第5期!AR121+第5期!AU121</f>
        <v>0</v>
      </c>
      <c r="AT121" s="382">
        <f>第5期!AU121+第5期!AT121</f>
        <v>0</v>
      </c>
      <c r="AU121" s="381">
        <f>0.5*第5期!AP121-AS121</f>
        <v>0</v>
      </c>
      <c r="AV121" s="381">
        <f t="shared" si="111"/>
        <v>0</v>
      </c>
      <c r="AW121" s="385" t="e">
        <f t="shared" si="112"/>
        <v>#DIV/0!</v>
      </c>
      <c r="AX121" s="386">
        <f>MAX(AK121,第5期!AO121)</f>
        <v>0</v>
      </c>
      <c r="AY121" s="327">
        <f t="shared" si="113"/>
        <v>0</v>
      </c>
      <c r="AZ121" s="63"/>
      <c r="BR121" s="62"/>
      <c r="BS121" s="62"/>
      <c r="BT121" s="62"/>
      <c r="BU121" s="62"/>
      <c r="BV121" s="62"/>
      <c r="BW121" s="62"/>
      <c r="BX121" s="62"/>
      <c r="BY121" s="62"/>
      <c r="BZ121" s="62"/>
      <c r="CA121" s="62"/>
      <c r="CB121" s="62"/>
      <c r="CC121" s="62"/>
      <c r="CD121" s="62"/>
      <c r="CE121" s="62"/>
      <c r="CF121" s="62"/>
      <c r="CG121" s="62"/>
      <c r="CH121" s="62"/>
      <c r="CI121" s="62"/>
      <c r="CJ121" s="62"/>
    </row>
    <row r="122" s="61" customFormat="1" ht="16" customHeight="1" spans="7:88">
      <c r="G122" s="63"/>
      <c r="M122" s="247"/>
      <c r="T122" s="64"/>
      <c r="AA122" s="63"/>
      <c r="AH122" s="63"/>
      <c r="AI122" s="367"/>
      <c r="AJ122" s="364"/>
      <c r="AK122" s="364"/>
      <c r="AL122" s="364"/>
      <c r="AM122" s="364"/>
      <c r="AN122" s="364"/>
      <c r="AO122" s="364"/>
      <c r="AP122" s="364"/>
      <c r="AQ122" s="360"/>
      <c r="AR122" s="381">
        <f t="shared" si="110"/>
        <v>0</v>
      </c>
      <c r="AS122" s="381">
        <f>第5期!AS122+第5期!AR122+第5期!AU122</f>
        <v>0</v>
      </c>
      <c r="AT122" s="382">
        <f>第5期!AU122+第5期!AT122</f>
        <v>0</v>
      </c>
      <c r="AU122" s="381">
        <f>0.5*第5期!AP122-AS122</f>
        <v>0</v>
      </c>
      <c r="AV122" s="381">
        <f t="shared" si="111"/>
        <v>0</v>
      </c>
      <c r="AW122" s="385" t="e">
        <f t="shared" si="112"/>
        <v>#DIV/0!</v>
      </c>
      <c r="AX122" s="386">
        <f>MAX(AK122,第5期!AO122)</f>
        <v>0</v>
      </c>
      <c r="AY122" s="327">
        <f t="shared" si="113"/>
        <v>0</v>
      </c>
      <c r="AZ122" s="63"/>
      <c r="BR122" s="62"/>
      <c r="BS122" s="62"/>
      <c r="BT122" s="62"/>
      <c r="BU122" s="62"/>
      <c r="BV122" s="62"/>
      <c r="BW122" s="62"/>
      <c r="BX122" s="62"/>
      <c r="BY122" s="62"/>
      <c r="BZ122" s="62"/>
      <c r="CA122" s="62"/>
      <c r="CB122" s="62"/>
      <c r="CC122" s="62"/>
      <c r="CD122" s="62"/>
      <c r="CE122" s="62"/>
      <c r="CF122" s="62"/>
      <c r="CG122" s="62"/>
      <c r="CH122" s="62"/>
      <c r="CI122" s="62"/>
      <c r="CJ122" s="62"/>
    </row>
    <row r="123" s="61" customFormat="1" ht="16" customHeight="1" spans="7:88">
      <c r="G123" s="63"/>
      <c r="M123" s="247"/>
      <c r="T123" s="64"/>
      <c r="AA123" s="63"/>
      <c r="AH123" s="63"/>
      <c r="AI123" s="367"/>
      <c r="AJ123" s="364"/>
      <c r="AK123" s="364"/>
      <c r="AL123" s="364"/>
      <c r="AM123" s="364"/>
      <c r="AN123" s="364"/>
      <c r="AO123" s="364"/>
      <c r="AP123" s="364"/>
      <c r="AQ123" s="360"/>
      <c r="AR123" s="381">
        <f t="shared" si="110"/>
        <v>0</v>
      </c>
      <c r="AS123" s="381">
        <f>第5期!AS123+第5期!AR123+第5期!AU123</f>
        <v>0</v>
      </c>
      <c r="AT123" s="382">
        <f>第5期!AU123+第5期!AT123</f>
        <v>0</v>
      </c>
      <c r="AU123" s="381">
        <f>0.5*第5期!AP123-AS123</f>
        <v>0</v>
      </c>
      <c r="AV123" s="381">
        <f t="shared" si="111"/>
        <v>0</v>
      </c>
      <c r="AW123" s="385" t="e">
        <f t="shared" si="112"/>
        <v>#DIV/0!</v>
      </c>
      <c r="AX123" s="386">
        <f>MAX(AK123,第5期!AO123)</f>
        <v>0</v>
      </c>
      <c r="AY123" s="327">
        <f t="shared" si="113"/>
        <v>0</v>
      </c>
      <c r="AZ123" s="63"/>
      <c r="BR123" s="62"/>
      <c r="BS123" s="62"/>
      <c r="BT123" s="62"/>
      <c r="BU123" s="62"/>
      <c r="BV123" s="62"/>
      <c r="BW123" s="62"/>
      <c r="BX123" s="62"/>
      <c r="BY123" s="62"/>
      <c r="BZ123" s="62"/>
      <c r="CA123" s="62"/>
      <c r="CB123" s="62"/>
      <c r="CC123" s="62"/>
      <c r="CD123" s="62"/>
      <c r="CE123" s="62"/>
      <c r="CF123" s="62"/>
      <c r="CG123" s="62"/>
      <c r="CH123" s="62"/>
      <c r="CI123" s="62"/>
      <c r="CJ123" s="62"/>
    </row>
    <row r="124" s="61" customFormat="1" ht="16" customHeight="1" spans="7:88">
      <c r="G124" s="63"/>
      <c r="M124" s="247"/>
      <c r="T124" s="64"/>
      <c r="AA124" s="63"/>
      <c r="AH124" s="63"/>
      <c r="AI124" s="367"/>
      <c r="AJ124" s="364"/>
      <c r="AK124" s="364"/>
      <c r="AL124" s="364"/>
      <c r="AM124" s="364"/>
      <c r="AN124" s="364"/>
      <c r="AO124" s="364"/>
      <c r="AP124" s="364"/>
      <c r="AQ124" s="360"/>
      <c r="AR124" s="381">
        <f t="shared" si="110"/>
        <v>0</v>
      </c>
      <c r="AS124" s="381">
        <f>第5期!AS124+第5期!AR124+第5期!AU124</f>
        <v>0</v>
      </c>
      <c r="AT124" s="382">
        <f>第5期!AU124+第5期!AT124</f>
        <v>0</v>
      </c>
      <c r="AU124" s="381">
        <f>0.5*第5期!AP124-AS124</f>
        <v>0</v>
      </c>
      <c r="AV124" s="381">
        <f t="shared" si="111"/>
        <v>0</v>
      </c>
      <c r="AW124" s="385" t="e">
        <f t="shared" si="112"/>
        <v>#DIV/0!</v>
      </c>
      <c r="AX124" s="386">
        <f>MAX(AK124,第5期!AO124)</f>
        <v>0</v>
      </c>
      <c r="AY124" s="327">
        <f t="shared" si="113"/>
        <v>0</v>
      </c>
      <c r="AZ124" s="63"/>
      <c r="BR124" s="62"/>
      <c r="BS124" s="62"/>
      <c r="BT124" s="62"/>
      <c r="BU124" s="62"/>
      <c r="BV124" s="62"/>
      <c r="BW124" s="62"/>
      <c r="BX124" s="62"/>
      <c r="BY124" s="62"/>
      <c r="BZ124" s="62"/>
      <c r="CA124" s="62"/>
      <c r="CB124" s="62"/>
      <c r="CC124" s="62"/>
      <c r="CD124" s="62"/>
      <c r="CE124" s="62"/>
      <c r="CF124" s="62"/>
      <c r="CG124" s="62"/>
      <c r="CH124" s="62"/>
      <c r="CI124" s="62"/>
      <c r="CJ124" s="62"/>
    </row>
    <row r="125" s="61" customFormat="1" ht="16" customHeight="1" spans="7:88">
      <c r="G125" s="63"/>
      <c r="M125" s="247"/>
      <c r="T125" s="64"/>
      <c r="AA125" s="63"/>
      <c r="AH125" s="63"/>
      <c r="AI125" s="367"/>
      <c r="AJ125" s="364"/>
      <c r="AK125" s="364"/>
      <c r="AL125" s="364"/>
      <c r="AM125" s="364"/>
      <c r="AN125" s="364"/>
      <c r="AO125" s="364"/>
      <c r="AP125" s="364"/>
      <c r="AQ125" s="360"/>
      <c r="AR125" s="381">
        <f t="shared" si="110"/>
        <v>0</v>
      </c>
      <c r="AS125" s="381">
        <f>第5期!AS125+第5期!AR125+第5期!AU125</f>
        <v>0</v>
      </c>
      <c r="AT125" s="382">
        <f>第5期!AU125+第5期!AT125</f>
        <v>0</v>
      </c>
      <c r="AU125" s="381">
        <f>0.5*第5期!AP125-AS125</f>
        <v>0</v>
      </c>
      <c r="AV125" s="381">
        <f t="shared" si="111"/>
        <v>0</v>
      </c>
      <c r="AW125" s="385" t="e">
        <f t="shared" si="112"/>
        <v>#DIV/0!</v>
      </c>
      <c r="AX125" s="386">
        <f>MAX(AK125,第5期!AO125)</f>
        <v>0</v>
      </c>
      <c r="AY125" s="327">
        <f t="shared" si="113"/>
        <v>0</v>
      </c>
      <c r="AZ125" s="63"/>
      <c r="BR125" s="62"/>
      <c r="BS125" s="62"/>
      <c r="BT125" s="62"/>
      <c r="BU125" s="62"/>
      <c r="BV125" s="62"/>
      <c r="BW125" s="62"/>
      <c r="BX125" s="62"/>
      <c r="BY125" s="62"/>
      <c r="BZ125" s="62"/>
      <c r="CA125" s="62"/>
      <c r="CB125" s="62"/>
      <c r="CC125" s="62"/>
      <c r="CD125" s="62"/>
      <c r="CE125" s="62"/>
      <c r="CF125" s="62"/>
      <c r="CG125" s="62"/>
      <c r="CH125" s="62"/>
      <c r="CI125" s="62"/>
      <c r="CJ125" s="62"/>
    </row>
    <row r="126" s="61" customFormat="1" ht="16" customHeight="1" spans="7:88">
      <c r="G126" s="63"/>
      <c r="M126" s="247"/>
      <c r="T126" s="64"/>
      <c r="AA126" s="63"/>
      <c r="AH126" s="63"/>
      <c r="AI126" s="367"/>
      <c r="AJ126" s="364"/>
      <c r="AK126" s="364"/>
      <c r="AL126" s="364"/>
      <c r="AM126" s="364"/>
      <c r="AN126" s="364"/>
      <c r="AO126" s="364"/>
      <c r="AP126" s="364"/>
      <c r="AQ126" s="360"/>
      <c r="AR126" s="381">
        <f t="shared" si="110"/>
        <v>0</v>
      </c>
      <c r="AS126" s="381">
        <f>第5期!AS126+第5期!AR126+第5期!AU126</f>
        <v>0</v>
      </c>
      <c r="AT126" s="382">
        <f>第5期!AU126+第5期!AT126</f>
        <v>0</v>
      </c>
      <c r="AU126" s="381">
        <f>0.5*第5期!AP126-AS126</f>
        <v>0</v>
      </c>
      <c r="AV126" s="381">
        <f t="shared" si="111"/>
        <v>0</v>
      </c>
      <c r="AW126" s="385" t="e">
        <f t="shared" si="112"/>
        <v>#DIV/0!</v>
      </c>
      <c r="AX126" s="386">
        <f>MAX(AK126,第5期!AO126)</f>
        <v>0</v>
      </c>
      <c r="AY126" s="327">
        <f t="shared" si="113"/>
        <v>0</v>
      </c>
      <c r="AZ126" s="63"/>
      <c r="BR126" s="62"/>
      <c r="BS126" s="62"/>
      <c r="BT126" s="62"/>
      <c r="BU126" s="62"/>
      <c r="BV126" s="62"/>
      <c r="BW126" s="62"/>
      <c r="BX126" s="62"/>
      <c r="BY126" s="62"/>
      <c r="BZ126" s="62"/>
      <c r="CA126" s="62"/>
      <c r="CB126" s="62"/>
      <c r="CC126" s="62"/>
      <c r="CD126" s="62"/>
      <c r="CE126" s="62"/>
      <c r="CF126" s="62"/>
      <c r="CG126" s="62"/>
      <c r="CH126" s="62"/>
      <c r="CI126" s="62"/>
      <c r="CJ126" s="62"/>
    </row>
    <row r="127" s="61" customFormat="1" ht="16" customHeight="1" spans="7:88">
      <c r="G127" s="63"/>
      <c r="M127" s="247"/>
      <c r="T127" s="64"/>
      <c r="AA127" s="63"/>
      <c r="AH127" s="63"/>
      <c r="AZ127" s="63"/>
      <c r="BR127" s="62"/>
      <c r="BS127" s="62"/>
      <c r="BT127" s="62"/>
      <c r="BU127" s="62"/>
      <c r="BV127" s="62"/>
      <c r="BW127" s="62"/>
      <c r="BX127" s="62"/>
      <c r="BY127" s="62"/>
      <c r="BZ127" s="62"/>
      <c r="CA127" s="62"/>
      <c r="CB127" s="62"/>
      <c r="CC127" s="62"/>
      <c r="CD127" s="62"/>
      <c r="CE127" s="62"/>
      <c r="CF127" s="62"/>
      <c r="CG127" s="62"/>
      <c r="CH127" s="62"/>
      <c r="CI127" s="62"/>
      <c r="CJ127" s="62"/>
    </row>
    <row r="128" s="61" customFormat="1" ht="16" customHeight="1" spans="7:88">
      <c r="G128" s="63"/>
      <c r="M128" s="247"/>
      <c r="T128" s="64"/>
      <c r="AA128" s="63"/>
      <c r="AH128" s="63"/>
      <c r="AZ128" s="63"/>
      <c r="BR128" s="62"/>
      <c r="BS128" s="62"/>
      <c r="BT128" s="62"/>
      <c r="BU128" s="62"/>
      <c r="BV128" s="62"/>
      <c r="BW128" s="62"/>
      <c r="BX128" s="62"/>
      <c r="BY128" s="62"/>
      <c r="BZ128" s="62"/>
      <c r="CA128" s="62"/>
      <c r="CB128" s="62"/>
      <c r="CC128" s="62"/>
      <c r="CD128" s="62"/>
      <c r="CE128" s="62"/>
      <c r="CF128" s="62"/>
      <c r="CG128" s="62"/>
      <c r="CH128" s="62"/>
      <c r="CI128" s="62"/>
      <c r="CJ128" s="62"/>
    </row>
    <row r="129" s="61" customFormat="1" ht="16" customHeight="1" spans="7:88">
      <c r="G129" s="63"/>
      <c r="M129" s="247"/>
      <c r="T129" s="64"/>
      <c r="AA129" s="63"/>
      <c r="AH129" s="63"/>
      <c r="AZ129" s="63"/>
      <c r="BR129" s="62"/>
      <c r="BS129" s="62"/>
      <c r="BT129" s="62"/>
      <c r="BU129" s="62"/>
      <c r="BV129" s="62"/>
      <c r="BW129" s="62"/>
      <c r="BX129" s="62"/>
      <c r="BY129" s="62"/>
      <c r="BZ129" s="62"/>
      <c r="CA129" s="62"/>
      <c r="CB129" s="62"/>
      <c r="CC129" s="62"/>
      <c r="CD129" s="62"/>
      <c r="CE129" s="62"/>
      <c r="CF129" s="62"/>
      <c r="CG129" s="62"/>
      <c r="CH129" s="62"/>
      <c r="CI129" s="62"/>
      <c r="CJ129" s="62"/>
    </row>
    <row r="130" s="61" customFormat="1" ht="16" customHeight="1" spans="7:88">
      <c r="G130" s="63"/>
      <c r="M130" s="247"/>
      <c r="T130" s="64"/>
      <c r="AA130" s="63"/>
      <c r="AH130" s="63"/>
      <c r="AZ130" s="63"/>
      <c r="BR130" s="62"/>
      <c r="BS130" s="62"/>
      <c r="BT130" s="62"/>
      <c r="BU130" s="62"/>
      <c r="BV130" s="62"/>
      <c r="BW130" s="62"/>
      <c r="BX130" s="62"/>
      <c r="BY130" s="62"/>
      <c r="BZ130" s="62"/>
      <c r="CA130" s="62"/>
      <c r="CB130" s="62"/>
      <c r="CC130" s="62"/>
      <c r="CD130" s="62"/>
      <c r="CE130" s="62"/>
      <c r="CF130" s="62"/>
      <c r="CG130" s="62"/>
      <c r="CH130" s="62"/>
      <c r="CI130" s="62"/>
      <c r="CJ130" s="62"/>
    </row>
    <row r="131" s="61" customFormat="1" ht="16" customHeight="1" spans="7:88">
      <c r="G131" s="63"/>
      <c r="M131" s="247"/>
      <c r="T131" s="64"/>
      <c r="AA131" s="63"/>
      <c r="AH131" s="63"/>
      <c r="AZ131" s="63"/>
      <c r="BR131" s="62"/>
      <c r="BS131" s="62"/>
      <c r="BT131" s="62"/>
      <c r="BU131" s="62"/>
      <c r="BV131" s="62"/>
      <c r="BW131" s="62"/>
      <c r="BX131" s="62"/>
      <c r="BY131" s="62"/>
      <c r="BZ131" s="62"/>
      <c r="CA131" s="62"/>
      <c r="CB131" s="62"/>
      <c r="CC131" s="62"/>
      <c r="CD131" s="62"/>
      <c r="CE131" s="62"/>
      <c r="CF131" s="62"/>
      <c r="CG131" s="62"/>
      <c r="CH131" s="62"/>
      <c r="CI131" s="62"/>
      <c r="CJ131" s="62"/>
    </row>
    <row r="132" s="61" customFormat="1" ht="16" customHeight="1" spans="7:88">
      <c r="G132" s="63"/>
      <c r="M132" s="247"/>
      <c r="T132" s="64"/>
      <c r="AA132" s="63"/>
      <c r="AH132" s="63"/>
      <c r="AZ132" s="63"/>
      <c r="BR132" s="62"/>
      <c r="BS132" s="62"/>
      <c r="BT132" s="62"/>
      <c r="BU132" s="62"/>
      <c r="BV132" s="62"/>
      <c r="BW132" s="62"/>
      <c r="BX132" s="62"/>
      <c r="BY132" s="62"/>
      <c r="BZ132" s="62"/>
      <c r="CA132" s="62"/>
      <c r="CB132" s="62"/>
      <c r="CC132" s="62"/>
      <c r="CD132" s="62"/>
      <c r="CE132" s="62"/>
      <c r="CF132" s="62"/>
      <c r="CG132" s="62"/>
      <c r="CH132" s="62"/>
      <c r="CI132" s="62"/>
      <c r="CJ132" s="62"/>
    </row>
    <row r="133" s="61" customFormat="1" ht="16" customHeight="1" spans="7:88">
      <c r="G133" s="63"/>
      <c r="M133" s="247"/>
      <c r="T133" s="64"/>
      <c r="AA133" s="63"/>
      <c r="AH133" s="63"/>
      <c r="AZ133" s="63"/>
      <c r="BR133" s="62"/>
      <c r="BS133" s="62"/>
      <c r="BT133" s="62"/>
      <c r="BU133" s="62"/>
      <c r="BV133" s="62"/>
      <c r="BW133" s="62"/>
      <c r="BX133" s="62"/>
      <c r="BY133" s="62"/>
      <c r="BZ133" s="62"/>
      <c r="CA133" s="62"/>
      <c r="CB133" s="62"/>
      <c r="CC133" s="62"/>
      <c r="CD133" s="62"/>
      <c r="CE133" s="62"/>
      <c r="CF133" s="62"/>
      <c r="CG133" s="62"/>
      <c r="CH133" s="62"/>
      <c r="CI133" s="62"/>
      <c r="CJ133" s="62"/>
    </row>
    <row r="134" s="61" customFormat="1" ht="16" customHeight="1" spans="7:88">
      <c r="G134" s="63"/>
      <c r="M134" s="247"/>
      <c r="T134" s="64"/>
      <c r="AA134" s="63"/>
      <c r="AH134" s="63"/>
      <c r="AZ134" s="63"/>
      <c r="BR134" s="62"/>
      <c r="BS134" s="62"/>
      <c r="BT134" s="62"/>
      <c r="BU134" s="62"/>
      <c r="BV134" s="62"/>
      <c r="BW134" s="62"/>
      <c r="BX134" s="62"/>
      <c r="BY134" s="62"/>
      <c r="BZ134" s="62"/>
      <c r="CA134" s="62"/>
      <c r="CB134" s="62"/>
      <c r="CC134" s="62"/>
      <c r="CD134" s="62"/>
      <c r="CE134" s="62"/>
      <c r="CF134" s="62"/>
      <c r="CG134" s="62"/>
      <c r="CH134" s="62"/>
      <c r="CI134" s="62"/>
      <c r="CJ134" s="62"/>
    </row>
    <row r="135" s="61" customFormat="1" ht="16" customHeight="1" spans="7:88">
      <c r="G135" s="63"/>
      <c r="M135" s="247"/>
      <c r="T135" s="64"/>
      <c r="AA135" s="63"/>
      <c r="AH135" s="63"/>
      <c r="AZ135" s="63"/>
      <c r="BR135" s="62"/>
      <c r="BS135" s="62"/>
      <c r="BT135" s="62"/>
      <c r="BU135" s="62"/>
      <c r="BV135" s="62"/>
      <c r="BW135" s="62"/>
      <c r="BX135" s="62"/>
      <c r="BY135" s="62"/>
      <c r="BZ135" s="62"/>
      <c r="CA135" s="62"/>
      <c r="CB135" s="62"/>
      <c r="CC135" s="62"/>
      <c r="CD135" s="62"/>
      <c r="CE135" s="62"/>
      <c r="CF135" s="62"/>
      <c r="CG135" s="62"/>
      <c r="CH135" s="62"/>
      <c r="CI135" s="62"/>
      <c r="CJ135" s="62"/>
    </row>
    <row r="136" s="61" customFormat="1" ht="16" customHeight="1" spans="7:88">
      <c r="G136" s="63"/>
      <c r="M136" s="247"/>
      <c r="T136" s="64"/>
      <c r="AA136" s="63"/>
      <c r="AH136" s="63"/>
      <c r="AZ136" s="63"/>
      <c r="BR136" s="62"/>
      <c r="BS136" s="62"/>
      <c r="BT136" s="62"/>
      <c r="BU136" s="62"/>
      <c r="BV136" s="62"/>
      <c r="BW136" s="62"/>
      <c r="BX136" s="62"/>
      <c r="BY136" s="62"/>
      <c r="BZ136" s="62"/>
      <c r="CA136" s="62"/>
      <c r="CB136" s="62"/>
      <c r="CC136" s="62"/>
      <c r="CD136" s="62"/>
      <c r="CE136" s="62"/>
      <c r="CF136" s="62"/>
      <c r="CG136" s="62"/>
      <c r="CH136" s="62"/>
      <c r="CI136" s="62"/>
      <c r="CJ136" s="62"/>
    </row>
    <row r="137" s="61" customFormat="1" ht="16" customHeight="1" spans="7:88">
      <c r="G137" s="63"/>
      <c r="M137" s="247"/>
      <c r="T137" s="64"/>
      <c r="AA137" s="63"/>
      <c r="AH137" s="63"/>
      <c r="AZ137" s="63"/>
      <c r="BR137" s="62"/>
      <c r="BS137" s="62"/>
      <c r="BT137" s="62"/>
      <c r="BU137" s="62"/>
      <c r="BV137" s="62"/>
      <c r="BW137" s="62"/>
      <c r="BX137" s="62"/>
      <c r="BY137" s="62"/>
      <c r="BZ137" s="62"/>
      <c r="CA137" s="62"/>
      <c r="CB137" s="62"/>
      <c r="CC137" s="62"/>
      <c r="CD137" s="62"/>
      <c r="CE137" s="62"/>
      <c r="CF137" s="62"/>
      <c r="CG137" s="62"/>
      <c r="CH137" s="62"/>
      <c r="CI137" s="62"/>
      <c r="CJ137" s="62"/>
    </row>
    <row r="138" s="61" customFormat="1" ht="16" customHeight="1" spans="7:88">
      <c r="G138" s="63"/>
      <c r="M138" s="247"/>
      <c r="T138" s="64"/>
      <c r="AA138" s="63"/>
      <c r="AH138" s="63"/>
      <c r="AZ138" s="63"/>
      <c r="BR138" s="62"/>
      <c r="BS138" s="62"/>
      <c r="BT138" s="62"/>
      <c r="BU138" s="62"/>
      <c r="BV138" s="62"/>
      <c r="BW138" s="62"/>
      <c r="BX138" s="62"/>
      <c r="BY138" s="62"/>
      <c r="BZ138" s="62"/>
      <c r="CA138" s="62"/>
      <c r="CB138" s="62"/>
      <c r="CC138" s="62"/>
      <c r="CD138" s="62"/>
      <c r="CE138" s="62"/>
      <c r="CF138" s="62"/>
      <c r="CG138" s="62"/>
      <c r="CH138" s="62"/>
      <c r="CI138" s="62"/>
      <c r="CJ138" s="62"/>
    </row>
    <row r="139" s="61" customFormat="1" ht="16" customHeight="1" spans="7:88">
      <c r="G139" s="63"/>
      <c r="M139" s="247"/>
      <c r="T139" s="64"/>
      <c r="AA139" s="63"/>
      <c r="AH139" s="63"/>
      <c r="AZ139" s="63"/>
      <c r="BR139" s="62"/>
      <c r="BS139" s="62"/>
      <c r="BT139" s="62"/>
      <c r="BU139" s="62"/>
      <c r="BV139" s="62"/>
      <c r="BW139" s="62"/>
      <c r="BX139" s="62"/>
      <c r="BY139" s="62"/>
      <c r="BZ139" s="62"/>
      <c r="CA139" s="62"/>
      <c r="CB139" s="62"/>
      <c r="CC139" s="62"/>
      <c r="CD139" s="62"/>
      <c r="CE139" s="62"/>
      <c r="CF139" s="62"/>
      <c r="CG139" s="62"/>
      <c r="CH139" s="62"/>
      <c r="CI139" s="62"/>
      <c r="CJ139" s="62"/>
    </row>
    <row r="140" s="61" customFormat="1" ht="16" customHeight="1" spans="7:88">
      <c r="G140" s="63"/>
      <c r="M140" s="247"/>
      <c r="T140" s="64"/>
      <c r="AA140" s="63"/>
      <c r="AH140" s="63"/>
      <c r="AZ140" s="63"/>
      <c r="BR140" s="62"/>
      <c r="BS140" s="62"/>
      <c r="BT140" s="62"/>
      <c r="BU140" s="62"/>
      <c r="BV140" s="62"/>
      <c r="BW140" s="62"/>
      <c r="BX140" s="62"/>
      <c r="BY140" s="62"/>
      <c r="BZ140" s="62"/>
      <c r="CA140" s="62"/>
      <c r="CB140" s="62"/>
      <c r="CC140" s="62"/>
      <c r="CD140" s="62"/>
      <c r="CE140" s="62"/>
      <c r="CF140" s="62"/>
      <c r="CG140" s="62"/>
      <c r="CH140" s="62"/>
      <c r="CI140" s="62"/>
      <c r="CJ140" s="62"/>
    </row>
    <row r="141" s="61" customFormat="1" ht="16" customHeight="1" spans="7:88">
      <c r="G141" s="63"/>
      <c r="M141" s="247"/>
      <c r="T141" s="64"/>
      <c r="AA141" s="63"/>
      <c r="AH141" s="63"/>
      <c r="AZ141" s="63"/>
      <c r="BR141" s="62"/>
      <c r="BS141" s="62"/>
      <c r="BT141" s="62"/>
      <c r="BU141" s="62"/>
      <c r="BV141" s="62"/>
      <c r="BW141" s="62"/>
      <c r="BX141" s="62"/>
      <c r="BY141" s="62"/>
      <c r="BZ141" s="62"/>
      <c r="CA141" s="62"/>
      <c r="CB141" s="62"/>
      <c r="CC141" s="62"/>
      <c r="CD141" s="62"/>
      <c r="CE141" s="62"/>
      <c r="CF141" s="62"/>
      <c r="CG141" s="62"/>
      <c r="CH141" s="62"/>
      <c r="CI141" s="62"/>
      <c r="CJ141" s="62"/>
    </row>
    <row r="142" s="61" customFormat="1" ht="16" customHeight="1" spans="7:88">
      <c r="G142" s="63"/>
      <c r="M142" s="247"/>
      <c r="T142" s="64"/>
      <c r="AA142" s="63"/>
      <c r="AH142" s="63"/>
      <c r="AZ142" s="63"/>
      <c r="BR142" s="62"/>
      <c r="BS142" s="62"/>
      <c r="BT142" s="62"/>
      <c r="BU142" s="62"/>
      <c r="BV142" s="62"/>
      <c r="BW142" s="62"/>
      <c r="BX142" s="62"/>
      <c r="BY142" s="62"/>
      <c r="BZ142" s="62"/>
      <c r="CA142" s="62"/>
      <c r="CB142" s="62"/>
      <c r="CC142" s="62"/>
      <c r="CD142" s="62"/>
      <c r="CE142" s="62"/>
      <c r="CF142" s="62"/>
      <c r="CG142" s="62"/>
      <c r="CH142" s="62"/>
      <c r="CI142" s="62"/>
      <c r="CJ142" s="62"/>
    </row>
    <row r="143" s="61" customFormat="1" ht="16" customHeight="1" spans="7:88">
      <c r="G143" s="63"/>
      <c r="M143" s="247"/>
      <c r="T143" s="64"/>
      <c r="AA143" s="63"/>
      <c r="AH143" s="63"/>
      <c r="AZ143" s="63"/>
      <c r="BR143" s="62"/>
      <c r="BS143" s="62"/>
      <c r="BT143" s="62"/>
      <c r="BU143" s="62"/>
      <c r="BV143" s="62"/>
      <c r="BW143" s="62"/>
      <c r="BX143" s="62"/>
      <c r="BY143" s="62"/>
      <c r="BZ143" s="62"/>
      <c r="CA143" s="62"/>
      <c r="CB143" s="62"/>
      <c r="CC143" s="62"/>
      <c r="CD143" s="62"/>
      <c r="CE143" s="62"/>
      <c r="CF143" s="62"/>
      <c r="CG143" s="62"/>
      <c r="CH143" s="62"/>
      <c r="CI143" s="62"/>
      <c r="CJ143" s="62"/>
    </row>
    <row r="144" s="61" customFormat="1" ht="16" customHeight="1" spans="7:88">
      <c r="G144" s="63"/>
      <c r="M144" s="247"/>
      <c r="T144" s="64"/>
      <c r="AA144" s="63"/>
      <c r="AH144" s="63"/>
      <c r="AZ144" s="63"/>
      <c r="BR144" s="62"/>
      <c r="BS144" s="62"/>
      <c r="BT144" s="62"/>
      <c r="BU144" s="62"/>
      <c r="BV144" s="62"/>
      <c r="BW144" s="62"/>
      <c r="BX144" s="62"/>
      <c r="BY144" s="62"/>
      <c r="BZ144" s="62"/>
      <c r="CA144" s="62"/>
      <c r="CB144" s="62"/>
      <c r="CC144" s="62"/>
      <c r="CD144" s="62"/>
      <c r="CE144" s="62"/>
      <c r="CF144" s="62"/>
      <c r="CG144" s="62"/>
      <c r="CH144" s="62"/>
      <c r="CI144" s="62"/>
      <c r="CJ144" s="62"/>
    </row>
    <row r="145" s="61" customFormat="1" ht="16" customHeight="1" spans="7:88">
      <c r="G145" s="63"/>
      <c r="M145" s="247"/>
      <c r="T145" s="64"/>
      <c r="AA145" s="63"/>
      <c r="AH145" s="63"/>
      <c r="AZ145" s="63"/>
      <c r="BR145" s="62"/>
      <c r="BS145" s="62"/>
      <c r="BT145" s="62"/>
      <c r="BU145" s="62"/>
      <c r="BV145" s="62"/>
      <c r="BW145" s="62"/>
      <c r="BX145" s="62"/>
      <c r="BY145" s="62"/>
      <c r="BZ145" s="62"/>
      <c r="CA145" s="62"/>
      <c r="CB145" s="62"/>
      <c r="CC145" s="62"/>
      <c r="CD145" s="62"/>
      <c r="CE145" s="62"/>
      <c r="CF145" s="62"/>
      <c r="CG145" s="62"/>
      <c r="CH145" s="62"/>
      <c r="CI145" s="62"/>
      <c r="CJ145" s="62"/>
    </row>
    <row r="146" s="61" customFormat="1" ht="16" customHeight="1" spans="7:88">
      <c r="G146" s="63"/>
      <c r="M146" s="247"/>
      <c r="T146" s="64"/>
      <c r="AA146" s="63"/>
      <c r="AH146" s="63"/>
      <c r="AZ146" s="63"/>
      <c r="BR146" s="62"/>
      <c r="BS146" s="62"/>
      <c r="BT146" s="62"/>
      <c r="BU146" s="62"/>
      <c r="BV146" s="62"/>
      <c r="BW146" s="62"/>
      <c r="BX146" s="62"/>
      <c r="BY146" s="62"/>
      <c r="BZ146" s="62"/>
      <c r="CA146" s="62"/>
      <c r="CB146" s="62"/>
      <c r="CC146" s="62"/>
      <c r="CD146" s="62"/>
      <c r="CE146" s="62"/>
      <c r="CF146" s="62"/>
      <c r="CG146" s="62"/>
      <c r="CH146" s="62"/>
      <c r="CI146" s="62"/>
      <c r="CJ146" s="62"/>
    </row>
    <row r="147" s="61" customFormat="1" ht="16" customHeight="1" spans="7:88">
      <c r="G147" s="63"/>
      <c r="M147" s="247"/>
      <c r="T147" s="64"/>
      <c r="AA147" s="63"/>
      <c r="AH147" s="63"/>
      <c r="AZ147" s="63"/>
      <c r="BR147" s="62"/>
      <c r="BS147" s="62"/>
      <c r="BT147" s="62"/>
      <c r="BU147" s="62"/>
      <c r="BV147" s="62"/>
      <c r="BW147" s="62"/>
      <c r="BX147" s="62"/>
      <c r="BY147" s="62"/>
      <c r="BZ147" s="62"/>
      <c r="CA147" s="62"/>
      <c r="CB147" s="62"/>
      <c r="CC147" s="62"/>
      <c r="CD147" s="62"/>
      <c r="CE147" s="62"/>
      <c r="CF147" s="62"/>
      <c r="CG147" s="62"/>
      <c r="CH147" s="62"/>
      <c r="CI147" s="62"/>
      <c r="CJ147" s="62"/>
    </row>
    <row r="148" s="61" customFormat="1" ht="16" customHeight="1" spans="7:88">
      <c r="G148" s="63"/>
      <c r="M148" s="247"/>
      <c r="T148" s="64"/>
      <c r="AA148" s="63"/>
      <c r="AH148" s="63"/>
      <c r="AZ148" s="63"/>
      <c r="BR148" s="62"/>
      <c r="BS148" s="62"/>
      <c r="BT148" s="62"/>
      <c r="BU148" s="62"/>
      <c r="BV148" s="62"/>
      <c r="BW148" s="62"/>
      <c r="BX148" s="62"/>
      <c r="BY148" s="62"/>
      <c r="BZ148" s="62"/>
      <c r="CA148" s="62"/>
      <c r="CB148" s="62"/>
      <c r="CC148" s="62"/>
      <c r="CD148" s="62"/>
      <c r="CE148" s="62"/>
      <c r="CF148" s="62"/>
      <c r="CG148" s="62"/>
      <c r="CH148" s="62"/>
      <c r="CI148" s="62"/>
      <c r="CJ148" s="62"/>
    </row>
    <row r="149" s="61" customFormat="1" ht="16" customHeight="1" spans="7:88">
      <c r="G149" s="63"/>
      <c r="M149" s="247"/>
      <c r="T149" s="64"/>
      <c r="AA149" s="63"/>
      <c r="AH149" s="63"/>
      <c r="AZ149" s="63"/>
      <c r="BR149" s="62"/>
      <c r="BS149" s="62"/>
      <c r="BT149" s="62"/>
      <c r="BU149" s="62"/>
      <c r="BV149" s="62"/>
      <c r="BW149" s="62"/>
      <c r="BX149" s="62"/>
      <c r="BY149" s="62"/>
      <c r="BZ149" s="62"/>
      <c r="CA149" s="62"/>
      <c r="CB149" s="62"/>
      <c r="CC149" s="62"/>
      <c r="CD149" s="62"/>
      <c r="CE149" s="62"/>
      <c r="CF149" s="62"/>
      <c r="CG149" s="62"/>
      <c r="CH149" s="62"/>
      <c r="CI149" s="62"/>
      <c r="CJ149" s="62"/>
    </row>
    <row r="150" s="61" customFormat="1" ht="16" customHeight="1" spans="7:88">
      <c r="G150" s="63"/>
      <c r="M150" s="247"/>
      <c r="T150" s="64"/>
      <c r="AA150" s="63"/>
      <c r="AH150" s="63"/>
      <c r="AZ150" s="63"/>
      <c r="BR150" s="62"/>
      <c r="BS150" s="62"/>
      <c r="BT150" s="62"/>
      <c r="BU150" s="62"/>
      <c r="BV150" s="62"/>
      <c r="BW150" s="62"/>
      <c r="BX150" s="62"/>
      <c r="BY150" s="62"/>
      <c r="BZ150" s="62"/>
      <c r="CA150" s="62"/>
      <c r="CB150" s="62"/>
      <c r="CC150" s="62"/>
      <c r="CD150" s="62"/>
      <c r="CE150" s="62"/>
      <c r="CF150" s="62"/>
      <c r="CG150" s="62"/>
      <c r="CH150" s="62"/>
      <c r="CI150" s="62"/>
      <c r="CJ150" s="62"/>
    </row>
    <row r="151" s="61" customFormat="1" ht="13.5" customHeight="1" spans="7:88">
      <c r="G151" s="63"/>
      <c r="M151" s="247"/>
      <c r="T151" s="64"/>
      <c r="AA151" s="63"/>
      <c r="AH151" s="63"/>
      <c r="AZ151" s="63"/>
      <c r="BR151" s="62"/>
      <c r="BS151" s="62"/>
      <c r="BT151" s="62"/>
      <c r="BU151" s="62"/>
      <c r="BV151" s="62"/>
      <c r="BW151" s="62"/>
      <c r="BX151" s="62"/>
      <c r="BY151" s="62"/>
      <c r="BZ151" s="62"/>
      <c r="CA151" s="62"/>
      <c r="CB151" s="62"/>
      <c r="CC151" s="62"/>
      <c r="CD151" s="62"/>
      <c r="CE151" s="62"/>
      <c r="CF151" s="62"/>
      <c r="CG151" s="62"/>
      <c r="CH151" s="62"/>
      <c r="CI151" s="62"/>
      <c r="CJ151" s="62"/>
    </row>
    <row r="152" s="61" customFormat="1" ht="13.5" customHeight="1" spans="7:88">
      <c r="G152" s="63"/>
      <c r="M152" s="247"/>
      <c r="T152" s="64"/>
      <c r="AA152" s="63"/>
      <c r="AH152" s="63"/>
      <c r="AZ152" s="63"/>
      <c r="BR152" s="62"/>
      <c r="BS152" s="62"/>
      <c r="BT152" s="62"/>
      <c r="BU152" s="62"/>
      <c r="BV152" s="62"/>
      <c r="BW152" s="62"/>
      <c r="BX152" s="62"/>
      <c r="BY152" s="62"/>
      <c r="BZ152" s="62"/>
      <c r="CA152" s="62"/>
      <c r="CB152" s="62"/>
      <c r="CC152" s="62"/>
      <c r="CD152" s="62"/>
      <c r="CE152" s="62"/>
      <c r="CF152" s="62"/>
      <c r="CG152" s="62"/>
      <c r="CH152" s="62"/>
      <c r="CI152" s="62"/>
      <c r="CJ152" s="62"/>
    </row>
    <row r="153" s="61" customFormat="1" ht="13.5" customHeight="1" spans="7:88">
      <c r="G153" s="63"/>
      <c r="M153" s="247"/>
      <c r="T153" s="64"/>
      <c r="AA153" s="63"/>
      <c r="AH153" s="63"/>
      <c r="AZ153" s="63"/>
      <c r="BR153" s="62"/>
      <c r="BS153" s="62"/>
      <c r="BT153" s="62"/>
      <c r="BU153" s="62"/>
      <c r="BV153" s="62"/>
      <c r="BW153" s="62"/>
      <c r="BX153" s="62"/>
      <c r="BY153" s="62"/>
      <c r="BZ153" s="62"/>
      <c r="CA153" s="62"/>
      <c r="CB153" s="62"/>
      <c r="CC153" s="62"/>
      <c r="CD153" s="62"/>
      <c r="CE153" s="62"/>
      <c r="CF153" s="62"/>
      <c r="CG153" s="62"/>
      <c r="CH153" s="62"/>
      <c r="CI153" s="62"/>
      <c r="CJ153" s="62"/>
    </row>
    <row r="154" s="61" customFormat="1" ht="13.5" customHeight="1" spans="7:88">
      <c r="G154" s="63"/>
      <c r="M154" s="247"/>
      <c r="T154" s="64"/>
      <c r="AA154" s="63"/>
      <c r="AH154" s="63"/>
      <c r="AZ154" s="63"/>
      <c r="BR154" s="62"/>
      <c r="BS154" s="62"/>
      <c r="BT154" s="62"/>
      <c r="BU154" s="62"/>
      <c r="BV154" s="62"/>
      <c r="BW154" s="62"/>
      <c r="BX154" s="62"/>
      <c r="BY154" s="62"/>
      <c r="BZ154" s="62"/>
      <c r="CA154" s="62"/>
      <c r="CB154" s="62"/>
      <c r="CC154" s="62"/>
      <c r="CD154" s="62"/>
      <c r="CE154" s="62"/>
      <c r="CF154" s="62"/>
      <c r="CG154" s="62"/>
      <c r="CH154" s="62"/>
      <c r="CI154" s="62"/>
      <c r="CJ154" s="62"/>
    </row>
    <row r="155" s="61" customFormat="1" ht="13.5" customHeight="1" spans="7:88">
      <c r="G155" s="63"/>
      <c r="M155" s="247"/>
      <c r="T155" s="64"/>
      <c r="AA155" s="63"/>
      <c r="AH155" s="63"/>
      <c r="AZ155" s="63"/>
      <c r="BR155" s="62"/>
      <c r="BS155" s="62"/>
      <c r="BT155" s="62"/>
      <c r="BU155" s="62"/>
      <c r="BV155" s="62"/>
      <c r="BW155" s="62"/>
      <c r="BX155" s="62"/>
      <c r="BY155" s="62"/>
      <c r="BZ155" s="62"/>
      <c r="CA155" s="62"/>
      <c r="CB155" s="62"/>
      <c r="CC155" s="62"/>
      <c r="CD155" s="62"/>
      <c r="CE155" s="62"/>
      <c r="CF155" s="62"/>
      <c r="CG155" s="62"/>
      <c r="CH155" s="62"/>
      <c r="CI155" s="62"/>
      <c r="CJ155" s="62"/>
    </row>
    <row r="156" s="61" customFormat="1" ht="13.5" customHeight="1" spans="7:88">
      <c r="G156" s="63"/>
      <c r="M156" s="247"/>
      <c r="T156" s="64"/>
      <c r="AA156" s="63"/>
      <c r="AH156" s="63"/>
      <c r="AZ156" s="63"/>
      <c r="BR156" s="62"/>
      <c r="BS156" s="62"/>
      <c r="BT156" s="62"/>
      <c r="BU156" s="62"/>
      <c r="BV156" s="62"/>
      <c r="BW156" s="62"/>
      <c r="BX156" s="62"/>
      <c r="BY156" s="62"/>
      <c r="BZ156" s="62"/>
      <c r="CA156" s="62"/>
      <c r="CB156" s="62"/>
      <c r="CC156" s="62"/>
      <c r="CD156" s="62"/>
      <c r="CE156" s="62"/>
      <c r="CF156" s="62"/>
      <c r="CG156" s="62"/>
      <c r="CH156" s="62"/>
      <c r="CI156" s="62"/>
      <c r="CJ156" s="62"/>
    </row>
    <row r="157" s="61" customFormat="1" ht="13.5" customHeight="1" spans="7:88">
      <c r="G157" s="63"/>
      <c r="M157" s="247"/>
      <c r="T157" s="64"/>
      <c r="AA157" s="63"/>
      <c r="AH157" s="63"/>
      <c r="AZ157" s="63"/>
      <c r="BR157" s="62"/>
      <c r="BS157" s="62"/>
      <c r="BT157" s="62"/>
      <c r="BU157" s="62"/>
      <c r="BV157" s="62"/>
      <c r="BW157" s="62"/>
      <c r="BX157" s="62"/>
      <c r="BY157" s="62"/>
      <c r="BZ157" s="62"/>
      <c r="CA157" s="62"/>
      <c r="CB157" s="62"/>
      <c r="CC157" s="62"/>
      <c r="CD157" s="62"/>
      <c r="CE157" s="62"/>
      <c r="CF157" s="62"/>
      <c r="CG157" s="62"/>
      <c r="CH157" s="62"/>
      <c r="CI157" s="62"/>
      <c r="CJ157" s="62"/>
    </row>
    <row r="158" s="61" customFormat="1" ht="13.5" customHeight="1" spans="7:88">
      <c r="G158" s="63"/>
      <c r="M158" s="247"/>
      <c r="T158" s="64"/>
      <c r="AA158" s="63"/>
      <c r="AH158" s="63"/>
      <c r="AZ158" s="63"/>
      <c r="BR158" s="62"/>
      <c r="BS158" s="62"/>
      <c r="BT158" s="62"/>
      <c r="BU158" s="62"/>
      <c r="BV158" s="62"/>
      <c r="BW158" s="62"/>
      <c r="BX158" s="62"/>
      <c r="BY158" s="62"/>
      <c r="BZ158" s="62"/>
      <c r="CA158" s="62"/>
      <c r="CB158" s="62"/>
      <c r="CC158" s="62"/>
      <c r="CD158" s="62"/>
      <c r="CE158" s="62"/>
      <c r="CF158" s="62"/>
      <c r="CG158" s="62"/>
      <c r="CH158" s="62"/>
      <c r="CI158" s="62"/>
      <c r="CJ158" s="62"/>
    </row>
    <row r="159" s="61" customFormat="1" ht="13.5" customHeight="1" spans="7:88">
      <c r="G159" s="63"/>
      <c r="M159" s="247"/>
      <c r="T159" s="64"/>
      <c r="AA159" s="63"/>
      <c r="AH159" s="63"/>
      <c r="AZ159" s="63"/>
      <c r="BR159" s="62"/>
      <c r="BS159" s="62"/>
      <c r="BT159" s="62"/>
      <c r="BU159" s="62"/>
      <c r="BV159" s="62"/>
      <c r="BW159" s="62"/>
      <c r="BX159" s="62"/>
      <c r="BY159" s="62"/>
      <c r="BZ159" s="62"/>
      <c r="CA159" s="62"/>
      <c r="CB159" s="62"/>
      <c r="CC159" s="62"/>
      <c r="CD159" s="62"/>
      <c r="CE159" s="62"/>
      <c r="CF159" s="62"/>
      <c r="CG159" s="62"/>
      <c r="CH159" s="62"/>
      <c r="CI159" s="62"/>
      <c r="CJ159" s="62"/>
    </row>
    <row r="160" s="61" customFormat="1" ht="13.5" customHeight="1" spans="7:88">
      <c r="G160" s="63"/>
      <c r="M160" s="247"/>
      <c r="T160" s="64"/>
      <c r="AA160" s="63"/>
      <c r="AH160" s="63"/>
      <c r="AZ160" s="63"/>
      <c r="BR160" s="62"/>
      <c r="BS160" s="62"/>
      <c r="BT160" s="62"/>
      <c r="BU160" s="62"/>
      <c r="BV160" s="62"/>
      <c r="BW160" s="62"/>
      <c r="BX160" s="62"/>
      <c r="BY160" s="62"/>
      <c r="BZ160" s="62"/>
      <c r="CA160" s="62"/>
      <c r="CB160" s="62"/>
      <c r="CC160" s="62"/>
      <c r="CD160" s="62"/>
      <c r="CE160" s="62"/>
      <c r="CF160" s="62"/>
      <c r="CG160" s="62"/>
      <c r="CH160" s="62"/>
      <c r="CI160" s="62"/>
      <c r="CJ160" s="62"/>
    </row>
    <row r="161" ht="13.5" customHeight="1" spans="13:13">
      <c r="M161" s="247"/>
    </row>
    <row r="162" ht="13.5" customHeight="1" spans="13:13">
      <c r="M162" s="247"/>
    </row>
    <row r="163" ht="13.5" customHeight="1" spans="13:13">
      <c r="M163" s="247"/>
    </row>
    <row r="164" ht="13.5" customHeight="1" spans="13:13">
      <c r="M164" s="247"/>
    </row>
    <row r="165" ht="13.5" customHeight="1" spans="13:13">
      <c r="M165" s="247"/>
    </row>
    <row r="166" ht="13.5" customHeight="1" spans="13:13">
      <c r="M166" s="247"/>
    </row>
    <row r="167" ht="13.5" customHeight="1" spans="13:13">
      <c r="M167" s="247"/>
    </row>
    <row r="168" ht="13.5" customHeight="1" spans="13:13">
      <c r="M168" s="247"/>
    </row>
    <row r="169" ht="13.5" customHeight="1" spans="13:13">
      <c r="M169" s="247"/>
    </row>
    <row r="170" ht="13.5" customHeight="1" spans="8:13">
      <c r="H170" s="265"/>
      <c r="I170" s="265"/>
      <c r="J170" s="265"/>
      <c r="K170" s="265"/>
      <c r="L170" s="265"/>
      <c r="M170" s="247"/>
    </row>
    <row r="171" ht="13.5" customHeight="1" spans="8:13">
      <c r="H171" s="266"/>
      <c r="I171" s="266"/>
      <c r="J171" s="266"/>
      <c r="K171" s="266"/>
      <c r="L171" s="266"/>
      <c r="M171" s="247"/>
    </row>
    <row r="172" ht="13.5" customHeight="1" spans="8:13">
      <c r="H172" s="266" t="e">
        <f>MIN(L177,INT(N49*520/H177))</f>
        <v>#DIV/0!</v>
      </c>
      <c r="I172" s="266"/>
      <c r="J172" s="266"/>
      <c r="K172" s="266"/>
      <c r="L172" s="266"/>
      <c r="M172" s="247"/>
    </row>
    <row r="173" ht="13.5" customHeight="1" spans="8:13">
      <c r="H173" s="266" t="e">
        <f>MIN(L178,MAX(0,INT((520*N49-H172*H177)/H178)))</f>
        <v>#DIV/0!</v>
      </c>
      <c r="I173" s="266"/>
      <c r="J173" s="266" t="e">
        <f>L178-H173</f>
        <v>#DIV/0!</v>
      </c>
      <c r="K173" s="266"/>
      <c r="L173" s="266"/>
      <c r="M173" s="247"/>
    </row>
    <row r="174" ht="13.5" customHeight="1" spans="8:13">
      <c r="H174" s="266" t="e">
        <f>MIN(L179,MAX(0,INT((520*N49-H172*H177-H173*H178)/H179)))</f>
        <v>#DIV/0!</v>
      </c>
      <c r="I174" s="266"/>
      <c r="J174" s="266" t="e">
        <f>IF(MIN((L179-H174),MIN(L179,INT((520*N49-J172*H177-J173*H178)/H179)))&lt;0,0,MIN((L179-H174),MIN(L179,INT((520*N49-J172*H177-J173*H178)/H179))))</f>
        <v>#DIV/0!</v>
      </c>
      <c r="K174" s="266" t="e">
        <f>MIN(L180,INT((260*N49-K175*H180)/H179))</f>
        <v>#DIV/0!</v>
      </c>
      <c r="L174" s="266"/>
      <c r="M174" s="247"/>
    </row>
    <row r="175" ht="13.5" customHeight="1" spans="8:13">
      <c r="H175" s="266" t="e">
        <f>MAX(0,INT((N49*520-H172*H177-H173*H178-H174*H179)/H180))</f>
        <v>#DIV/0!</v>
      </c>
      <c r="I175" s="266"/>
      <c r="J175" s="266" t="e">
        <f>IF(MIN(L180-K175,INT((520*N49-H177*J172-H178*J173-H179*J174)/H180))&lt;0,0,MIN(L180-K175,INT((520*N49-H177*J172-H178*J173-H179*J174)/H180)))</f>
        <v>#DIV/0!</v>
      </c>
      <c r="K175" s="266" t="e">
        <f>MIN(L180,INT(260*N49/H180))</f>
        <v>#DIV/0!</v>
      </c>
      <c r="L175" s="266"/>
      <c r="M175" s="247"/>
    </row>
    <row r="176" spans="8:12">
      <c r="H176" s="266"/>
      <c r="I176" s="266"/>
      <c r="J176" s="266"/>
      <c r="K176" s="266"/>
      <c r="L176" s="266"/>
    </row>
    <row r="177" spans="8:12">
      <c r="H177" s="266">
        <f>初始化表!E17</f>
        <v>0</v>
      </c>
      <c r="I177" s="266">
        <f>初始化表!E18</f>
        <v>0</v>
      </c>
      <c r="J177" s="266">
        <f>初始化表!E19</f>
        <v>0</v>
      </c>
      <c r="K177" s="266"/>
      <c r="L177" s="266">
        <f>L35</f>
        <v>0</v>
      </c>
    </row>
    <row r="178" spans="8:12">
      <c r="H178" s="266">
        <f>初始化表!F17</f>
        <v>0</v>
      </c>
      <c r="I178" s="266">
        <f>初始化表!F18</f>
        <v>0</v>
      </c>
      <c r="J178" s="266">
        <f>初始化表!F19</f>
        <v>0</v>
      </c>
      <c r="K178" s="266"/>
      <c r="L178" s="266">
        <f>L36</f>
        <v>0</v>
      </c>
    </row>
    <row r="179" spans="8:12">
      <c r="H179" s="266">
        <f>初始化表!G17</f>
        <v>0</v>
      </c>
      <c r="I179" s="266">
        <f>初始化表!G18</f>
        <v>0</v>
      </c>
      <c r="J179" s="266">
        <f>初始化表!G19</f>
        <v>0</v>
      </c>
      <c r="K179" s="266"/>
      <c r="L179" s="266">
        <f>L37</f>
        <v>0</v>
      </c>
    </row>
    <row r="180" spans="8:12">
      <c r="H180" s="266">
        <f>初始化表!H17</f>
        <v>0</v>
      </c>
      <c r="I180" s="266">
        <f>初始化表!H18</f>
        <v>0</v>
      </c>
      <c r="J180" s="266">
        <f>初始化表!H19</f>
        <v>0</v>
      </c>
      <c r="K180" s="266"/>
      <c r="L180" s="266">
        <f>L38</f>
        <v>0</v>
      </c>
    </row>
    <row r="181" spans="8:12">
      <c r="H181" s="266"/>
      <c r="I181" s="266"/>
      <c r="J181" s="266"/>
      <c r="K181" s="266"/>
      <c r="L181" s="266"/>
    </row>
    <row r="182" spans="8:12">
      <c r="H182" s="266" t="e">
        <f>MIN(L177,INT(N49*520/H177))</f>
        <v>#DIV/0!</v>
      </c>
      <c r="I182" s="266"/>
      <c r="J182" s="266"/>
      <c r="K182" s="266"/>
      <c r="L182" s="266"/>
    </row>
    <row r="183" spans="8:12">
      <c r="H183" s="266" t="e">
        <f>MIN(L178,MAX(0,INT((520*N49-H172*H177)/H178)))</f>
        <v>#DIV/0!</v>
      </c>
      <c r="I183" s="266"/>
      <c r="J183" s="266" t="e">
        <f>L188-H183</f>
        <v>#DIV/0!</v>
      </c>
      <c r="K183" s="266"/>
      <c r="L183" s="266"/>
    </row>
    <row r="184" spans="8:12">
      <c r="H184" s="266" t="e">
        <f>MIN(L179,MAX(0,INT((520*N49-H172*H177-H173*H178)/H179)))</f>
        <v>#DIV/0!</v>
      </c>
      <c r="I184" s="266"/>
      <c r="J184" s="266">
        <f>INT(L179/3*2)</f>
        <v>0</v>
      </c>
      <c r="K184" s="266">
        <f>INT(J184/2)</f>
        <v>0</v>
      </c>
      <c r="L184" s="266"/>
    </row>
    <row r="185" spans="8:12">
      <c r="H185" s="266" t="e">
        <f>MAX(0,INT((N49*520-H172*H177-H173*H178-H174*H179)/H180))</f>
        <v>#DIV/0!</v>
      </c>
      <c r="I185" s="266"/>
      <c r="J185" s="266">
        <f>INT(L180/3*2)</f>
        <v>0</v>
      </c>
      <c r="K185" s="266">
        <f>INT(J185/2)</f>
        <v>0</v>
      </c>
      <c r="L185" s="266"/>
    </row>
    <row r="186" spans="8:12">
      <c r="H186" s="265"/>
      <c r="I186" s="265"/>
      <c r="J186" s="265"/>
      <c r="K186" s="265"/>
      <c r="L186" s="265"/>
    </row>
    <row r="187" spans="8:12">
      <c r="H187" s="265"/>
      <c r="I187" s="265"/>
      <c r="J187" s="265"/>
      <c r="K187" s="265"/>
      <c r="L187" s="265"/>
    </row>
    <row r="200" spans="1:6">
      <c r="A200" s="265" t="s">
        <v>283</v>
      </c>
      <c r="B200" s="265" t="s">
        <v>314</v>
      </c>
      <c r="C200" s="265" t="s">
        <v>315</v>
      </c>
      <c r="D200" s="265" t="s">
        <v>316</v>
      </c>
      <c r="E200" s="265" t="s">
        <v>317</v>
      </c>
      <c r="F200" s="265" t="s">
        <v>318</v>
      </c>
    </row>
    <row r="201" spans="1:6">
      <c r="A201" s="265" t="s">
        <v>35</v>
      </c>
      <c r="B201" s="265">
        <v>100</v>
      </c>
      <c r="C201" s="267">
        <v>0</v>
      </c>
      <c r="D201" s="267">
        <v>100000</v>
      </c>
      <c r="E201" s="265">
        <v>1.635</v>
      </c>
      <c r="F201" s="265">
        <v>0.968</v>
      </c>
    </row>
    <row r="202" spans="1:6">
      <c r="A202" s="265" t="s">
        <v>36</v>
      </c>
      <c r="B202" s="265">
        <v>50</v>
      </c>
      <c r="C202" s="267">
        <v>0</v>
      </c>
      <c r="D202" s="267">
        <v>200000</v>
      </c>
      <c r="E202" s="265">
        <v>1.635</v>
      </c>
      <c r="F202" s="265">
        <v>0.967</v>
      </c>
    </row>
    <row r="203" spans="1:6">
      <c r="A203" s="265" t="s">
        <v>62</v>
      </c>
      <c r="B203" s="265">
        <v>0</v>
      </c>
      <c r="C203" s="265">
        <v>0</v>
      </c>
      <c r="D203" s="265">
        <v>0</v>
      </c>
      <c r="E203" s="265">
        <v>0</v>
      </c>
      <c r="F203" s="265">
        <v>0.965</v>
      </c>
    </row>
    <row r="204" spans="1:6">
      <c r="A204" s="265" t="s">
        <v>63</v>
      </c>
      <c r="B204" s="265">
        <v>0</v>
      </c>
      <c r="C204" s="265">
        <v>0</v>
      </c>
      <c r="D204" s="265">
        <v>0</v>
      </c>
      <c r="E204" s="265">
        <v>0</v>
      </c>
      <c r="F204" s="265">
        <v>0.964</v>
      </c>
    </row>
    <row r="222" spans="35:39">
      <c r="AI222" s="62" t="s">
        <v>761</v>
      </c>
      <c r="AJ222" s="62" t="s">
        <v>357</v>
      </c>
      <c r="AK222" s="62" t="s">
        <v>358</v>
      </c>
      <c r="AL222" s="62" t="s">
        <v>359</v>
      </c>
      <c r="AM222" s="62" t="s">
        <v>360</v>
      </c>
    </row>
    <row r="223" spans="35:36">
      <c r="AI223" s="62" t="s">
        <v>361</v>
      </c>
      <c r="AJ223" s="268">
        <v>5183711.3</v>
      </c>
    </row>
    <row r="224" spans="35:39">
      <c r="AI224" s="62" t="s">
        <v>309</v>
      </c>
      <c r="AJ224" s="268">
        <v>0</v>
      </c>
      <c r="AM224" s="268">
        <v>5183711.3</v>
      </c>
    </row>
    <row r="225" spans="35:39">
      <c r="AI225" s="62" t="s">
        <v>362</v>
      </c>
      <c r="AJ225" s="268">
        <v>0</v>
      </c>
      <c r="AM225" s="268">
        <v>5183711.3</v>
      </c>
    </row>
    <row r="226" spans="35:39">
      <c r="AI226" s="62" t="s">
        <v>363</v>
      </c>
      <c r="AJ226" s="268">
        <v>-50000</v>
      </c>
      <c r="AM226" s="268">
        <v>5133711.3</v>
      </c>
    </row>
    <row r="227" spans="35:39">
      <c r="AI227" s="62" t="s">
        <v>364</v>
      </c>
      <c r="AJ227" s="268">
        <v>-24375</v>
      </c>
      <c r="AL227" s="268">
        <v>24375</v>
      </c>
      <c r="AM227" s="268">
        <v>5109336.3</v>
      </c>
    </row>
    <row r="228" spans="35:39">
      <c r="AI228" s="62" t="s">
        <v>365</v>
      </c>
      <c r="AJ228" s="268">
        <v>-5000</v>
      </c>
      <c r="AL228" s="268">
        <v>29375</v>
      </c>
      <c r="AM228" s="268">
        <v>5104336.3</v>
      </c>
    </row>
    <row r="229" spans="35:39">
      <c r="AI229" s="62" t="s">
        <v>366</v>
      </c>
      <c r="AJ229" s="268">
        <v>-10000</v>
      </c>
      <c r="AL229" s="268">
        <v>39375</v>
      </c>
      <c r="AM229" s="268">
        <v>5094336.3</v>
      </c>
    </row>
    <row r="230" spans="35:39">
      <c r="AI230" s="62" t="s">
        <v>367</v>
      </c>
      <c r="AJ230" s="268">
        <v>-787800</v>
      </c>
      <c r="AL230" s="268">
        <v>827175</v>
      </c>
      <c r="AM230" s="268">
        <v>4306536.3</v>
      </c>
    </row>
    <row r="231" spans="35:39">
      <c r="AI231" s="62" t="s">
        <v>368</v>
      </c>
      <c r="AJ231" s="268">
        <v>-45000</v>
      </c>
      <c r="AL231" s="268">
        <v>872175</v>
      </c>
      <c r="AM231" s="268">
        <v>4261536.3</v>
      </c>
    </row>
    <row r="232" spans="35:39">
      <c r="AI232" s="62" t="s">
        <v>369</v>
      </c>
      <c r="AJ232" s="62">
        <v>0</v>
      </c>
      <c r="AM232" s="268">
        <v>4261536.3</v>
      </c>
    </row>
    <row r="233" spans="35:39">
      <c r="AI233" s="62" t="s">
        <v>370</v>
      </c>
      <c r="AJ233" s="268">
        <v>0</v>
      </c>
      <c r="AM233" s="268">
        <v>4261536.3</v>
      </c>
    </row>
    <row r="234" spans="35:38">
      <c r="AI234" s="62" t="s">
        <v>371</v>
      </c>
      <c r="AJ234" s="268">
        <v>0</v>
      </c>
      <c r="AL234" s="268">
        <v>872175</v>
      </c>
    </row>
    <row r="235" spans="35:39">
      <c r="AI235" s="62" t="s">
        <v>372</v>
      </c>
      <c r="AJ235" s="268">
        <v>-500000</v>
      </c>
      <c r="AM235" s="268">
        <v>3761536.3</v>
      </c>
    </row>
    <row r="236" spans="35:39">
      <c r="AI236" s="62" t="s">
        <v>373</v>
      </c>
      <c r="AJ236" s="268">
        <v>0</v>
      </c>
      <c r="AK236" s="268">
        <v>0</v>
      </c>
      <c r="AM236" s="268">
        <v>3761536.3</v>
      </c>
    </row>
    <row r="237" spans="35:39">
      <c r="AI237" s="62" t="s">
        <v>374</v>
      </c>
      <c r="AJ237" s="268">
        <v>-15000</v>
      </c>
      <c r="AL237" s="268">
        <v>887175</v>
      </c>
      <c r="AM237" s="268">
        <v>3746536.3</v>
      </c>
    </row>
    <row r="238" spans="35:39">
      <c r="AI238" s="62" t="s">
        <v>244</v>
      </c>
      <c r="AJ238" s="268">
        <v>-25000</v>
      </c>
      <c r="AL238" s="268">
        <v>912175</v>
      </c>
      <c r="AM238" s="268">
        <v>3721536.3</v>
      </c>
    </row>
    <row r="239" spans="35:39">
      <c r="AI239" s="62" t="s">
        <v>375</v>
      </c>
      <c r="AJ239" s="268">
        <v>-589140</v>
      </c>
      <c r="AL239" s="268">
        <v>1501315</v>
      </c>
      <c r="AM239" s="268">
        <v>3132396.3</v>
      </c>
    </row>
    <row r="240" spans="35:38">
      <c r="AI240" s="62" t="s">
        <v>376</v>
      </c>
      <c r="AJ240" s="268">
        <v>-471900</v>
      </c>
      <c r="AL240" s="268">
        <v>1973215</v>
      </c>
    </row>
    <row r="241" spans="35:39">
      <c r="AI241" s="62" t="s">
        <v>377</v>
      </c>
      <c r="AJ241" s="268">
        <v>-276050</v>
      </c>
      <c r="AL241" s="268">
        <v>2249265</v>
      </c>
      <c r="AM241" s="268">
        <v>2856346.3</v>
      </c>
    </row>
    <row r="242" spans="35:39">
      <c r="AI242" s="62" t="s">
        <v>276</v>
      </c>
      <c r="AJ242" s="268">
        <v>-30000</v>
      </c>
      <c r="AL242" s="268">
        <v>2279265</v>
      </c>
      <c r="AM242" s="268">
        <v>2826346.3</v>
      </c>
    </row>
    <row r="243" spans="35:39">
      <c r="AI243" s="62" t="s">
        <v>280</v>
      </c>
      <c r="AJ243" s="268">
        <v>-60000</v>
      </c>
      <c r="AL243" s="268">
        <v>2339265</v>
      </c>
      <c r="AM243" s="268">
        <v>2766346.3</v>
      </c>
    </row>
    <row r="244" spans="35:39">
      <c r="AI244" s="62" t="s">
        <v>378</v>
      </c>
      <c r="AJ244" s="268">
        <v>2956400</v>
      </c>
      <c r="AK244" s="268">
        <v>2956400</v>
      </c>
      <c r="AM244" s="268">
        <v>5722746.3</v>
      </c>
    </row>
    <row r="245" spans="35:39">
      <c r="AI245" s="62" t="s">
        <v>379</v>
      </c>
      <c r="AJ245" s="268">
        <v>-36000</v>
      </c>
      <c r="AL245" s="268">
        <v>2375265</v>
      </c>
      <c r="AM245" s="268">
        <v>5686746.3</v>
      </c>
    </row>
    <row r="246" spans="35:38">
      <c r="AI246" s="62" t="s">
        <v>380</v>
      </c>
      <c r="AJ246" s="268">
        <v>-600000</v>
      </c>
      <c r="AL246" s="268">
        <v>2975265</v>
      </c>
    </row>
    <row r="247" spans="35:38">
      <c r="AI247" s="62" t="s">
        <v>381</v>
      </c>
      <c r="AJ247" s="268" t="s">
        <v>762</v>
      </c>
      <c r="AL247" s="268">
        <v>2950303.46</v>
      </c>
    </row>
    <row r="248" spans="35:39">
      <c r="AI248" s="62" t="s">
        <v>382</v>
      </c>
      <c r="AJ248" s="268">
        <v>-7636.5</v>
      </c>
      <c r="AL248" s="268">
        <v>2957939.96</v>
      </c>
      <c r="AM248" s="268">
        <v>5679109.8</v>
      </c>
    </row>
    <row r="249" spans="35:39">
      <c r="AI249" s="62" t="s">
        <v>383</v>
      </c>
      <c r="AJ249" s="268">
        <v>-16840</v>
      </c>
      <c r="AL249" s="268">
        <v>2974779.96</v>
      </c>
      <c r="AM249" s="268">
        <v>5662269.8</v>
      </c>
    </row>
    <row r="250" spans="35:39">
      <c r="AI250" s="62" t="s">
        <v>384</v>
      </c>
      <c r="AJ250" s="62">
        <v>0</v>
      </c>
      <c r="AM250" s="268">
        <v>5662269.8</v>
      </c>
    </row>
    <row r="251" spans="35:39">
      <c r="AI251" s="62" t="s">
        <v>385</v>
      </c>
      <c r="AJ251" s="62">
        <v>0</v>
      </c>
      <c r="AK251" s="268">
        <v>2956400</v>
      </c>
      <c r="AM251" s="268">
        <v>5662269.8</v>
      </c>
    </row>
    <row r="252" spans="35:39">
      <c r="AI252" s="62" t="s">
        <v>386</v>
      </c>
      <c r="AJ252" s="268">
        <v>0</v>
      </c>
      <c r="AM252" s="268">
        <v>5662269.8</v>
      </c>
    </row>
    <row r="253" spans="35:39">
      <c r="AI253" s="62" t="s">
        <v>387</v>
      </c>
      <c r="AJ253" s="268">
        <v>0</v>
      </c>
      <c r="AL253" s="268">
        <v>2974779.96</v>
      </c>
      <c r="AM253" s="268">
        <v>5662269.8</v>
      </c>
    </row>
    <row r="254" spans="35:39">
      <c r="AI254" s="62" t="s">
        <v>388</v>
      </c>
      <c r="AJ254" s="62">
        <v>0</v>
      </c>
      <c r="AM254" s="268">
        <v>5662269.8</v>
      </c>
    </row>
    <row r="255" spans="35:39">
      <c r="AI255" s="62" t="s">
        <v>389</v>
      </c>
      <c r="AJ255" s="62">
        <v>0</v>
      </c>
      <c r="AL255" s="268">
        <v>2974779.96</v>
      </c>
      <c r="AM255" s="268">
        <v>5662269.8</v>
      </c>
    </row>
    <row r="256" spans="35:39">
      <c r="AI256" s="62" t="s">
        <v>390</v>
      </c>
      <c r="AJ256" s="268">
        <v>0</v>
      </c>
      <c r="AM256" s="268">
        <v>5662269.8</v>
      </c>
    </row>
    <row r="257" spans="35:39">
      <c r="AI257" s="62" t="s">
        <v>306</v>
      </c>
      <c r="AJ257" s="268">
        <v>-400000</v>
      </c>
      <c r="AM257" s="268">
        <v>5262269.8</v>
      </c>
    </row>
    <row r="258" spans="35:39">
      <c r="AI258" s="62" t="s">
        <v>391</v>
      </c>
      <c r="AJ258" s="268">
        <v>0</v>
      </c>
      <c r="AM258" s="268">
        <v>5262269.8</v>
      </c>
    </row>
    <row r="259" spans="35:39">
      <c r="AI259" s="62" t="s">
        <v>392</v>
      </c>
      <c r="AJ259" s="268">
        <v>0</v>
      </c>
      <c r="AM259" s="268">
        <v>5262269.8</v>
      </c>
    </row>
  </sheetData>
  <protectedRanges>
    <protectedRange sqref="A1:CI3 G9:S9 A4:F4 AB4:BR4 G16:Y19 AA16:BR20 A45:Q45 U45:Y45 A44:Y44 A43:J43 L43:N43 S25:BR26 AB5:AB8 S43:Y43 N24:BR24 A25:G28 N25:N26 N27:BR27 A63:B63 D63:M63 A101:CS105 A40:BH40 A38:Q38 G22:G24 BR31:CI45 A127:CS187 A106:AQ126 AH5:BR8 A48:T61 AA47:BH50 A64:M81 AA52:CS52 AA51:BS51 A41:Y42 AA41:BH45 AD9:BR9 U46:BH46 A46:R47 G20:N20 S20:Y20 N23 S21:BR23 V29:CI29 A62:M62 AA58:CS58 AF53:CS56 Z37:BH39 AA64:CS64 AG59:CS59 AX107:AX126 AF57:AH57 AZ57:CS57 A82:G94 U92:Y94 G6:N8 S6:Z8 Z36:AI36 AZ36:BH36 AG61:CS63 AG60:AI60 AZ60:CS60 A95:F95 H95:CS95 A96:G100 U96:CS100 U30:Y34 U86:U89 AZ106:CS126 H4:Z5 BJ30:CI30 BJ46:CI50 BJ31:BL45 A30:R37 S30:S32 S34:S35 G21:J21 M21:N22 U9:AB9 N28:CI28 A29:T29 T30:T35 Z30:BH35 S79:T88 S90:T94 M89:T89 A39:T39 S38:T38 T75:T78 S62:T71 Z65:CS94 U70:Y85 U10:BR13 G14:BR15 G10:N13 P10:S13" name="区域1"/>
    <protectedRange sqref="AA4:AA8" name="区域1_1"/>
    <protectedRange sqref="Z16:Z20" name="区域1_2"/>
    <protectedRange sqref="R45" name="区域1_4"/>
    <protectedRange sqref="K43" name="区域1_5"/>
    <protectedRange sqref="O25:R26" name="区域2"/>
    <protectedRange sqref="O43:R43" name="区域1_10"/>
    <protectedRange sqref="H23:M28" name="区域1_11"/>
    <protectedRange sqref="C63" name="区域1_12"/>
    <protectedRange sqref="N72:R72 N73:N76" name="区域2_1_1_3"/>
    <protectedRange sqref="N67:R67 N68:N71" name="区域2_1_1_3_1"/>
    <protectedRange sqref="O77:R77 N78:N81" name="区域2_1_1_3_1_3"/>
    <protectedRange sqref="O68:R71" name="区域2_1_1_3_1_2_1_1"/>
    <protectedRange sqref="O73:R76" name="区域2_1_1_3_2"/>
    <protectedRange sqref="R38" name="区域1_13"/>
    <protectedRange sqref="H22:L22" name="区域1_14_1"/>
    <protectedRange sqref="BM31:BQ40 BM42:BQ45 BN41:BQ41" name="区域1_14"/>
    <protectedRange sqref="AR107:AR126" name="区域2_1"/>
    <protectedRange sqref="AS107:AS126" name="区域2_2"/>
    <protectedRange sqref="AT107:AT126" name="区域2_3"/>
    <protectedRange sqref="AU107:AU126" name="区域2_5"/>
    <protectedRange sqref="AV107:AV126" name="区域1_18"/>
    <protectedRange sqref="AW107:AW126" name="区域1_16"/>
    <protectedRange sqref="AR106 AW106" name="区域1_17_3"/>
    <protectedRange sqref="AS106" name="区域1_17_1_1"/>
    <protectedRange sqref="AT106" name="区域1_17_2_1"/>
    <protectedRange sqref="AU106" name="区域1_17_4_1"/>
    <protectedRange sqref="AV106" name="区域1_18_1"/>
    <protectedRange sqref="CJ1:CS3 CJ25:CS51 CK4:CS24" name="区域1_20"/>
    <protectedRange sqref="CB25:CI27 BS25:BZ26 BS4:BS24" name="区域1_21"/>
    <protectedRange sqref="BS27:BZ27" name="区域1_9_1"/>
    <protectedRange sqref="CA27" name="区域1_7_3"/>
    <protectedRange sqref="CA25:CA26" name="区域1_7_1_1_2"/>
    <protectedRange sqref="BT4:CA4 BT5:BZ24" name="区域1_17_1"/>
    <protectedRange sqref="CA5:CA24" name="区域1_6_2_1"/>
    <protectedRange sqref="U58:Z58 Z47:Z57 U64:Z64" name="区域1_7"/>
    <protectedRange sqref="Z41:Z45" name="区域1_8"/>
    <protectedRange sqref="U54:Y57 V47:Y53" name="区域1_4_2"/>
    <protectedRange sqref="AD5:AG8" name="区域1_9"/>
    <protectedRange sqref="AC9" name="区域1_6"/>
    <protectedRange sqref="AC5:AC8" name="区域1_15_1_1"/>
    <protectedRange sqref="BT51:CI51" name="区域1_4_1"/>
    <protectedRange sqref="S45:T46 S47" name="区域3"/>
    <protectedRange sqref="T47" name="区域3_1"/>
    <protectedRange sqref="O20:R23" name="区域3_2"/>
    <protectedRange sqref="A5:F24" name="区域1_17"/>
    <protectedRange sqref="U47:U53" name="区域1_4_2_1"/>
    <protectedRange sqref="Z59:Z63" name="区域1_7_1"/>
    <protectedRange sqref="U59:Y63" name="区域1_4_2_2"/>
    <protectedRange sqref="U29" name="区域1_3"/>
    <protectedRange sqref="N62:R62 N63:N66" name="区域2_1_1_3_3"/>
    <protectedRange sqref="O63:R66" name="区域2_1_1_3_1_2_1_1_1"/>
    <protectedRange sqref="AB53:AE53 AA54:AE57" name="区域1_4_2_3"/>
    <protectedRange sqref="AA53" name="区域1_4_2_1_1"/>
    <protectedRange sqref="U65" name="区域1_15"/>
    <protectedRange sqref="U66:U69 V65:Y65" name="区域1_4_2_2_1"/>
    <protectedRange sqref="V66:Y69" name="区域1_19"/>
    <protectedRange sqref="CH4:CJ24" name="区域1_12_1"/>
    <protectedRange sqref="CG4:CG24" name="区域1_19_2"/>
    <protectedRange sqref="CF4:CF24" name="区域1_12_1_1"/>
    <protectedRange sqref="CB4:CE4 CB5:CB24" name="区域1_17_1_2"/>
    <protectedRange sqref="CC5:CE24" name="区域1_5_1_1_1"/>
    <protectedRange sqref="O78:R81" name="区域2_1_1_3_1_1"/>
    <protectedRange sqref="V86:Y89" name="区域1_11_1"/>
    <protectedRange sqref="AF59:AF63" name="区域1_23"/>
    <protectedRange sqref="AB59:AE59 AA60:AE63" name="区域1_4_2_3_1"/>
    <protectedRange sqref="AA59" name="区域1_4_2_1_2"/>
    <protectedRange sqref="AX106" name="区域1_22"/>
    <protectedRange sqref="H82:R83" name="区域2_4"/>
    <protectedRange sqref="H84:L88 N84:R88" name="区域2_6"/>
    <protectedRange sqref="AI57" name="区域1_14_2"/>
    <protectedRange sqref="AJ57:AY57" name="区域1_25_1"/>
    <protectedRange sqref="H89:L89" name="区域1_26"/>
    <protectedRange sqref="O6:R8" name="区域1_27"/>
    <protectedRange sqref="M84:M88" name="区域2_2_2"/>
    <protectedRange sqref="AJ36:AY36" name="区域1_1_1"/>
    <protectedRange sqref="AJ60:AY60" name="区域1_1_2"/>
    <protectedRange sqref="N90:R94" name="区域2_7"/>
    <protectedRange sqref="G95" name="区域2_8"/>
    <protectedRange sqref="M96:M100" name="区域3_3"/>
    <protectedRange sqref="H96:L100 N96:R100" name="区域2_6_1"/>
    <protectedRange sqref="T72:T74" name="区域1_1_5"/>
    <protectedRange sqref="S36" name="区域1_24"/>
    <protectedRange sqref="T36:T37" name="区域1_1_6"/>
    <protectedRange sqref="S73:S76" name="区域1_1_3_1"/>
    <protectedRange sqref="S72" name="区域1_1_3_2"/>
    <protectedRange sqref="S37" name="区域1_28"/>
    <protectedRange sqref="I90:L90 H91:L94" name="区域1_4_2_4"/>
    <protectedRange sqref="H90" name="区域1_4_2_1_3"/>
    <protectedRange sqref="N77" name="区域2_1_1_3_1_1_1"/>
    <protectedRange sqref="M90" name="区域2_7_1"/>
    <protectedRange sqref="S78" name="区域2_7_2"/>
    <protectedRange sqref="AY106" name="区域1_22_1"/>
    <protectedRange sqref="M91:M94" name="区域2_7_1_1_1"/>
    <protectedRange sqref="AY107:AY126" name="区域1_22_2"/>
    <protectedRange sqref="G5" name="区域1_25"/>
    <protectedRange sqref="S77" name="区域2_7_1_1"/>
    <protectedRange sqref="S96:S100" name="区域3_4"/>
    <protectedRange sqref="T96:T100" name="区域3_5"/>
    <protectedRange sqref="BI31:BI50" name="区域1_29"/>
    <protectedRange sqref="BI30" name="区域1_7_2"/>
    <protectedRange sqref="G4" name="区域1_30"/>
    <protectedRange sqref="K21" name="区域1_24_1"/>
    <protectedRange sqref="L21" name="区域1_26_1"/>
    <protectedRange sqref="T9" name="区域1_27_1"/>
    <protectedRange sqref="BM41" name="区域1_27_2"/>
    <protectedRange sqref="V35:Y35 U36:Y39" name="区域1_11_1_1"/>
    <protectedRange sqref="U35" name="区域1_6_1"/>
    <protectedRange sqref="T10:T13" name="区域2_9"/>
    <protectedRange sqref="O10:O13" name="区域3_7"/>
  </protectedRanges>
  <mergeCells count="104">
    <mergeCell ref="CK3:CS3"/>
    <mergeCell ref="A4:F4"/>
    <mergeCell ref="H4:L4"/>
    <mergeCell ref="N4:R4"/>
    <mergeCell ref="BA4:BQ4"/>
    <mergeCell ref="BB5:BE5"/>
    <mergeCell ref="BF5:BI5"/>
    <mergeCell ref="BJ5:BM5"/>
    <mergeCell ref="BN5:BQ5"/>
    <mergeCell ref="AI7:AQ7"/>
    <mergeCell ref="H11:L11"/>
    <mergeCell ref="H23:L23"/>
    <mergeCell ref="A26:F26"/>
    <mergeCell ref="BS27:BV27"/>
    <mergeCell ref="A28:B28"/>
    <mergeCell ref="C28:F28"/>
    <mergeCell ref="BT28:BW28"/>
    <mergeCell ref="BX28:CA28"/>
    <mergeCell ref="CB28:CE28"/>
    <mergeCell ref="CF28:CI28"/>
    <mergeCell ref="A29:B29"/>
    <mergeCell ref="K29:L29"/>
    <mergeCell ref="A30:B30"/>
    <mergeCell ref="BM30:BQ30"/>
    <mergeCell ref="A31:B31"/>
    <mergeCell ref="N31:R31"/>
    <mergeCell ref="A32:B32"/>
    <mergeCell ref="A33:B33"/>
    <mergeCell ref="A34:B34"/>
    <mergeCell ref="AI34:AY34"/>
    <mergeCell ref="A35:B35"/>
    <mergeCell ref="AJ35:AM35"/>
    <mergeCell ref="AN35:AQ35"/>
    <mergeCell ref="AR35:AU35"/>
    <mergeCell ref="AV35:AY35"/>
    <mergeCell ref="A36:B36"/>
    <mergeCell ref="A37:B37"/>
    <mergeCell ref="A38:B38"/>
    <mergeCell ref="N38:O38"/>
    <mergeCell ref="A39:B39"/>
    <mergeCell ref="N39:R39"/>
    <mergeCell ref="A40:B40"/>
    <mergeCell ref="AB40:AC40"/>
    <mergeCell ref="AD40:AE40"/>
    <mergeCell ref="A41:B41"/>
    <mergeCell ref="H41:L41"/>
    <mergeCell ref="AB41:AC41"/>
    <mergeCell ref="AD41:AE41"/>
    <mergeCell ref="A42:B42"/>
    <mergeCell ref="AB42:AC42"/>
    <mergeCell ref="AD42:AE42"/>
    <mergeCell ref="A43:B43"/>
    <mergeCell ref="A44:B44"/>
    <mergeCell ref="A45:B45"/>
    <mergeCell ref="H45:L45"/>
    <mergeCell ref="A46:B46"/>
    <mergeCell ref="A47:B47"/>
    <mergeCell ref="N47:R47"/>
    <mergeCell ref="A48:B48"/>
    <mergeCell ref="A49:B49"/>
    <mergeCell ref="A50:B50"/>
    <mergeCell ref="A51:B51"/>
    <mergeCell ref="A52:B52"/>
    <mergeCell ref="A53:B53"/>
    <mergeCell ref="A54:B54"/>
    <mergeCell ref="A55:B55"/>
    <mergeCell ref="A56:B56"/>
    <mergeCell ref="A57:B57"/>
    <mergeCell ref="A58:B58"/>
    <mergeCell ref="AI58:AY58"/>
    <mergeCell ref="A59:B59"/>
    <mergeCell ref="AJ59:AM59"/>
    <mergeCell ref="AN59:AQ59"/>
    <mergeCell ref="AR59:AU59"/>
    <mergeCell ref="AV59:AY59"/>
    <mergeCell ref="A60:B60"/>
    <mergeCell ref="A61:B61"/>
    <mergeCell ref="A62:B62"/>
    <mergeCell ref="A63:B63"/>
    <mergeCell ref="A64:B64"/>
    <mergeCell ref="A66:C66"/>
    <mergeCell ref="E66:F66"/>
    <mergeCell ref="H77:L77"/>
    <mergeCell ref="B80:C80"/>
    <mergeCell ref="AI82:AV82"/>
    <mergeCell ref="A21:A22"/>
    <mergeCell ref="A23:A24"/>
    <mergeCell ref="F21:F22"/>
    <mergeCell ref="M23:M24"/>
    <mergeCell ref="T18:T19"/>
    <mergeCell ref="AI35:AI36"/>
    <mergeCell ref="AI59:AI60"/>
    <mergeCell ref="BA5:BA6"/>
    <mergeCell ref="BS28:BS29"/>
    <mergeCell ref="A1:F2"/>
    <mergeCell ref="BS1:CI2"/>
    <mergeCell ref="H1:R2"/>
    <mergeCell ref="AI1:AY2"/>
    <mergeCell ref="U1:Z2"/>
    <mergeCell ref="AB1:AG2"/>
    <mergeCell ref="BA1:BQ2"/>
    <mergeCell ref="AI4:AY5"/>
    <mergeCell ref="AI31:AY32"/>
    <mergeCell ref="H82:R83"/>
  </mergeCells>
  <conditionalFormatting sqref="G4">
    <cfRule type="cellIs" dxfId="0" priority="1" operator="equal">
      <formula>"""价格打错"""</formula>
    </cfRule>
  </conditionalFormatting>
  <conditionalFormatting sqref="AG11">
    <cfRule type="cellIs" dxfId="3" priority="30" stopIfTrue="1" operator="equal">
      <formula>"正确"</formula>
    </cfRule>
    <cfRule type="cellIs" dxfId="4" priority="31" stopIfTrue="1" operator="equal">
      <formula>“错误”</formula>
    </cfRule>
    <cfRule type="cellIs" dxfId="5" priority="32" stopIfTrue="1" operator="equal">
      <formula>"未粘报表"</formula>
    </cfRule>
  </conditionalFormatting>
  <conditionalFormatting sqref="AH11">
    <cfRule type="cellIs" dxfId="6" priority="23" stopIfTrue="1" operator="equal">
      <formula>"未粘报表"</formula>
    </cfRule>
    <cfRule type="cellIs" dxfId="6" priority="28" stopIfTrue="1" operator="equal">
      <formula>"现金错误"</formula>
    </cfRule>
    <cfRule type="cellIs" dxfId="7" priority="29" stopIfTrue="1" operator="equal">
      <formula>"现金正确"</formula>
    </cfRule>
  </conditionalFormatting>
  <conditionalFormatting sqref="AG13">
    <cfRule type="cellIs" dxfId="6" priority="22" stopIfTrue="1" operator="equal">
      <formula>"未粘报表"</formula>
    </cfRule>
    <cfRule type="cellIs" dxfId="6" priority="26" stopIfTrue="1" operator="equal">
      <formula>"成本错误"</formula>
    </cfRule>
    <cfRule type="cellIs" dxfId="7" priority="27" stopIfTrue="1" operator="equal">
      <formula>"成本正确"</formula>
    </cfRule>
  </conditionalFormatting>
  <conditionalFormatting sqref="AH13">
    <cfRule type="cellIs" dxfId="6" priority="21" stopIfTrue="1" operator="equal">
      <formula>"未粘报表"</formula>
    </cfRule>
    <cfRule type="cellIs" dxfId="6" priority="24" stopIfTrue="1" operator="equal">
      <formula>"分红错误"</formula>
    </cfRule>
    <cfRule type="cellIs" dxfId="7" priority="25" stopIfTrue="1" operator="equal">
      <formula>"分红正确"</formula>
    </cfRule>
  </conditionalFormatting>
  <conditionalFormatting sqref="K18">
    <cfRule type="cellIs" dxfId="8" priority="57" stopIfTrue="1" operator="lessThan">
      <formula>$J$17</formula>
    </cfRule>
  </conditionalFormatting>
  <conditionalFormatting sqref="S37">
    <cfRule type="expression" dxfId="9" priority="11">
      <formula>"&gt;0"</formula>
    </cfRule>
  </conditionalFormatting>
  <conditionalFormatting sqref="T37">
    <cfRule type="expression" dxfId="9" priority="13">
      <formula>"&gt;0"</formula>
    </cfRule>
  </conditionalFormatting>
  <conditionalFormatting sqref="K43">
    <cfRule type="cellIs" dxfId="8" priority="20" stopIfTrue="1" operator="lessThan">
      <formula>$I$43</formula>
    </cfRule>
  </conditionalFormatting>
  <conditionalFormatting sqref="T47">
    <cfRule type="expression" dxfId="9" priority="18">
      <formula>"&gt;0"</formula>
    </cfRule>
  </conditionalFormatting>
  <conditionalFormatting sqref="S78">
    <cfRule type="cellIs" dxfId="6" priority="6" stopIfTrue="1" operator="equal">
      <formula>"未粘报表"</formula>
    </cfRule>
    <cfRule type="cellIs" dxfId="6" priority="7" stopIfTrue="1" operator="equal">
      <formula>"分红错误"</formula>
    </cfRule>
    <cfRule type="cellIs" dxfId="7" priority="8" stopIfTrue="1" operator="equal">
      <formula>"分红正确"</formula>
    </cfRule>
  </conditionalFormatting>
  <conditionalFormatting sqref="K85:K88">
    <cfRule type="cellIs" dxfId="0" priority="17" operator="greaterThan">
      <formula>$L$85+15</formula>
    </cfRule>
  </conditionalFormatting>
  <conditionalFormatting sqref="L85:L88">
    <cfRule type="cellIs" dxfId="0" priority="16" operator="greaterThan">
      <formula>$K$85+15</formula>
    </cfRule>
  </conditionalFormatting>
  <conditionalFormatting sqref="M85:M88">
    <cfRule type="cellIs" dxfId="0" priority="15" operator="greaterThan">
      <formula>$K$85+15</formula>
    </cfRule>
  </conditionalFormatting>
  <conditionalFormatting sqref="M91:M94">
    <cfRule type="cellIs" dxfId="6" priority="2" stopIfTrue="1" operator="equal">
      <formula>"市场异常"</formula>
    </cfRule>
    <cfRule type="cellIs" dxfId="7" priority="3" stopIfTrue="1" operator="equal">
      <formula>"市场正常"</formula>
    </cfRule>
  </conditionalFormatting>
  <dataValidations count="2">
    <dataValidation type="whole" operator="between" allowBlank="1" showInputMessage="1" showErrorMessage="1" error="请输入正确" sqref="K43">
      <formula1>I43</formula1>
      <formula2>10000000000</formula2>
    </dataValidation>
    <dataValidation type="decimal" operator="between" allowBlank="1" showInputMessage="1" showErrorMessage="1" error="请输入正确" sqref="R45">
      <formula1>1</formula1>
      <formula2>2</formula2>
    </dataValidation>
  </dataValidations>
  <pageMargins left="0.698611111111111" right="0.698611111111111" top="0.75" bottom="0.75" header="0.3" footer="0.3"/>
  <pageSetup paperSize="9" firstPageNumber="4294963191" orientation="portrait" useFirstPageNumber="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5" name="Spinner 7" r:id="rId4">
              <controlPr defaultSize="0">
                <anchor moveWithCells="1" sizeWithCells="1">
                  <from>
                    <xdr:col>8</xdr:col>
                    <xdr:colOff>977900</xdr:colOff>
                    <xdr:row>24</xdr:row>
                    <xdr:rowOff>12700</xdr:rowOff>
                  </from>
                  <to>
                    <xdr:col>8</xdr:col>
                    <xdr:colOff>1098550</xdr:colOff>
                    <xdr:row>25</xdr:row>
                    <xdr:rowOff>0</xdr:rowOff>
                  </to>
                </anchor>
              </controlPr>
            </control>
          </mc:Choice>
        </mc:AlternateContent>
        <mc:AlternateContent xmlns:mc="http://schemas.openxmlformats.org/markup-compatibility/2006">
          <mc:Choice Requires="x14">
            <control shapeId="12296" name="Spinner 8" r:id="rId5">
              <controlPr defaultSize="0">
                <anchor moveWithCells="1" sizeWithCells="1">
                  <from>
                    <xdr:col>9</xdr:col>
                    <xdr:colOff>673100</xdr:colOff>
                    <xdr:row>24</xdr:row>
                    <xdr:rowOff>12700</xdr:rowOff>
                  </from>
                  <to>
                    <xdr:col>9</xdr:col>
                    <xdr:colOff>787400</xdr:colOff>
                    <xdr:row>25</xdr:row>
                    <xdr:rowOff>0</xdr:rowOff>
                  </to>
                </anchor>
              </controlPr>
            </control>
          </mc:Choice>
        </mc:AlternateContent>
        <mc:AlternateContent xmlns:mc="http://schemas.openxmlformats.org/markup-compatibility/2006">
          <mc:Choice Requires="x14">
            <control shapeId="12297" name="Spinner 9" r:id="rId6">
              <controlPr defaultSize="0">
                <anchor moveWithCells="1" sizeWithCells="1">
                  <from>
                    <xdr:col>8</xdr:col>
                    <xdr:colOff>977900</xdr:colOff>
                    <xdr:row>25</xdr:row>
                    <xdr:rowOff>12700</xdr:rowOff>
                  </from>
                  <to>
                    <xdr:col>8</xdr:col>
                    <xdr:colOff>1098550</xdr:colOff>
                    <xdr:row>26</xdr:row>
                    <xdr:rowOff>0</xdr:rowOff>
                  </to>
                </anchor>
              </controlPr>
            </control>
          </mc:Choice>
        </mc:AlternateContent>
        <mc:AlternateContent xmlns:mc="http://schemas.openxmlformats.org/markup-compatibility/2006">
          <mc:Choice Requires="x14">
            <control shapeId="12298" name="Spinner 10" r:id="rId7">
              <controlPr defaultSize="0">
                <anchor moveWithCells="1" sizeWithCells="1">
                  <from>
                    <xdr:col>9</xdr:col>
                    <xdr:colOff>673100</xdr:colOff>
                    <xdr:row>25</xdr:row>
                    <xdr:rowOff>12700</xdr:rowOff>
                  </from>
                  <to>
                    <xdr:col>9</xdr:col>
                    <xdr:colOff>787400</xdr:colOff>
                    <xdr:row>26</xdr:row>
                    <xdr:rowOff>0</xdr:rowOff>
                  </to>
                </anchor>
              </controlPr>
            </control>
          </mc:Choice>
        </mc:AlternateContent>
        <mc:AlternateContent xmlns:mc="http://schemas.openxmlformats.org/markup-compatibility/2006">
          <mc:Choice Requires="x14">
            <control shapeId="12299" name="Spinner 11" r:id="rId8">
              <controlPr defaultSize="0">
                <anchor moveWithCells="1" sizeWithCells="1">
                  <from>
                    <xdr:col>8</xdr:col>
                    <xdr:colOff>977900</xdr:colOff>
                    <xdr:row>26</xdr:row>
                    <xdr:rowOff>12700</xdr:rowOff>
                  </from>
                  <to>
                    <xdr:col>8</xdr:col>
                    <xdr:colOff>1098550</xdr:colOff>
                    <xdr:row>27</xdr:row>
                    <xdr:rowOff>0</xdr:rowOff>
                  </to>
                </anchor>
              </controlPr>
            </control>
          </mc:Choice>
        </mc:AlternateContent>
        <mc:AlternateContent xmlns:mc="http://schemas.openxmlformats.org/markup-compatibility/2006">
          <mc:Choice Requires="x14">
            <control shapeId="12300" name="Spinner 12" r:id="rId9">
              <controlPr defaultSize="0">
                <anchor moveWithCells="1" sizeWithCells="1">
                  <from>
                    <xdr:col>9</xdr:col>
                    <xdr:colOff>673100</xdr:colOff>
                    <xdr:row>26</xdr:row>
                    <xdr:rowOff>12700</xdr:rowOff>
                  </from>
                  <to>
                    <xdr:col>9</xdr:col>
                    <xdr:colOff>787400</xdr:colOff>
                    <xdr:row>27</xdr:row>
                    <xdr:rowOff>0</xdr:rowOff>
                  </to>
                </anchor>
              </controlPr>
            </control>
          </mc:Choice>
        </mc:AlternateContent>
        <mc:AlternateContent xmlns:mc="http://schemas.openxmlformats.org/markup-compatibility/2006">
          <mc:Choice Requires="x14">
            <control shapeId="12301" name="Spinner 13" r:id="rId10">
              <controlPr defaultSize="0">
                <anchor moveWithCells="1" sizeWithCells="1">
                  <from>
                    <xdr:col>8</xdr:col>
                    <xdr:colOff>977900</xdr:colOff>
                    <xdr:row>27</xdr:row>
                    <xdr:rowOff>12700</xdr:rowOff>
                  </from>
                  <to>
                    <xdr:col>8</xdr:col>
                    <xdr:colOff>1098550</xdr:colOff>
                    <xdr:row>28</xdr:row>
                    <xdr:rowOff>0</xdr:rowOff>
                  </to>
                </anchor>
              </controlPr>
            </control>
          </mc:Choice>
        </mc:AlternateContent>
        <mc:AlternateContent xmlns:mc="http://schemas.openxmlformats.org/markup-compatibility/2006">
          <mc:Choice Requires="x14">
            <control shapeId="12302" name="Spinner 14" r:id="rId11">
              <controlPr defaultSize="0">
                <anchor moveWithCells="1" sizeWithCells="1">
                  <from>
                    <xdr:col>9</xdr:col>
                    <xdr:colOff>673100</xdr:colOff>
                    <xdr:row>27</xdr:row>
                    <xdr:rowOff>12700</xdr:rowOff>
                  </from>
                  <to>
                    <xdr:col>9</xdr:col>
                    <xdr:colOff>787400</xdr:colOff>
                    <xdr:row>28</xdr:row>
                    <xdr:rowOff>0</xdr:rowOff>
                  </to>
                </anchor>
              </controlPr>
            </control>
          </mc:Choice>
        </mc:AlternateContent>
        <mc:AlternateContent xmlns:mc="http://schemas.openxmlformats.org/markup-compatibility/2006">
          <mc:Choice Requires="x14">
            <control shapeId="12303" name="Spinner 15" r:id="rId12">
              <controlPr defaultSize="0">
                <anchor moveWithCells="1" sizeWithCells="1">
                  <from>
                    <xdr:col>10</xdr:col>
                    <xdr:colOff>723900</xdr:colOff>
                    <xdr:row>24</xdr:row>
                    <xdr:rowOff>12700</xdr:rowOff>
                  </from>
                  <to>
                    <xdr:col>10</xdr:col>
                    <xdr:colOff>850900</xdr:colOff>
                    <xdr:row>25</xdr:row>
                    <xdr:rowOff>0</xdr:rowOff>
                  </to>
                </anchor>
              </controlPr>
            </control>
          </mc:Choice>
        </mc:AlternateContent>
        <mc:AlternateContent xmlns:mc="http://schemas.openxmlformats.org/markup-compatibility/2006">
          <mc:Choice Requires="x14">
            <control shapeId="12304" name="Spinner 16" r:id="rId13">
              <controlPr defaultSize="0">
                <anchor moveWithCells="1" sizeWithCells="1">
                  <from>
                    <xdr:col>11</xdr:col>
                    <xdr:colOff>1003300</xdr:colOff>
                    <xdr:row>24</xdr:row>
                    <xdr:rowOff>12700</xdr:rowOff>
                  </from>
                  <to>
                    <xdr:col>11</xdr:col>
                    <xdr:colOff>1130300</xdr:colOff>
                    <xdr:row>25</xdr:row>
                    <xdr:rowOff>0</xdr:rowOff>
                  </to>
                </anchor>
              </controlPr>
            </control>
          </mc:Choice>
        </mc:AlternateContent>
        <mc:AlternateContent xmlns:mc="http://schemas.openxmlformats.org/markup-compatibility/2006">
          <mc:Choice Requires="x14">
            <control shapeId="12305" name="Spinner 17" r:id="rId14">
              <controlPr defaultSize="0">
                <anchor moveWithCells="1" sizeWithCells="1">
                  <from>
                    <xdr:col>10</xdr:col>
                    <xdr:colOff>717550</xdr:colOff>
                    <xdr:row>25</xdr:row>
                    <xdr:rowOff>12700</xdr:rowOff>
                  </from>
                  <to>
                    <xdr:col>10</xdr:col>
                    <xdr:colOff>850900</xdr:colOff>
                    <xdr:row>26</xdr:row>
                    <xdr:rowOff>0</xdr:rowOff>
                  </to>
                </anchor>
              </controlPr>
            </control>
          </mc:Choice>
        </mc:AlternateContent>
        <mc:AlternateContent xmlns:mc="http://schemas.openxmlformats.org/markup-compatibility/2006">
          <mc:Choice Requires="x14">
            <control shapeId="12306" name="Spinner 18" r:id="rId15">
              <controlPr defaultSize="0">
                <anchor moveWithCells="1" sizeWithCells="1">
                  <from>
                    <xdr:col>11</xdr:col>
                    <xdr:colOff>1003300</xdr:colOff>
                    <xdr:row>25</xdr:row>
                    <xdr:rowOff>12700</xdr:rowOff>
                  </from>
                  <to>
                    <xdr:col>11</xdr:col>
                    <xdr:colOff>1136650</xdr:colOff>
                    <xdr:row>26</xdr:row>
                    <xdr:rowOff>0</xdr:rowOff>
                  </to>
                </anchor>
              </controlPr>
            </control>
          </mc:Choice>
        </mc:AlternateContent>
        <mc:AlternateContent xmlns:mc="http://schemas.openxmlformats.org/markup-compatibility/2006">
          <mc:Choice Requires="x14">
            <control shapeId="12307" name="Spinner 19" r:id="rId16">
              <controlPr defaultSize="0">
                <anchor moveWithCells="1" sizeWithCells="1">
                  <from>
                    <xdr:col>10</xdr:col>
                    <xdr:colOff>717550</xdr:colOff>
                    <xdr:row>26</xdr:row>
                    <xdr:rowOff>12700</xdr:rowOff>
                  </from>
                  <to>
                    <xdr:col>10</xdr:col>
                    <xdr:colOff>850900</xdr:colOff>
                    <xdr:row>27</xdr:row>
                    <xdr:rowOff>0</xdr:rowOff>
                  </to>
                </anchor>
              </controlPr>
            </control>
          </mc:Choice>
        </mc:AlternateContent>
        <mc:AlternateContent xmlns:mc="http://schemas.openxmlformats.org/markup-compatibility/2006">
          <mc:Choice Requires="x14">
            <control shapeId="12308" name="Spinner 20" r:id="rId17">
              <controlPr defaultSize="0">
                <anchor moveWithCells="1" sizeWithCells="1">
                  <from>
                    <xdr:col>11</xdr:col>
                    <xdr:colOff>1003300</xdr:colOff>
                    <xdr:row>26</xdr:row>
                    <xdr:rowOff>12700</xdr:rowOff>
                  </from>
                  <to>
                    <xdr:col>11</xdr:col>
                    <xdr:colOff>1136650</xdr:colOff>
                    <xdr:row>27</xdr:row>
                    <xdr:rowOff>0</xdr:rowOff>
                  </to>
                </anchor>
              </controlPr>
            </control>
          </mc:Choice>
        </mc:AlternateContent>
        <mc:AlternateContent xmlns:mc="http://schemas.openxmlformats.org/markup-compatibility/2006">
          <mc:Choice Requires="x14">
            <control shapeId="12309" name="Spinner 21" r:id="rId18">
              <controlPr defaultSize="0">
                <anchor moveWithCells="1" sizeWithCells="1">
                  <from>
                    <xdr:col>10</xdr:col>
                    <xdr:colOff>717550</xdr:colOff>
                    <xdr:row>27</xdr:row>
                    <xdr:rowOff>12700</xdr:rowOff>
                  </from>
                  <to>
                    <xdr:col>10</xdr:col>
                    <xdr:colOff>850900</xdr:colOff>
                    <xdr:row>28</xdr:row>
                    <xdr:rowOff>0</xdr:rowOff>
                  </to>
                </anchor>
              </controlPr>
            </control>
          </mc:Choice>
        </mc:AlternateContent>
        <mc:AlternateContent xmlns:mc="http://schemas.openxmlformats.org/markup-compatibility/2006">
          <mc:Choice Requires="x14">
            <control shapeId="12310" name="Spinner 22" r:id="rId19">
              <controlPr defaultSize="0">
                <anchor moveWithCells="1" sizeWithCells="1">
                  <from>
                    <xdr:col>11</xdr:col>
                    <xdr:colOff>1003300</xdr:colOff>
                    <xdr:row>27</xdr:row>
                    <xdr:rowOff>12700</xdr:rowOff>
                  </from>
                  <to>
                    <xdr:col>11</xdr:col>
                    <xdr:colOff>1136650</xdr:colOff>
                    <xdr:row>28</xdr:row>
                    <xdr:rowOff>0</xdr:rowOff>
                  </to>
                </anchor>
              </controlPr>
            </control>
          </mc:Choice>
        </mc:AlternateContent>
        <mc:AlternateContent xmlns:mc="http://schemas.openxmlformats.org/markup-compatibility/2006">
          <mc:Choice Requires="x14">
            <control shapeId="12311" name="Spinner 23" r:id="rId20">
              <controlPr defaultSize="0">
                <anchor moveWithCells="1" sizeWithCells="1">
                  <from>
                    <xdr:col>8</xdr:col>
                    <xdr:colOff>977900</xdr:colOff>
                    <xdr:row>62</xdr:row>
                    <xdr:rowOff>0</xdr:rowOff>
                  </from>
                  <to>
                    <xdr:col>8</xdr:col>
                    <xdr:colOff>1098550</xdr:colOff>
                    <xdr:row>62</xdr:row>
                    <xdr:rowOff>190500</xdr:rowOff>
                  </to>
                </anchor>
              </controlPr>
            </control>
          </mc:Choice>
        </mc:AlternateContent>
        <mc:AlternateContent xmlns:mc="http://schemas.openxmlformats.org/markup-compatibility/2006">
          <mc:Choice Requires="x14">
            <control shapeId="12312" name="Spinner 24" r:id="rId21">
              <controlPr defaultSize="0">
                <anchor moveWithCells="1" sizeWithCells="1">
                  <from>
                    <xdr:col>9</xdr:col>
                    <xdr:colOff>673100</xdr:colOff>
                    <xdr:row>62</xdr:row>
                    <xdr:rowOff>0</xdr:rowOff>
                  </from>
                  <to>
                    <xdr:col>9</xdr:col>
                    <xdr:colOff>793750</xdr:colOff>
                    <xdr:row>62</xdr:row>
                    <xdr:rowOff>190500</xdr:rowOff>
                  </to>
                </anchor>
              </controlPr>
            </control>
          </mc:Choice>
        </mc:AlternateContent>
        <mc:AlternateContent xmlns:mc="http://schemas.openxmlformats.org/markup-compatibility/2006">
          <mc:Choice Requires="x14">
            <control shapeId="12313" name="Spinner 25" r:id="rId22">
              <controlPr defaultSize="0">
                <anchor moveWithCells="1" sizeWithCells="1">
                  <from>
                    <xdr:col>10</xdr:col>
                    <xdr:colOff>717550</xdr:colOff>
                    <xdr:row>62</xdr:row>
                    <xdr:rowOff>0</xdr:rowOff>
                  </from>
                  <to>
                    <xdr:col>10</xdr:col>
                    <xdr:colOff>850900</xdr:colOff>
                    <xdr:row>62</xdr:row>
                    <xdr:rowOff>190500</xdr:rowOff>
                  </to>
                </anchor>
              </controlPr>
            </control>
          </mc:Choice>
        </mc:AlternateContent>
        <mc:AlternateContent xmlns:mc="http://schemas.openxmlformats.org/markup-compatibility/2006">
          <mc:Choice Requires="x14">
            <control shapeId="12314" name="Spinner 26" r:id="rId23">
              <controlPr defaultSize="0">
                <anchor moveWithCells="1" sizeWithCells="1">
                  <from>
                    <xdr:col>11</xdr:col>
                    <xdr:colOff>990600</xdr:colOff>
                    <xdr:row>61</xdr:row>
                    <xdr:rowOff>190500</xdr:rowOff>
                  </from>
                  <to>
                    <xdr:col>11</xdr:col>
                    <xdr:colOff>1117600</xdr:colOff>
                    <xdr:row>62</xdr:row>
                    <xdr:rowOff>184150</xdr:rowOff>
                  </to>
                </anchor>
              </controlPr>
            </control>
          </mc:Choice>
        </mc:AlternateContent>
        <mc:AlternateContent xmlns:mc="http://schemas.openxmlformats.org/markup-compatibility/2006">
          <mc:Choice Requires="x14">
            <control shapeId="12315" name="Spinner 27" r:id="rId24">
              <controlPr defaultSize="0">
                <anchor moveWithCells="1" sizeWithCells="1">
                  <from>
                    <xdr:col>8</xdr:col>
                    <xdr:colOff>977900</xdr:colOff>
                    <xdr:row>63</xdr:row>
                    <xdr:rowOff>0</xdr:rowOff>
                  </from>
                  <to>
                    <xdr:col>8</xdr:col>
                    <xdr:colOff>1098550</xdr:colOff>
                    <xdr:row>63</xdr:row>
                    <xdr:rowOff>190500</xdr:rowOff>
                  </to>
                </anchor>
              </controlPr>
            </control>
          </mc:Choice>
        </mc:AlternateContent>
        <mc:AlternateContent xmlns:mc="http://schemas.openxmlformats.org/markup-compatibility/2006">
          <mc:Choice Requires="x14">
            <control shapeId="12316" name="Spinner 28" r:id="rId25">
              <controlPr defaultSize="0">
                <anchor moveWithCells="1" sizeWithCells="1">
                  <from>
                    <xdr:col>9</xdr:col>
                    <xdr:colOff>673100</xdr:colOff>
                    <xdr:row>63</xdr:row>
                    <xdr:rowOff>0</xdr:rowOff>
                  </from>
                  <to>
                    <xdr:col>9</xdr:col>
                    <xdr:colOff>793750</xdr:colOff>
                    <xdr:row>63</xdr:row>
                    <xdr:rowOff>190500</xdr:rowOff>
                  </to>
                </anchor>
              </controlPr>
            </control>
          </mc:Choice>
        </mc:AlternateContent>
        <mc:AlternateContent xmlns:mc="http://schemas.openxmlformats.org/markup-compatibility/2006">
          <mc:Choice Requires="x14">
            <control shapeId="12317" name="Spinner 29" r:id="rId26">
              <controlPr defaultSize="0">
                <anchor moveWithCells="1" sizeWithCells="1">
                  <from>
                    <xdr:col>10</xdr:col>
                    <xdr:colOff>717550</xdr:colOff>
                    <xdr:row>63</xdr:row>
                    <xdr:rowOff>0</xdr:rowOff>
                  </from>
                  <to>
                    <xdr:col>10</xdr:col>
                    <xdr:colOff>850900</xdr:colOff>
                    <xdr:row>63</xdr:row>
                    <xdr:rowOff>190500</xdr:rowOff>
                  </to>
                </anchor>
              </controlPr>
            </control>
          </mc:Choice>
        </mc:AlternateContent>
        <mc:AlternateContent xmlns:mc="http://schemas.openxmlformats.org/markup-compatibility/2006">
          <mc:Choice Requires="x14">
            <control shapeId="12318" name="Spinner 30" r:id="rId27">
              <controlPr defaultSize="0">
                <anchor moveWithCells="1" sizeWithCells="1">
                  <from>
                    <xdr:col>11</xdr:col>
                    <xdr:colOff>990600</xdr:colOff>
                    <xdr:row>62</xdr:row>
                    <xdr:rowOff>190500</xdr:rowOff>
                  </from>
                  <to>
                    <xdr:col>11</xdr:col>
                    <xdr:colOff>1117600</xdr:colOff>
                    <xdr:row>63</xdr:row>
                    <xdr:rowOff>184150</xdr:rowOff>
                  </to>
                </anchor>
              </controlPr>
            </control>
          </mc:Choice>
        </mc:AlternateContent>
        <mc:AlternateContent xmlns:mc="http://schemas.openxmlformats.org/markup-compatibility/2006">
          <mc:Choice Requires="x14">
            <control shapeId="12319" name="Spinner 31" r:id="rId28">
              <controlPr defaultSize="0">
                <anchor moveWithCells="1" sizeWithCells="1">
                  <from>
                    <xdr:col>8</xdr:col>
                    <xdr:colOff>977900</xdr:colOff>
                    <xdr:row>64</xdr:row>
                    <xdr:rowOff>0</xdr:rowOff>
                  </from>
                  <to>
                    <xdr:col>8</xdr:col>
                    <xdr:colOff>1098550</xdr:colOff>
                    <xdr:row>64</xdr:row>
                    <xdr:rowOff>190500</xdr:rowOff>
                  </to>
                </anchor>
              </controlPr>
            </control>
          </mc:Choice>
        </mc:AlternateContent>
        <mc:AlternateContent xmlns:mc="http://schemas.openxmlformats.org/markup-compatibility/2006">
          <mc:Choice Requires="x14">
            <control shapeId="12320" name="Spinner 32" r:id="rId29">
              <controlPr defaultSize="0">
                <anchor moveWithCells="1" sizeWithCells="1">
                  <from>
                    <xdr:col>9</xdr:col>
                    <xdr:colOff>673100</xdr:colOff>
                    <xdr:row>64</xdr:row>
                    <xdr:rowOff>0</xdr:rowOff>
                  </from>
                  <to>
                    <xdr:col>9</xdr:col>
                    <xdr:colOff>793750</xdr:colOff>
                    <xdr:row>64</xdr:row>
                    <xdr:rowOff>190500</xdr:rowOff>
                  </to>
                </anchor>
              </controlPr>
            </control>
          </mc:Choice>
        </mc:AlternateContent>
        <mc:AlternateContent xmlns:mc="http://schemas.openxmlformats.org/markup-compatibility/2006">
          <mc:Choice Requires="x14">
            <control shapeId="12321" name="Spinner 33" r:id="rId30">
              <controlPr defaultSize="0">
                <anchor moveWithCells="1" sizeWithCells="1">
                  <from>
                    <xdr:col>10</xdr:col>
                    <xdr:colOff>717550</xdr:colOff>
                    <xdr:row>64</xdr:row>
                    <xdr:rowOff>0</xdr:rowOff>
                  </from>
                  <to>
                    <xdr:col>10</xdr:col>
                    <xdr:colOff>850900</xdr:colOff>
                    <xdr:row>64</xdr:row>
                    <xdr:rowOff>190500</xdr:rowOff>
                  </to>
                </anchor>
              </controlPr>
            </control>
          </mc:Choice>
        </mc:AlternateContent>
        <mc:AlternateContent xmlns:mc="http://schemas.openxmlformats.org/markup-compatibility/2006">
          <mc:Choice Requires="x14">
            <control shapeId="12322" name="Spinner 34" r:id="rId31">
              <controlPr defaultSize="0">
                <anchor moveWithCells="1" sizeWithCells="1">
                  <from>
                    <xdr:col>11</xdr:col>
                    <xdr:colOff>990600</xdr:colOff>
                    <xdr:row>63</xdr:row>
                    <xdr:rowOff>190500</xdr:rowOff>
                  </from>
                  <to>
                    <xdr:col>11</xdr:col>
                    <xdr:colOff>1117600</xdr:colOff>
                    <xdr:row>64</xdr:row>
                    <xdr:rowOff>184150</xdr:rowOff>
                  </to>
                </anchor>
              </controlPr>
            </control>
          </mc:Choice>
        </mc:AlternateContent>
        <mc:AlternateContent xmlns:mc="http://schemas.openxmlformats.org/markup-compatibility/2006">
          <mc:Choice Requires="x14">
            <control shapeId="12323" name="Spinner 35" r:id="rId32">
              <controlPr defaultSize="0">
                <anchor moveWithCells="1" sizeWithCells="1">
                  <from>
                    <xdr:col>8</xdr:col>
                    <xdr:colOff>977900</xdr:colOff>
                    <xdr:row>65</xdr:row>
                    <xdr:rowOff>0</xdr:rowOff>
                  </from>
                  <to>
                    <xdr:col>8</xdr:col>
                    <xdr:colOff>1098550</xdr:colOff>
                    <xdr:row>65</xdr:row>
                    <xdr:rowOff>190500</xdr:rowOff>
                  </to>
                </anchor>
              </controlPr>
            </control>
          </mc:Choice>
        </mc:AlternateContent>
        <mc:AlternateContent xmlns:mc="http://schemas.openxmlformats.org/markup-compatibility/2006">
          <mc:Choice Requires="x14">
            <control shapeId="12324" name="Spinner 36" r:id="rId33">
              <controlPr defaultSize="0">
                <anchor moveWithCells="1" sizeWithCells="1">
                  <from>
                    <xdr:col>9</xdr:col>
                    <xdr:colOff>673100</xdr:colOff>
                    <xdr:row>65</xdr:row>
                    <xdr:rowOff>0</xdr:rowOff>
                  </from>
                  <to>
                    <xdr:col>9</xdr:col>
                    <xdr:colOff>793750</xdr:colOff>
                    <xdr:row>65</xdr:row>
                    <xdr:rowOff>190500</xdr:rowOff>
                  </to>
                </anchor>
              </controlPr>
            </control>
          </mc:Choice>
        </mc:AlternateContent>
        <mc:AlternateContent xmlns:mc="http://schemas.openxmlformats.org/markup-compatibility/2006">
          <mc:Choice Requires="x14">
            <control shapeId="12325" name="Spinner 37" r:id="rId34">
              <controlPr defaultSize="0">
                <anchor moveWithCells="1" sizeWithCells="1">
                  <from>
                    <xdr:col>10</xdr:col>
                    <xdr:colOff>717550</xdr:colOff>
                    <xdr:row>65</xdr:row>
                    <xdr:rowOff>0</xdr:rowOff>
                  </from>
                  <to>
                    <xdr:col>10</xdr:col>
                    <xdr:colOff>850900</xdr:colOff>
                    <xdr:row>65</xdr:row>
                    <xdr:rowOff>190500</xdr:rowOff>
                  </to>
                </anchor>
              </controlPr>
            </control>
          </mc:Choice>
        </mc:AlternateContent>
        <mc:AlternateContent xmlns:mc="http://schemas.openxmlformats.org/markup-compatibility/2006">
          <mc:Choice Requires="x14">
            <control shapeId="12326" name="Spinner 38" r:id="rId35">
              <controlPr defaultSize="0">
                <anchor moveWithCells="1" sizeWithCells="1">
                  <from>
                    <xdr:col>11</xdr:col>
                    <xdr:colOff>990600</xdr:colOff>
                    <xdr:row>64</xdr:row>
                    <xdr:rowOff>190500</xdr:rowOff>
                  </from>
                  <to>
                    <xdr:col>11</xdr:col>
                    <xdr:colOff>1117600</xdr:colOff>
                    <xdr:row>65</xdr:row>
                    <xdr:rowOff>184150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dimension ref="A1:DQ259"/>
  <sheetViews>
    <sheetView showGridLines="0" zoomScale="70" zoomScaleNormal="70" topLeftCell="E1" workbookViewId="0">
      <selection activeCell="K28" sqref="K27:L28"/>
    </sheetView>
  </sheetViews>
  <sheetFormatPr defaultColWidth="9" defaultRowHeight="35.25"/>
  <cols>
    <col min="1" max="1" width="16.3628318584071" style="62" customWidth="1"/>
    <col min="2" max="2" width="10" style="62" customWidth="1"/>
    <col min="3" max="3" width="10.6371681415929" style="62" customWidth="1"/>
    <col min="4" max="4" width="12.9026548672566" style="62" customWidth="1"/>
    <col min="5" max="5" width="13.9026548672566" style="62" customWidth="1"/>
    <col min="6" max="6" width="14.6371681415929" style="62" customWidth="1"/>
    <col min="7" max="7" width="10.3628318584071" style="63" customWidth="1"/>
    <col min="8" max="8" width="11.9026548672566" style="62" customWidth="1"/>
    <col min="9" max="9" width="13.6371681415929" style="62" customWidth="1"/>
    <col min="10" max="10" width="13.4513274336283" style="62" customWidth="1"/>
    <col min="11" max="11" width="13.8141592920354" style="62" customWidth="1"/>
    <col min="12" max="12" width="15.8141592920354" style="62" customWidth="1"/>
    <col min="13" max="13" width="11.6371681415929" style="62" customWidth="1"/>
    <col min="14" max="16" width="13.9026548672566" style="62" customWidth="1"/>
    <col min="17" max="17" width="14" style="62" customWidth="1"/>
    <col min="18" max="19" width="13.9026548672566" style="62" customWidth="1"/>
    <col min="20" max="20" width="14.6371681415929" style="64" customWidth="1"/>
    <col min="21" max="21" width="13.9026548672566" style="62" customWidth="1"/>
    <col min="22" max="26" width="9.63716814159292" style="62" customWidth="1"/>
    <col min="27" max="27" width="18.0884955752212" style="63" customWidth="1"/>
    <col min="28" max="28" width="13.9026548672566" style="62" customWidth="1"/>
    <col min="29" max="29" width="10" style="62" customWidth="1"/>
    <col min="30" max="33" width="9.63716814159292" style="62" customWidth="1"/>
    <col min="34" max="34" width="9" style="63"/>
    <col min="35" max="35" width="8.90265486725664" style="62" customWidth="1"/>
    <col min="36" max="36" width="10.6371681415929" style="62" customWidth="1"/>
    <col min="37" max="37" width="14.3628318584071" style="62" customWidth="1"/>
    <col min="38" max="44" width="10.6371681415929" style="62" customWidth="1"/>
    <col min="45" max="45" width="14" style="62" customWidth="1"/>
    <col min="46" max="51" width="10.6371681415929" style="62" customWidth="1"/>
    <col min="52" max="52" width="9" style="63"/>
    <col min="53" max="53" width="11.9026548672566" style="62" customWidth="1"/>
    <col min="54" max="57" width="11" style="62" customWidth="1"/>
    <col min="58" max="58" width="11.9026548672566" style="62" customWidth="1"/>
    <col min="59" max="59" width="10" style="62" customWidth="1"/>
    <col min="60" max="69" width="9.63716814159292" style="62" customWidth="1"/>
    <col min="70" max="71" width="9" style="62"/>
    <col min="72" max="74" width="9.63716814159292" style="62" customWidth="1"/>
    <col min="75" max="75" width="10" style="62" customWidth="1"/>
    <col min="76" max="76" width="9.63716814159292" style="62" customWidth="1"/>
    <col min="77" max="77" width="10" style="62" customWidth="1"/>
    <col min="78" max="78" width="9" style="62"/>
    <col min="79" max="87" width="9.63716814159292" style="62" customWidth="1"/>
    <col min="88" max="16384" width="9" style="62"/>
  </cols>
  <sheetData>
    <row r="1" s="59" customFormat="1" ht="16" customHeight="1" spans="1:121">
      <c r="A1" s="65" t="s">
        <v>489</v>
      </c>
      <c r="B1" s="65"/>
      <c r="C1" s="65"/>
      <c r="D1" s="65"/>
      <c r="E1" s="65"/>
      <c r="F1" s="65"/>
      <c r="G1" s="65"/>
      <c r="H1" s="65" t="s">
        <v>490</v>
      </c>
      <c r="I1" s="65"/>
      <c r="J1" s="65"/>
      <c r="K1" s="65"/>
      <c r="L1" s="65"/>
      <c r="M1" s="65"/>
      <c r="N1" s="65"/>
      <c r="O1" s="65"/>
      <c r="P1" s="65"/>
      <c r="Q1" s="65"/>
      <c r="R1" s="65"/>
      <c r="S1" s="65"/>
      <c r="T1" s="119"/>
      <c r="U1" s="65" t="s">
        <v>491</v>
      </c>
      <c r="V1" s="65"/>
      <c r="W1" s="65"/>
      <c r="X1" s="65"/>
      <c r="Y1" s="65"/>
      <c r="Z1" s="65"/>
      <c r="AA1" s="65"/>
      <c r="AB1" s="65" t="s">
        <v>492</v>
      </c>
      <c r="AC1" s="65"/>
      <c r="AD1" s="65"/>
      <c r="AE1" s="65"/>
      <c r="AF1" s="65"/>
      <c r="AG1" s="65"/>
      <c r="AH1" s="65"/>
      <c r="AI1" s="65" t="s">
        <v>493</v>
      </c>
      <c r="AJ1" s="65"/>
      <c r="AK1" s="65"/>
      <c r="AL1" s="65"/>
      <c r="AM1" s="65"/>
      <c r="AN1" s="65"/>
      <c r="AO1" s="65"/>
      <c r="AP1" s="65"/>
      <c r="AQ1" s="65"/>
      <c r="AR1" s="65"/>
      <c r="AS1" s="65"/>
      <c r="AT1" s="65"/>
      <c r="AU1" s="65"/>
      <c r="AV1" s="65"/>
      <c r="AW1" s="65"/>
      <c r="AX1" s="65"/>
      <c r="AY1" s="65"/>
      <c r="AZ1" s="65"/>
      <c r="BA1" s="191" t="s">
        <v>494</v>
      </c>
      <c r="BB1" s="191"/>
      <c r="BC1" s="191"/>
      <c r="BD1" s="191"/>
      <c r="BE1" s="191"/>
      <c r="BF1" s="191"/>
      <c r="BG1" s="191"/>
      <c r="BH1" s="191"/>
      <c r="BI1" s="191"/>
      <c r="BJ1" s="191"/>
      <c r="BK1" s="191"/>
      <c r="BL1" s="191"/>
      <c r="BM1" s="191"/>
      <c r="BN1" s="191"/>
      <c r="BO1" s="191"/>
      <c r="BP1" s="191"/>
      <c r="BQ1" s="191"/>
      <c r="BR1" s="210"/>
      <c r="BS1" s="191" t="s">
        <v>495</v>
      </c>
      <c r="BT1" s="191"/>
      <c r="BU1" s="191"/>
      <c r="BV1" s="191"/>
      <c r="BW1" s="191"/>
      <c r="BX1" s="191"/>
      <c r="BY1" s="191"/>
      <c r="BZ1" s="191"/>
      <c r="CA1" s="191"/>
      <c r="CB1" s="191"/>
      <c r="CC1" s="191"/>
      <c r="CD1" s="191"/>
      <c r="CE1" s="191"/>
      <c r="CF1" s="191"/>
      <c r="CG1" s="191"/>
      <c r="CH1" s="191"/>
      <c r="CI1" s="191"/>
      <c r="CJ1" s="224"/>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row>
    <row r="2" s="59" customFormat="1" ht="16" customHeight="1" spans="1:121">
      <c r="A2" s="65"/>
      <c r="B2" s="65"/>
      <c r="C2" s="65"/>
      <c r="D2" s="65"/>
      <c r="E2" s="65"/>
      <c r="F2" s="65"/>
      <c r="G2" s="65"/>
      <c r="H2" s="65"/>
      <c r="I2" s="65"/>
      <c r="J2" s="65"/>
      <c r="K2" s="65"/>
      <c r="L2" s="65"/>
      <c r="M2" s="65"/>
      <c r="N2" s="65"/>
      <c r="O2" s="65"/>
      <c r="P2" s="65"/>
      <c r="Q2" s="65"/>
      <c r="R2" s="65"/>
      <c r="S2" s="65"/>
      <c r="T2" s="119"/>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65"/>
      <c r="BA2" s="191"/>
      <c r="BB2" s="191"/>
      <c r="BC2" s="191"/>
      <c r="BD2" s="191"/>
      <c r="BE2" s="191"/>
      <c r="BF2" s="191"/>
      <c r="BG2" s="191"/>
      <c r="BH2" s="191"/>
      <c r="BI2" s="191"/>
      <c r="BJ2" s="191"/>
      <c r="BK2" s="191"/>
      <c r="BL2" s="191"/>
      <c r="BM2" s="191"/>
      <c r="BN2" s="191"/>
      <c r="BO2" s="191"/>
      <c r="BP2" s="191"/>
      <c r="BQ2" s="191"/>
      <c r="BR2" s="210"/>
      <c r="BS2" s="191"/>
      <c r="BT2" s="191"/>
      <c r="BU2" s="191"/>
      <c r="BV2" s="191"/>
      <c r="BW2" s="191"/>
      <c r="BX2" s="191"/>
      <c r="BY2" s="191"/>
      <c r="BZ2" s="191"/>
      <c r="CA2" s="191"/>
      <c r="CB2" s="191"/>
      <c r="CC2" s="191"/>
      <c r="CD2" s="191"/>
      <c r="CE2" s="191"/>
      <c r="CF2" s="191"/>
      <c r="CG2" s="191"/>
      <c r="CH2" s="191"/>
      <c r="CI2" s="191"/>
      <c r="CJ2" s="224"/>
      <c r="CK2" s="232"/>
      <c r="CL2" s="232"/>
      <c r="CM2" s="232"/>
      <c r="CN2" s="232"/>
      <c r="CO2" s="232"/>
      <c r="CP2" s="232"/>
      <c r="CQ2" s="232"/>
      <c r="CR2" s="232"/>
      <c r="CS2" s="232"/>
      <c r="CT2" s="232"/>
      <c r="CU2" s="232"/>
      <c r="CV2" s="232"/>
      <c r="CW2" s="232"/>
      <c r="CX2" s="232"/>
      <c r="CY2" s="232"/>
      <c r="CZ2" s="232"/>
      <c r="DA2" s="232"/>
      <c r="DB2" s="232"/>
      <c r="DC2" s="232"/>
      <c r="DD2" s="232"/>
      <c r="DE2" s="232"/>
      <c r="DF2" s="232"/>
      <c r="DG2" s="232"/>
      <c r="DH2" s="232"/>
      <c r="DI2" s="232"/>
      <c r="DJ2" s="232"/>
      <c r="DK2" s="232"/>
      <c r="DL2" s="232"/>
      <c r="DM2" s="232"/>
      <c r="DN2" s="232"/>
      <c r="DO2" s="232"/>
      <c r="DP2" s="232"/>
      <c r="DQ2" s="232"/>
    </row>
    <row r="3" s="60" customFormat="1" ht="16" customHeight="1" spans="1:121">
      <c r="A3" s="66"/>
      <c r="B3" s="66"/>
      <c r="C3" s="66"/>
      <c r="D3" s="66"/>
      <c r="E3" s="66"/>
      <c r="F3" s="66"/>
      <c r="G3" s="65"/>
      <c r="H3" s="67"/>
      <c r="I3" s="67"/>
      <c r="J3" s="67"/>
      <c r="K3" s="67"/>
      <c r="L3" s="67"/>
      <c r="M3" s="84"/>
      <c r="N3" s="67"/>
      <c r="O3" s="67"/>
      <c r="P3" s="67"/>
      <c r="Q3" s="67"/>
      <c r="R3" s="67"/>
      <c r="S3" s="67"/>
      <c r="T3" s="119"/>
      <c r="U3" s="67"/>
      <c r="V3" s="67"/>
      <c r="W3" s="67"/>
      <c r="X3" s="67"/>
      <c r="Y3" s="67"/>
      <c r="Z3" s="67"/>
      <c r="AA3" s="65"/>
      <c r="AB3" s="67"/>
      <c r="AC3" s="67"/>
      <c r="AD3" s="67"/>
      <c r="AE3" s="67"/>
      <c r="AF3" s="67"/>
      <c r="AG3" s="67"/>
      <c r="AH3" s="65"/>
      <c r="AI3" s="67"/>
      <c r="AJ3" s="67"/>
      <c r="AK3" s="67"/>
      <c r="AL3" s="67"/>
      <c r="AM3" s="67"/>
      <c r="AN3" s="67"/>
      <c r="AO3" s="67"/>
      <c r="AP3" s="67"/>
      <c r="AQ3" s="67"/>
      <c r="AR3" s="67"/>
      <c r="AS3" s="67"/>
      <c r="AT3" s="67"/>
      <c r="AU3" s="67"/>
      <c r="AV3" s="67"/>
      <c r="AW3" s="67"/>
      <c r="AX3" s="67"/>
      <c r="AY3" s="67"/>
      <c r="AZ3" s="65"/>
      <c r="BA3" s="192"/>
      <c r="BB3" s="192"/>
      <c r="BC3" s="192"/>
      <c r="BD3" s="192"/>
      <c r="BE3" s="192"/>
      <c r="BF3" s="192"/>
      <c r="BG3" s="192"/>
      <c r="BH3" s="192"/>
      <c r="BI3" s="192"/>
      <c r="BJ3" s="192"/>
      <c r="BK3" s="192"/>
      <c r="BL3" s="192"/>
      <c r="BM3" s="192"/>
      <c r="BN3" s="192"/>
      <c r="BO3" s="192"/>
      <c r="BP3" s="192"/>
      <c r="BQ3" s="192"/>
      <c r="BR3" s="210"/>
      <c r="BS3" s="192"/>
      <c r="BT3" s="192"/>
      <c r="BU3" s="192"/>
      <c r="BV3" s="192"/>
      <c r="BW3" s="192"/>
      <c r="BX3" s="192"/>
      <c r="BY3" s="192"/>
      <c r="BZ3" s="192"/>
      <c r="CA3" s="192"/>
      <c r="CB3" s="192"/>
      <c r="CC3" s="192"/>
      <c r="CD3" s="192"/>
      <c r="CE3" s="225" t="s">
        <v>738</v>
      </c>
      <c r="CF3" s="192"/>
      <c r="CG3" s="192"/>
      <c r="CH3" s="192"/>
      <c r="CI3" s="192"/>
      <c r="CJ3" s="224"/>
      <c r="CK3" s="233"/>
      <c r="CL3" s="233"/>
      <c r="CM3" s="233"/>
      <c r="CN3" s="233"/>
      <c r="CO3" s="233"/>
      <c r="CP3" s="233"/>
      <c r="CQ3" s="233"/>
      <c r="CR3" s="233"/>
      <c r="CS3" s="233"/>
      <c r="CT3" s="234"/>
      <c r="CU3" s="234"/>
      <c r="CV3" s="234"/>
      <c r="CW3" s="234"/>
      <c r="CX3" s="234"/>
      <c r="CY3" s="234"/>
      <c r="CZ3" s="234"/>
      <c r="DA3" s="234"/>
      <c r="DB3" s="234"/>
      <c r="DC3" s="234"/>
      <c r="DD3" s="234"/>
      <c r="DE3" s="234"/>
      <c r="DF3" s="234"/>
      <c r="DG3" s="234"/>
      <c r="DH3" s="234"/>
      <c r="DI3" s="234"/>
      <c r="DJ3" s="234"/>
      <c r="DK3" s="234"/>
      <c r="DL3" s="234"/>
      <c r="DM3" s="234"/>
      <c r="DN3" s="234"/>
      <c r="DO3" s="234"/>
      <c r="DP3" s="234"/>
      <c r="DQ3" s="234"/>
    </row>
    <row r="4" s="61" customFormat="1" ht="16" customHeight="1" spans="1:120">
      <c r="A4" s="269" t="s">
        <v>274</v>
      </c>
      <c r="B4" s="270"/>
      <c r="C4" s="270"/>
      <c r="D4" s="270"/>
      <c r="E4" s="270"/>
      <c r="F4" s="270"/>
      <c r="G4" s="70" t="e">
        <f>IF(O20=0,"未做决策",IF(MAX(T20:T23)&gt;=6,"价格打错","决策无误"))</f>
        <v>#DIV/0!</v>
      </c>
      <c r="H4" s="269" t="s">
        <v>497</v>
      </c>
      <c r="I4" s="270"/>
      <c r="J4" s="270"/>
      <c r="K4" s="270"/>
      <c r="L4" s="270"/>
      <c r="M4" s="85"/>
      <c r="N4" s="68" t="s">
        <v>475</v>
      </c>
      <c r="O4" s="69"/>
      <c r="P4" s="69"/>
      <c r="Q4" s="69"/>
      <c r="R4" s="69"/>
      <c r="S4" s="74"/>
      <c r="T4" s="120"/>
      <c r="U4" s="68" t="s">
        <v>498</v>
      </c>
      <c r="V4" s="68" t="s">
        <v>459</v>
      </c>
      <c r="W4" s="68" t="s">
        <v>460</v>
      </c>
      <c r="X4" s="68" t="s">
        <v>461</v>
      </c>
      <c r="Y4" s="68" t="s">
        <v>462</v>
      </c>
      <c r="Z4" s="68" t="s">
        <v>499</v>
      </c>
      <c r="AA4" s="68" t="s">
        <v>500</v>
      </c>
      <c r="AB4" s="151" t="s">
        <v>501</v>
      </c>
      <c r="AC4" s="151" t="s">
        <v>241</v>
      </c>
      <c r="AD4" s="151" t="s">
        <v>38</v>
      </c>
      <c r="AE4" s="151" t="s">
        <v>39</v>
      </c>
      <c r="AF4" s="151" t="s">
        <v>40</v>
      </c>
      <c r="AG4" s="151" t="s">
        <v>41</v>
      </c>
      <c r="AH4" s="73"/>
      <c r="AI4" s="296" t="s">
        <v>502</v>
      </c>
      <c r="AJ4" s="297"/>
      <c r="AK4" s="297"/>
      <c r="AL4" s="297"/>
      <c r="AM4" s="297"/>
      <c r="AN4" s="297"/>
      <c r="AO4" s="297"/>
      <c r="AP4" s="297"/>
      <c r="AQ4" s="297"/>
      <c r="AR4" s="297"/>
      <c r="AS4" s="297"/>
      <c r="AT4" s="297"/>
      <c r="AU4" s="297"/>
      <c r="AV4" s="297"/>
      <c r="AW4" s="297"/>
      <c r="AX4" s="297"/>
      <c r="AY4" s="297"/>
      <c r="AZ4" s="63"/>
      <c r="BA4" s="215" t="s">
        <v>503</v>
      </c>
      <c r="BB4" s="318"/>
      <c r="BC4" s="318"/>
      <c r="BD4" s="318"/>
      <c r="BE4" s="318"/>
      <c r="BF4" s="318"/>
      <c r="BG4" s="318"/>
      <c r="BH4" s="318"/>
      <c r="BI4" s="318"/>
      <c r="BJ4" s="318"/>
      <c r="BK4" s="318"/>
      <c r="BL4" s="318"/>
      <c r="BM4" s="318"/>
      <c r="BN4" s="318"/>
      <c r="BO4" s="318"/>
      <c r="BP4" s="318"/>
      <c r="BQ4" s="318"/>
      <c r="BR4" s="211"/>
      <c r="BS4" s="194" t="s">
        <v>504</v>
      </c>
      <c r="BT4" s="194" t="s">
        <v>505</v>
      </c>
      <c r="BU4" s="194" t="s">
        <v>506</v>
      </c>
      <c r="BV4" s="194" t="s">
        <v>262</v>
      </c>
      <c r="BW4" s="194" t="s">
        <v>507</v>
      </c>
      <c r="BX4" s="194" t="s">
        <v>508</v>
      </c>
      <c r="BY4" s="194" t="s">
        <v>264</v>
      </c>
      <c r="BZ4" s="194" t="s">
        <v>268</v>
      </c>
      <c r="CA4" s="194" t="s">
        <v>272</v>
      </c>
      <c r="CB4" s="194" t="s">
        <v>270</v>
      </c>
      <c r="CC4" s="194" t="s">
        <v>509</v>
      </c>
      <c r="CD4" s="194" t="s">
        <v>510</v>
      </c>
      <c r="CE4" s="194" t="s">
        <v>511</v>
      </c>
      <c r="CF4" s="194" t="s">
        <v>512</v>
      </c>
      <c r="CG4" s="226"/>
      <c r="CH4" s="226"/>
      <c r="CI4" s="227"/>
      <c r="CJ4" s="228"/>
      <c r="CK4" s="228"/>
      <c r="CL4" s="228"/>
      <c r="CM4" s="228"/>
      <c r="CN4" s="228"/>
      <c r="CO4" s="228"/>
      <c r="CP4" s="228"/>
      <c r="CQ4" s="228"/>
      <c r="CR4" s="228"/>
      <c r="CS4" s="227"/>
      <c r="CT4" s="227"/>
      <c r="CU4" s="227"/>
      <c r="CV4" s="227"/>
      <c r="CW4" s="227"/>
      <c r="CX4" s="227"/>
      <c r="CY4" s="227"/>
      <c r="CZ4" s="227"/>
      <c r="DA4" s="228"/>
      <c r="DB4" s="228"/>
      <c r="DC4" s="228"/>
      <c r="DD4" s="228"/>
      <c r="DE4" s="228"/>
      <c r="DF4" s="228"/>
      <c r="DG4" s="228"/>
      <c r="DH4" s="228"/>
      <c r="DI4" s="228"/>
      <c r="DJ4" s="228"/>
      <c r="DK4" s="228"/>
      <c r="DL4" s="228"/>
      <c r="DM4" s="228"/>
      <c r="DN4" s="228"/>
      <c r="DO4" s="228"/>
      <c r="DP4" s="228"/>
    </row>
    <row r="5" s="61" customFormat="1" ht="16" customHeight="1" spans="1:120">
      <c r="A5" s="269" t="s">
        <v>475</v>
      </c>
      <c r="B5" s="269" t="s">
        <v>513</v>
      </c>
      <c r="C5" s="269" t="s">
        <v>514</v>
      </c>
      <c r="D5" s="269" t="s">
        <v>515</v>
      </c>
      <c r="E5" s="269" t="s">
        <v>516</v>
      </c>
      <c r="F5" s="269" t="s">
        <v>276</v>
      </c>
      <c r="G5" s="70" t="str">
        <f>IF(AI24="","未粘报表","已粘报表")</f>
        <v>未粘报表</v>
      </c>
      <c r="H5" s="269" t="s">
        <v>283</v>
      </c>
      <c r="I5" s="269" t="s">
        <v>347</v>
      </c>
      <c r="J5" s="269" t="s">
        <v>517</v>
      </c>
      <c r="K5" s="269" t="s">
        <v>518</v>
      </c>
      <c r="L5" s="269" t="s">
        <v>519</v>
      </c>
      <c r="M5" s="85"/>
      <c r="N5" s="68" t="s">
        <v>520</v>
      </c>
      <c r="O5" s="68" t="s">
        <v>464</v>
      </c>
      <c r="P5" s="68" t="s">
        <v>465</v>
      </c>
      <c r="Q5" s="68" t="s">
        <v>466</v>
      </c>
      <c r="R5" s="68" t="s">
        <v>468</v>
      </c>
      <c r="S5" s="121"/>
      <c r="T5" s="120"/>
      <c r="U5" s="68" t="s">
        <v>464</v>
      </c>
      <c r="V5" s="77">
        <f>第6期!AP9</f>
        <v>0</v>
      </c>
      <c r="W5" s="77">
        <f>第6期!AP10</f>
        <v>0</v>
      </c>
      <c r="X5" s="77">
        <f>第6期!AP11</f>
        <v>0</v>
      </c>
      <c r="Y5" s="77">
        <f>第6期!AP12</f>
        <v>0</v>
      </c>
      <c r="Z5" s="77">
        <f>第6期!AJ26</f>
        <v>0</v>
      </c>
      <c r="AA5" s="77" t="e">
        <f>(V5+W5+X5+Y5)*AC11</f>
        <v>#DIV/0!</v>
      </c>
      <c r="AB5" s="151" t="s">
        <v>464</v>
      </c>
      <c r="AC5" s="152" t="e">
        <f>初始化表!$B$8*初始化表!E17*初始化表!$H$5/1300+初始化表!$B$12*初始化表!E17/1300+初始化表!E19+初始化表!E18*(-C35-C44)/(SUM(B17:E17)*初始化表!E18+SUM(B18:E18)*初始化表!F18+SUM(B19:E19)*初始化表!G18+SUM(B20:E20)*初始化表!H18)</f>
        <v>#DIV/0!</v>
      </c>
      <c r="AD5" s="153" t="e">
        <f>$AC5+初始化表!L19+$F6*B6/SUMPRODUCT($B6:$E6,$V42:$Y42)+B$10*B6/SUMPRODUCT(B$6:B$9,V$42:V$45)+初始化表!L13/I63+(IF(I25+J25=0,0,1)*初始化表!H25+IF(K25+L25=0,0,1)*初始化表!I25)/(I63+J63+K63+L63)</f>
        <v>#DIV/0!</v>
      </c>
      <c r="AE5" s="153" t="e">
        <f>$AC5+初始化表!M19+$F6*C6/SUMPRODUCT($B6:$E6,$V42:$Y42)+C$10*C6/SUMPRODUCT(C$6:C$9,W$42:W$45)+初始化表!M13/J63+(IF(I25+J25=0,0,1)*初始化表!H25+IF(K25+L25=0,0,1)*初始化表!I25)/(I63+J63+K63+L63)</f>
        <v>#DIV/0!</v>
      </c>
      <c r="AF5" s="153" t="e">
        <f>$AC5+初始化表!N19+$F6*D6/SUMPRODUCT($B6:$E6,$V42:$Y42)+D$10*D6/SUMPRODUCT(D$6:D$9,X$42:X$45)+初始化表!N13/K63+(IF(I25+J25=0,0,1)*初始化表!H25+IF(K25+L25=0,0,1)*初始化表!I25)/(I63+J63+K63+L63)</f>
        <v>#DIV/0!</v>
      </c>
      <c r="AG5" s="153" t="e">
        <f>$AC5+初始化表!O19+$F6*E6/SUMPRODUCT($B6:$E6,$V42:$Y42)+E$10*E6/SUMPRODUCT(E$6:E$9,Y$42:Y$45)+初始化表!O13/L63+(IF(I25+J25=0,0,1)*初始化表!H25+IF(K25+L25=0,0,1)*初始化表!I25)/(I63+J63+K63+L63)</f>
        <v>#DIV/0!</v>
      </c>
      <c r="AH5" s="73"/>
      <c r="AI5" s="297"/>
      <c r="AJ5" s="297"/>
      <c r="AK5" s="297"/>
      <c r="AL5" s="297"/>
      <c r="AM5" s="297"/>
      <c r="AN5" s="297"/>
      <c r="AO5" s="297"/>
      <c r="AP5" s="297"/>
      <c r="AQ5" s="297"/>
      <c r="AR5" s="297"/>
      <c r="AS5" s="297"/>
      <c r="AT5" s="297"/>
      <c r="AU5" s="297"/>
      <c r="AV5" s="297"/>
      <c r="AW5" s="297"/>
      <c r="AX5" s="297"/>
      <c r="AY5" s="297"/>
      <c r="AZ5" s="63"/>
      <c r="BA5" s="215" t="s">
        <v>37</v>
      </c>
      <c r="BB5" s="215" t="s">
        <v>464</v>
      </c>
      <c r="BC5" s="318"/>
      <c r="BD5" s="318"/>
      <c r="BE5" s="318"/>
      <c r="BF5" s="215" t="s">
        <v>465</v>
      </c>
      <c r="BG5" s="318"/>
      <c r="BH5" s="318"/>
      <c r="BI5" s="318"/>
      <c r="BJ5" s="215" t="s">
        <v>466</v>
      </c>
      <c r="BK5" s="318"/>
      <c r="BL5" s="318"/>
      <c r="BM5" s="318"/>
      <c r="BN5" s="215" t="s">
        <v>468</v>
      </c>
      <c r="BO5" s="318"/>
      <c r="BP5" s="318"/>
      <c r="BQ5" s="318"/>
      <c r="BR5" s="211"/>
      <c r="BS5" s="195">
        <f t="shared" ref="BS5:BS24" si="0">BA7</f>
        <v>0</v>
      </c>
      <c r="BT5" s="201">
        <f t="shared" ref="BT5:BT24" si="1">IF(BS5=0,0,1)</f>
        <v>0</v>
      </c>
      <c r="BU5" s="201">
        <f>第6期!AQ107*0.5</f>
        <v>0</v>
      </c>
      <c r="BV5" s="205" t="e">
        <f>AVERAGE(BT30:CI30)*初始化表!B$31</f>
        <v>#DIV/0!</v>
      </c>
      <c r="BW5" s="205" t="e">
        <f>$BT5*(AL107-BW$25)/BW$26*初始化表!B$30</f>
        <v>#DIV/0!</v>
      </c>
      <c r="BX5" s="205" t="e">
        <f>$BT5*(AM107-BX$25)/BX$26*初始化表!B$33</f>
        <v>#DIV/0!</v>
      </c>
      <c r="BY5" s="205" t="e">
        <f>$BT5*(AN107-BY$25)/BY$26*初始化表!B$32</f>
        <v>#DIV/0!</v>
      </c>
      <c r="BZ5" s="205" t="e">
        <f>$BT5*(AP107-BZ$25)/BZ$26*初始化表!B$34</f>
        <v>#DIV/0!</v>
      </c>
      <c r="CA5" s="205" t="e">
        <f>$BT$5*(AW107-CA$25)/CA$26*初始化表!B$36</f>
        <v>#DIV/0!</v>
      </c>
      <c r="CB5" s="205" t="e">
        <f>CE5-CC5-BU5-SUM(BV5:CA5)/2</f>
        <v>#DIV/0!</v>
      </c>
      <c r="CC5" s="201">
        <f>IF(AO107-AX107&gt;=0,0,-0.1*(1-EXP(2*10^(-6)*(AO107-AX107))))</f>
        <v>0</v>
      </c>
      <c r="CD5" s="229" t="e">
        <f>SUM(BV5:CB5)</f>
        <v>#DIV/0!</v>
      </c>
      <c r="CE5" s="229">
        <f>AQ107</f>
        <v>0</v>
      </c>
      <c r="CF5" s="229">
        <f>BU5*2</f>
        <v>0</v>
      </c>
      <c r="CG5" s="226"/>
      <c r="CH5" s="226"/>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c r="DP5" s="228"/>
    </row>
    <row r="6" s="61" customFormat="1" ht="16" customHeight="1" spans="1:120">
      <c r="A6" s="269" t="s">
        <v>521</v>
      </c>
      <c r="B6" s="71" t="e">
        <f>O20</f>
        <v>#DIV/0!</v>
      </c>
      <c r="C6" s="71" t="e">
        <f t="shared" ref="C6:E9" si="2">P20</f>
        <v>#DIV/0!</v>
      </c>
      <c r="D6" s="71" t="e">
        <f t="shared" si="2"/>
        <v>#DIV/0!</v>
      </c>
      <c r="E6" s="71" t="e">
        <f t="shared" si="2"/>
        <v>#DIV/0!</v>
      </c>
      <c r="F6" s="72" t="e">
        <f>O28</f>
        <v>#DIV/0!</v>
      </c>
      <c r="G6" s="73"/>
      <c r="H6" s="269" t="s">
        <v>521</v>
      </c>
      <c r="I6" s="72">
        <f>第6期!I6+第6期!J6</f>
        <v>0</v>
      </c>
      <c r="J6" s="86"/>
      <c r="K6" s="87">
        <f>IF(IF((I6+F17)&gt;=初始化表!I31,5,IF((I6+F17)&gt;=初始化表!H31,4,IF((I6+F17)&gt;=初始化表!G31,3,IF((I6+F17)&gt;=初始化表!F31,2,IF((I6+F17)&gt;=初始化表!E31,1,0)))))+IF(I6+F17&gt;初始化表!E31,O$45)&lt;第6期!K6+1,IF((I6+F17)&gt;=初始化表!I31,5,IF((I6+F17)&gt;=初始化表!H31,4,IF((I6+F17)&gt;=初始化表!G31,3,IF((I6+F17)&gt;=初始化表!F31,2,IF((I6+F17)&gt;=初始化表!E31,1,0)))))+IF(I6+F17&gt;初始化表!E31,O$45),第6期!K6+1)</f>
        <v>5</v>
      </c>
      <c r="L6" s="72">
        <f>IF(I6&lt;初始化表!E31,初始化表!E31-I6,IF(I6&lt;初始化表!F31,初始化表!F31-I6,IF(I6&lt;初始化表!G31,初始化表!G31-I6,IF(I6&lt;初始化表!H31,初始化表!H31-I6,IF(I6&lt;初始化表!I31,初始化表!I31-I6,0)))))</f>
        <v>0</v>
      </c>
      <c r="M6" s="85"/>
      <c r="N6" s="68" t="s">
        <v>525</v>
      </c>
      <c r="O6" s="88">
        <f>第6期!O6+0.0005</f>
        <v>0.041</v>
      </c>
      <c r="P6" s="88">
        <f>第6期!P6+0.0005</f>
        <v>0.041</v>
      </c>
      <c r="Q6" s="88">
        <f>第6期!Q6+0.0005</f>
        <v>0.041</v>
      </c>
      <c r="R6" s="88">
        <f>第6期!R6+0.0005</f>
        <v>0.041</v>
      </c>
      <c r="S6" s="122"/>
      <c r="T6" s="120"/>
      <c r="U6" s="68" t="s">
        <v>465</v>
      </c>
      <c r="V6" s="77">
        <f>第6期!AP13</f>
        <v>0</v>
      </c>
      <c r="W6" s="77">
        <f>第6期!AP14</f>
        <v>0</v>
      </c>
      <c r="X6" s="77">
        <f>第6期!AP15</f>
        <v>0</v>
      </c>
      <c r="Y6" s="77">
        <f>第6期!AP16</f>
        <v>0</v>
      </c>
      <c r="Z6" s="77">
        <f>第6期!AJ27</f>
        <v>0</v>
      </c>
      <c r="AA6" s="77" t="e">
        <f t="shared" ref="AA6:AA8" si="3">(V6+W6+X6+Y6)*AC12</f>
        <v>#DIV/0!</v>
      </c>
      <c r="AB6" s="151" t="s">
        <v>465</v>
      </c>
      <c r="AC6" s="152" t="e">
        <f>初始化表!$B$8*初始化表!F17*初始化表!$H$5/1300+初始化表!$B$12*初始化表!F17/1300+初始化表!F19+初始化表!F18*(-C35-C44)/(SUM(B17:E17)*初始化表!E18+SUM(B18:E18)*初始化表!F18+SUM(B19:E19)*初始化表!G18+SUM(B20:E20)*初始化表!H18)</f>
        <v>#DIV/0!</v>
      </c>
      <c r="AD6" s="153" t="e">
        <f>$AC6+初始化表!L20+$F7*B7/SUMPRODUCT($B7:$E7,$V43:$Y43)+B$10*B7/SUMPRODUCT(B$6:B$9,V$42:V$45)+初始化表!L14/I64+(IF(I26+J26=0,0,1)*初始化表!H26+IF(K26+L26=0,0,1)*初始化表!I26)/(I64+J64+K64+L64)</f>
        <v>#DIV/0!</v>
      </c>
      <c r="AE6" s="153" t="e">
        <f>$AC6+初始化表!M20+$F7*C7/SUMPRODUCT($B7:$E7,$V43:$Y43)+C$10*C7/SUMPRODUCT(C$6:C$9,W$42:W$45)+初始化表!M14/J64+(IF(I26+J26=0,0,1)*初始化表!H26+IF(K26+L26=0,0,1)*初始化表!I26)/(I64+J64+K64+L64)</f>
        <v>#DIV/0!</v>
      </c>
      <c r="AF6" s="153" t="e">
        <f>$AC6+初始化表!N20+$F7*D7/SUMPRODUCT($B7:$E7,$V43:$Y43)+D$10*D7/SUMPRODUCT(D$6:D$9,X$42:X$45)+初始化表!N14/K64+(IF(I26+J26=0,0,1)*初始化表!H26+IF(K26+L26=0,0,1)*初始化表!I26)/(I64+J64+K64+L64)</f>
        <v>#DIV/0!</v>
      </c>
      <c r="AG6" s="153" t="e">
        <f>$AC6+初始化表!O20+$F7*E7/SUMPRODUCT($B7:$E7,$V43:$Y43)+E$10*E7/SUMPRODUCT(E$6:E$9,Y$42:Y$45)+初始化表!O14/L64+(IF(I26+J26=0,0,1)*初始化表!H26+IF(K26+L26=0,0,1)*初始化表!I26)/(I64+J64+K64+L64)</f>
        <v>#DIV/0!</v>
      </c>
      <c r="AH6" s="73"/>
      <c r="AZ6" s="63"/>
      <c r="BA6" s="318"/>
      <c r="BB6" s="215" t="s">
        <v>459</v>
      </c>
      <c r="BC6" s="215" t="s">
        <v>460</v>
      </c>
      <c r="BD6" s="215" t="s">
        <v>461</v>
      </c>
      <c r="BE6" s="215" t="s">
        <v>462</v>
      </c>
      <c r="BF6" s="215" t="s">
        <v>459</v>
      </c>
      <c r="BG6" s="215" t="s">
        <v>460</v>
      </c>
      <c r="BH6" s="215" t="s">
        <v>461</v>
      </c>
      <c r="BI6" s="215" t="s">
        <v>462</v>
      </c>
      <c r="BJ6" s="215" t="s">
        <v>459</v>
      </c>
      <c r="BK6" s="215" t="s">
        <v>460</v>
      </c>
      <c r="BL6" s="215" t="s">
        <v>461</v>
      </c>
      <c r="BM6" s="215" t="s">
        <v>462</v>
      </c>
      <c r="BN6" s="215" t="s">
        <v>459</v>
      </c>
      <c r="BO6" s="215" t="s">
        <v>460</v>
      </c>
      <c r="BP6" s="215" t="s">
        <v>461</v>
      </c>
      <c r="BQ6" s="215" t="s">
        <v>462</v>
      </c>
      <c r="BR6" s="211"/>
      <c r="BS6" s="195">
        <f t="shared" si="0"/>
        <v>0</v>
      </c>
      <c r="BT6" s="201">
        <f t="shared" si="1"/>
        <v>0</v>
      </c>
      <c r="BU6" s="201">
        <f>第6期!AQ108*0.5</f>
        <v>0</v>
      </c>
      <c r="BV6" s="205" t="e">
        <f>AVERAGE(BT31:CI31)*初始化表!B$31</f>
        <v>#DIV/0!</v>
      </c>
      <c r="BW6" s="205" t="e">
        <f>$BT6*(AL108-BW$25)/BW$26*初始化表!B$30</f>
        <v>#DIV/0!</v>
      </c>
      <c r="BX6" s="205" t="e">
        <f>$BT6*(AM108-BX$25)/BX$26*初始化表!B$33</f>
        <v>#DIV/0!</v>
      </c>
      <c r="BY6" s="205" t="e">
        <f>$BT6*(AN108-BY$25)/BY$26*初始化表!B$32</f>
        <v>#DIV/0!</v>
      </c>
      <c r="BZ6" s="205" t="e">
        <f>$BT6*(AP108-BZ$25)/BZ$26*初始化表!B$34</f>
        <v>#DIV/0!</v>
      </c>
      <c r="CA6" s="205" t="e">
        <f>$BT$5*(AW108-CA$25)/CA$26*初始化表!B$36</f>
        <v>#DIV/0!</v>
      </c>
      <c r="CB6" s="205" t="e">
        <f t="shared" ref="CB6:CB24" si="4">CE6-CC6-BU6-SUM(BV6:CA6)/2</f>
        <v>#DIV/0!</v>
      </c>
      <c r="CC6" s="201">
        <f t="shared" ref="CC6:CC24" si="5">IF(AO108-AX108&gt;=0,0,-0.1*(1-EXP(2*10^(-6)*(AO108-AX108))))</f>
        <v>0</v>
      </c>
      <c r="CD6" s="229" t="e">
        <f t="shared" ref="CD6:CD24" si="6">SUM(BV6:CB6)</f>
        <v>#DIV/0!</v>
      </c>
      <c r="CE6" s="229">
        <f t="shared" ref="CE6:CE24" si="7">AQ108</f>
        <v>0</v>
      </c>
      <c r="CF6" s="229">
        <f t="shared" ref="CF6:CF24" si="8">BU6*2</f>
        <v>0</v>
      </c>
      <c r="CG6" s="226"/>
      <c r="CH6" s="226"/>
      <c r="CI6" s="227"/>
      <c r="CJ6" s="228"/>
      <c r="CK6" s="228"/>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c r="DP6" s="228"/>
    </row>
    <row r="7" s="61" customFormat="1" ht="16" customHeight="1" spans="1:120">
      <c r="A7" s="269" t="s">
        <v>522</v>
      </c>
      <c r="B7" s="71" t="e">
        <f t="shared" ref="B7:B9" si="9">O21</f>
        <v>#DIV/0!</v>
      </c>
      <c r="C7" s="71" t="e">
        <f t="shared" si="2"/>
        <v>#DIV/0!</v>
      </c>
      <c r="D7" s="71" t="e">
        <f t="shared" si="2"/>
        <v>#DIV/0!</v>
      </c>
      <c r="E7" s="71" t="e">
        <f t="shared" si="2"/>
        <v>#DIV/0!</v>
      </c>
      <c r="F7" s="72" t="e">
        <f>P28</f>
        <v>#DIV/0!</v>
      </c>
      <c r="G7" s="73"/>
      <c r="H7" s="269" t="s">
        <v>522</v>
      </c>
      <c r="I7" s="72">
        <f>第6期!I7+第6期!J7</f>
        <v>0</v>
      </c>
      <c r="J7" s="86"/>
      <c r="K7" s="87">
        <f>IF(IF((I7+F18)&gt;=初始化表!I32,5,IF((I7+F18)&gt;=初始化表!H32,4,IF((I7+F18)&gt;=初始化表!G32,3,IF((I7+F18)&gt;=初始化表!F32,2,IF((I7+F18)&gt;=初始化表!E32,1,0)))))+IF(I7+F18&gt;初始化表!E32,O$45)&lt;第6期!K7+1,IF((I7+F18)&gt;=初始化表!I32,5,IF((I7+F18)&gt;=初始化表!H32,4,IF((I7+F18)&gt;=初始化表!G32,3,IF((I7+F18)&gt;=初始化表!F32,2,IF((I7+F18)&gt;=初始化表!E32,1,0)))))+IF(I7+F18&gt;初始化表!E32,O$45),第6期!K7+1)</f>
        <v>5</v>
      </c>
      <c r="L7" s="72">
        <f>IF(I7&lt;初始化表!E32,初始化表!E32-I7,IF(I7&lt;初始化表!F32,初始化表!F32-I7,IF(I7&lt;初始化表!G32,初始化表!G32-I7,IF(I7&lt;初始化表!H32,初始化表!H32-I7,IF(I7&lt;初始化表!I32,初始化表!I32-I7,0)))))</f>
        <v>0</v>
      </c>
      <c r="M7" s="85"/>
      <c r="N7" s="68" t="s">
        <v>526</v>
      </c>
      <c r="O7" s="68" t="s">
        <v>459</v>
      </c>
      <c r="P7" s="68" t="s">
        <v>460</v>
      </c>
      <c r="Q7" s="68" t="s">
        <v>461</v>
      </c>
      <c r="R7" s="68" t="s">
        <v>462</v>
      </c>
      <c r="S7" s="121"/>
      <c r="T7" s="120"/>
      <c r="U7" s="68" t="s">
        <v>466</v>
      </c>
      <c r="V7" s="77">
        <f>第6期!AP17</f>
        <v>0</v>
      </c>
      <c r="W7" s="77">
        <f>第6期!AP18</f>
        <v>0</v>
      </c>
      <c r="X7" s="77">
        <f>第6期!AP19</f>
        <v>0</v>
      </c>
      <c r="Y7" s="77">
        <f>第6期!AP20</f>
        <v>0</v>
      </c>
      <c r="Z7" s="77">
        <f>第6期!AJ28</f>
        <v>0</v>
      </c>
      <c r="AA7" s="77" t="e">
        <f t="shared" si="3"/>
        <v>#DIV/0!</v>
      </c>
      <c r="AB7" s="151" t="s">
        <v>466</v>
      </c>
      <c r="AC7" s="152" t="e">
        <f>初始化表!$B$8*初始化表!G17*初始化表!$H$5/1300+初始化表!$B$12*初始化表!G17/1300+初始化表!G19+初始化表!G18*(-C35-C44)/(SUM(B17:E17)*初始化表!E18+SUM(B18:E18)*初始化表!F18+SUM(B19:E19)*初始化表!G18+SUM(B20:E20)*初始化表!H18)</f>
        <v>#DIV/0!</v>
      </c>
      <c r="AD7" s="153" t="e">
        <f>$AC7+初始化表!L21+$F8*B8/SUMPRODUCT($B8:$E8,$V44:$Y44)+B$10*B8/SUMPRODUCT(B$6:B$9,V$42:V$45)+初始化表!L15/I65+(IF(I27+J27=0,0,1)*初始化表!H27+IF(K27+L27=0,0,1)*初始化表!I27)/(I65+J65+K65+L65)</f>
        <v>#DIV/0!</v>
      </c>
      <c r="AE7" s="153" t="e">
        <f>$AC7+初始化表!M21+$F8*C8/SUMPRODUCT($B8:$E8,$V44:$Y44)+C$10*C8/SUMPRODUCT(C$6:C$9,W$42:W$45)+初始化表!M15/J65+(IF(I27+J27=0,0,1)*初始化表!H27+IF(K27+L27=0,0,1)*初始化表!I27)/(I65+J65+K65+L65)</f>
        <v>#DIV/0!</v>
      </c>
      <c r="AF7" s="153" t="e">
        <f>$AC7+初始化表!N21+$F8*D8/SUMPRODUCT($B8:$E8,$V44:$Y44)+D$10*D8/SUMPRODUCT(D$6:D$9,X$42:X$45)+初始化表!N15/K65+(IF(I27+J27=0,0,1)*初始化表!H27+IF(K27+L27=0,0,1)*初始化表!I27)/(I65+J65+K65+L65)</f>
        <v>#DIV/0!</v>
      </c>
      <c r="AG7" s="153" t="e">
        <f>$AC7+初始化表!O21+$F8*E8/SUMPRODUCT($B8:$E8,$V44:$Y44)+E$10*E8/SUMPRODUCT(E$6:E$9,Y$42:Y$45)+初始化表!O15/L65+(IF(I27+J27=0,0,1)*初始化表!H27+IF(K27+L27=0,0,1)*初始化表!I27)/(I65+J65+K65+L65)</f>
        <v>#DIV/0!</v>
      </c>
      <c r="AH7" s="73"/>
      <c r="AI7" s="68" t="s">
        <v>424</v>
      </c>
      <c r="AJ7" s="69"/>
      <c r="AK7" s="69"/>
      <c r="AL7" s="69"/>
      <c r="AM7" s="69"/>
      <c r="AN7" s="69"/>
      <c r="AO7" s="69"/>
      <c r="AP7" s="69"/>
      <c r="AQ7" s="69"/>
      <c r="AZ7" s="63"/>
      <c r="BA7" s="319">
        <f t="shared" ref="BA7:BA26" si="10">AI37</f>
        <v>0</v>
      </c>
      <c r="BB7" s="197">
        <f t="shared" ref="BB7:BB26" si="11">IF($BA7="","",INT(BB$28*AJ61))</f>
        <v>0</v>
      </c>
      <c r="BC7" s="197">
        <f t="shared" ref="BC7:BC26" si="12">IF($BA7="","",INT(BC$28*AK61))</f>
        <v>0</v>
      </c>
      <c r="BD7" s="197">
        <f t="shared" ref="BD7:BD26" si="13">IF($BA7="","",INT(BD$28*AL61))</f>
        <v>0</v>
      </c>
      <c r="BE7" s="197">
        <f t="shared" ref="BE7:BE26" si="14">IF($BA7="","",INT(BE$28*AM61))</f>
        <v>0</v>
      </c>
      <c r="BF7" s="197">
        <f t="shared" ref="BF7:BF26" si="15">IF($BA7="","",INT(BF$28*AN61))</f>
        <v>0</v>
      </c>
      <c r="BG7" s="197">
        <f t="shared" ref="BG7:BG26" si="16">IF($BA7="","",INT(BG$28*AO61))</f>
        <v>0</v>
      </c>
      <c r="BH7" s="197">
        <f t="shared" ref="BH7:BH26" si="17">IF($BA7="","",INT(BH$28*AP61))</f>
        <v>0</v>
      </c>
      <c r="BI7" s="197">
        <f t="shared" ref="BI7:BI26" si="18">IF($BA7="","",INT(BI$28*AQ61))</f>
        <v>0</v>
      </c>
      <c r="BJ7" s="197">
        <f t="shared" ref="BJ7:BJ26" si="19">IF($BA7="","",INT(BJ$28*AR61))</f>
        <v>0</v>
      </c>
      <c r="BK7" s="197">
        <f t="shared" ref="BK7:BK26" si="20">IF($BA7="","",INT(BK$28*AS61))</f>
        <v>0</v>
      </c>
      <c r="BL7" s="197">
        <f t="shared" ref="BL7:BL26" si="21">IF($BA7="","",INT(BL$28*AT61))</f>
        <v>0</v>
      </c>
      <c r="BM7" s="197">
        <f t="shared" ref="BM7:BM26" si="22">IF($BA7="","",INT(BM$28*AU61))</f>
        <v>0</v>
      </c>
      <c r="BN7" s="197">
        <f t="shared" ref="BN7:BN26" si="23">IF($BA7="","",INT(BN$28*AV61))</f>
        <v>0</v>
      </c>
      <c r="BO7" s="197">
        <f t="shared" ref="BO7:BO26" si="24">IF($BA7="","",INT(BO$28*AW61))</f>
        <v>0</v>
      </c>
      <c r="BP7" s="197">
        <f t="shared" ref="BP7:BP26" si="25">IF($BA7="","",INT(BP$28*AX61))</f>
        <v>0</v>
      </c>
      <c r="BQ7" s="197">
        <f t="shared" ref="BQ7:BQ26" si="26">IF($BA7="","",INT(BQ$28*AY61))</f>
        <v>0</v>
      </c>
      <c r="BR7" s="211"/>
      <c r="BS7" s="195">
        <f t="shared" si="0"/>
        <v>0</v>
      </c>
      <c r="BT7" s="201">
        <f t="shared" si="1"/>
        <v>0</v>
      </c>
      <c r="BU7" s="201">
        <f>第6期!AQ109*0.5</f>
        <v>0</v>
      </c>
      <c r="BV7" s="205" t="e">
        <f>AVERAGE(BT32:CI32)*初始化表!B$31</f>
        <v>#DIV/0!</v>
      </c>
      <c r="BW7" s="205" t="e">
        <f>$BT7*(AL109-BW$25)/BW$26*初始化表!B$30</f>
        <v>#DIV/0!</v>
      </c>
      <c r="BX7" s="205" t="e">
        <f>$BT7*(AM109-BX$25)/BX$26*初始化表!B$33</f>
        <v>#DIV/0!</v>
      </c>
      <c r="BY7" s="205" t="e">
        <f>$BT7*(AN109-BY$25)/BY$26*初始化表!B$32</f>
        <v>#DIV/0!</v>
      </c>
      <c r="BZ7" s="205" t="e">
        <f>$BT7*(AP109-BZ$25)/BZ$26*初始化表!B$34</f>
        <v>#DIV/0!</v>
      </c>
      <c r="CA7" s="205" t="e">
        <f>$BT$5*(AW109-CA$25)/CA$26*初始化表!B$36</f>
        <v>#DIV/0!</v>
      </c>
      <c r="CB7" s="205" t="e">
        <f t="shared" si="4"/>
        <v>#DIV/0!</v>
      </c>
      <c r="CC7" s="201">
        <f t="shared" si="5"/>
        <v>0</v>
      </c>
      <c r="CD7" s="229" t="e">
        <f t="shared" si="6"/>
        <v>#DIV/0!</v>
      </c>
      <c r="CE7" s="229">
        <f t="shared" si="7"/>
        <v>0</v>
      </c>
      <c r="CF7" s="229">
        <f t="shared" si="8"/>
        <v>0</v>
      </c>
      <c r="CG7" s="226"/>
      <c r="CH7" s="226"/>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row>
    <row r="8" s="61" customFormat="1" ht="16" customHeight="1" spans="1:120">
      <c r="A8" s="269" t="s">
        <v>523</v>
      </c>
      <c r="B8" s="71" t="e">
        <f t="shared" si="9"/>
        <v>#DIV/0!</v>
      </c>
      <c r="C8" s="71" t="e">
        <f t="shared" si="2"/>
        <v>#DIV/0!</v>
      </c>
      <c r="D8" s="71" t="e">
        <f t="shared" si="2"/>
        <v>#DIV/0!</v>
      </c>
      <c r="E8" s="71" t="e">
        <f t="shared" si="2"/>
        <v>#DIV/0!</v>
      </c>
      <c r="F8" s="72" t="e">
        <f>Q28</f>
        <v>#DIV/0!</v>
      </c>
      <c r="G8" s="73"/>
      <c r="H8" s="269" t="s">
        <v>523</v>
      </c>
      <c r="I8" s="72">
        <f>第6期!I8+第6期!J8</f>
        <v>0</v>
      </c>
      <c r="J8" s="86"/>
      <c r="K8" s="87">
        <f>IF(IF((I8+F19)&gt;=初始化表!I33,5,IF((I8+F19)&gt;=初始化表!H33,4,IF((I8+F19)&gt;=初始化表!G33,3,IF((I8+F19)&gt;=初始化表!F33,2,IF((I8+F19)&gt;=初始化表!E33,1,0)))))+IF(I8+F19&gt;初始化表!E33,O$45)&lt;第6期!K8+1,IF((I8+F19)&gt;=初始化表!I33,5,IF((I8+F19)&gt;=初始化表!H33,4,IF((I8+F19)&gt;=初始化表!G33,3,IF((I8+F19)&gt;=初始化表!F33,2,IF((I8+F19)&gt;=初始化表!E33,1,0)))))+IF(I8+F19&gt;初始化表!E33,O$45),第6期!K8+1)</f>
        <v>5</v>
      </c>
      <c r="L8" s="72">
        <f>IF(I8&lt;初始化表!E33,初始化表!E33-I8,IF(I8&lt;初始化表!F33,初始化表!F33-I8,IF(I8&lt;初始化表!G33,初始化表!G33-I8,IF(I8&lt;初始化表!H33,初始化表!H33-I8,IF(I8&lt;初始化表!I33,初始化表!I33-I8,0)))))</f>
        <v>0</v>
      </c>
      <c r="M8" s="85"/>
      <c r="N8" s="68" t="s">
        <v>525</v>
      </c>
      <c r="O8" s="88">
        <f>第6期!O8+0.0005</f>
        <v>0.041</v>
      </c>
      <c r="P8" s="88">
        <f>第6期!P8+0.0005</f>
        <v>0.041</v>
      </c>
      <c r="Q8" s="88">
        <f>第6期!Q8+0.0005</f>
        <v>0.041</v>
      </c>
      <c r="R8" s="88">
        <f>第6期!R8+0.0005</f>
        <v>0.041</v>
      </c>
      <c r="S8" s="122"/>
      <c r="T8" s="120"/>
      <c r="U8" s="68" t="s">
        <v>468</v>
      </c>
      <c r="V8" s="77">
        <f>第6期!AP21</f>
        <v>0</v>
      </c>
      <c r="W8" s="77">
        <f>第6期!AP22</f>
        <v>0</v>
      </c>
      <c r="X8" s="77">
        <f>第6期!AP23</f>
        <v>0</v>
      </c>
      <c r="Y8" s="77">
        <f>第6期!AP24</f>
        <v>0</v>
      </c>
      <c r="Z8" s="77">
        <f>第6期!AJ29</f>
        <v>0</v>
      </c>
      <c r="AA8" s="77" t="e">
        <f t="shared" si="3"/>
        <v>#DIV/0!</v>
      </c>
      <c r="AB8" s="151" t="s">
        <v>468</v>
      </c>
      <c r="AC8" s="152" t="e">
        <f>初始化表!$B$8*初始化表!H17*初始化表!$H$5/1300+初始化表!$B$12*初始化表!H17/1300+初始化表!H19+初始化表!H18*(-C35-C44)/(SUM(B17:E17)*初始化表!E18+SUM(B18:E18)*初始化表!F18+SUM(B19:E19)*初始化表!G18+SUM(B20:E20)*初始化表!H18)</f>
        <v>#DIV/0!</v>
      </c>
      <c r="AD8" s="153" t="e">
        <f>$AC8+初始化表!L22+$F9*B9/SUMPRODUCT($B9:$E9,$V45:$Y45)+B$10*B9/SUMPRODUCT(B$6:B$9,V$42:V$45)+初始化表!L16/I66+(IF(I28+J28=0,0,1)*初始化表!H28+IF(K28+L28=0,0,1)*初始化表!I28)/(I66+J66+K66+L66)</f>
        <v>#DIV/0!</v>
      </c>
      <c r="AE8" s="153" t="e">
        <f>$AC8+初始化表!M22+$F9*C9/SUMPRODUCT($B9:$E9,$V45:$Y45)+C$10*C9/SUMPRODUCT(C$6:C$9,W$42:W$45)+初始化表!M16/J66+(IF(I28+J28=0,0,1)*初始化表!H28+IF(K28+L28=0,0,1)*初始化表!I28)/(I66+J66+K66+L66)</f>
        <v>#DIV/0!</v>
      </c>
      <c r="AF8" s="153" t="e">
        <f>$AC8+初始化表!N22+$F9*D9/SUMPRODUCT($B9:$E9,$V45:$Y45)+D$10*D9/SUMPRODUCT(D$6:D$9,X$42:X$45)+初始化表!N16/K66+(IF(I28+J28=0,0,1)*初始化表!H28+IF(K28+L28=0,0,1)*初始化表!I28)/(I66+J66+K66+L66)</f>
        <v>#DIV/0!</v>
      </c>
      <c r="AG8" s="153" t="e">
        <f>$AC8+初始化表!O22+$F9*E9/SUMPRODUCT($B9:$E9,$V45:$Y45)+E$10*E9/SUMPRODUCT(E$6:E$9,Y$42:Y$45)+初始化表!O16/L66+(IF(I28+J28=0,0,1)*初始化表!H28+IF(K28+L28=0,0,1)*初始化表!I28)/(I66+J66+K66+L66)</f>
        <v>#DIV/0!</v>
      </c>
      <c r="AH8" s="73"/>
      <c r="AI8" s="298" t="s">
        <v>763</v>
      </c>
      <c r="AJ8" s="298" t="s">
        <v>764</v>
      </c>
      <c r="AK8" s="298" t="s">
        <v>765</v>
      </c>
      <c r="AL8" s="298" t="s">
        <v>766</v>
      </c>
      <c r="AM8" s="298" t="s">
        <v>767</v>
      </c>
      <c r="AN8" s="299" t="s">
        <v>768</v>
      </c>
      <c r="AO8" s="298" t="s">
        <v>769</v>
      </c>
      <c r="AP8" s="298" t="s">
        <v>770</v>
      </c>
      <c r="AQ8" s="314" t="s">
        <v>771</v>
      </c>
      <c r="AR8" s="185" t="s">
        <v>433</v>
      </c>
      <c r="AS8" s="185" t="s">
        <v>434</v>
      </c>
      <c r="AT8" s="185" t="s">
        <v>435</v>
      </c>
      <c r="AU8" s="185" t="s">
        <v>436</v>
      </c>
      <c r="AV8" s="185" t="s">
        <v>437</v>
      </c>
      <c r="AW8" s="185" t="s">
        <v>438</v>
      </c>
      <c r="AZ8" s="63"/>
      <c r="BA8" s="319">
        <f t="shared" si="10"/>
        <v>0</v>
      </c>
      <c r="BB8" s="197">
        <f t="shared" si="11"/>
        <v>0</v>
      </c>
      <c r="BC8" s="197">
        <f t="shared" si="12"/>
        <v>0</v>
      </c>
      <c r="BD8" s="197">
        <f t="shared" si="13"/>
        <v>0</v>
      </c>
      <c r="BE8" s="197">
        <f t="shared" si="14"/>
        <v>0</v>
      </c>
      <c r="BF8" s="197">
        <f t="shared" si="15"/>
        <v>0</v>
      </c>
      <c r="BG8" s="197">
        <f t="shared" si="16"/>
        <v>0</v>
      </c>
      <c r="BH8" s="197">
        <f t="shared" si="17"/>
        <v>0</v>
      </c>
      <c r="BI8" s="197">
        <f t="shared" si="18"/>
        <v>0</v>
      </c>
      <c r="BJ8" s="197">
        <f t="shared" si="19"/>
        <v>0</v>
      </c>
      <c r="BK8" s="197">
        <f t="shared" si="20"/>
        <v>0</v>
      </c>
      <c r="BL8" s="197">
        <f t="shared" si="21"/>
        <v>0</v>
      </c>
      <c r="BM8" s="197">
        <f t="shared" si="22"/>
        <v>0</v>
      </c>
      <c r="BN8" s="197">
        <f t="shared" si="23"/>
        <v>0</v>
      </c>
      <c r="BO8" s="197">
        <f t="shared" si="24"/>
        <v>0</v>
      </c>
      <c r="BP8" s="197">
        <f t="shared" si="25"/>
        <v>0</v>
      </c>
      <c r="BQ8" s="197">
        <f t="shared" si="26"/>
        <v>0</v>
      </c>
      <c r="BR8" s="211"/>
      <c r="BS8" s="195">
        <f t="shared" si="0"/>
        <v>0</v>
      </c>
      <c r="BT8" s="201">
        <f t="shared" si="1"/>
        <v>0</v>
      </c>
      <c r="BU8" s="201">
        <f>第6期!AQ110*0.5</f>
        <v>0</v>
      </c>
      <c r="BV8" s="205" t="e">
        <f>AVERAGE(BT33:CI33)*初始化表!B$31</f>
        <v>#DIV/0!</v>
      </c>
      <c r="BW8" s="205" t="e">
        <f>$BT8*(AL110-BW$25)/BW$26*初始化表!B$30</f>
        <v>#DIV/0!</v>
      </c>
      <c r="BX8" s="205" t="e">
        <f>$BT8*(AM110-BX$25)/BX$26*初始化表!B$33</f>
        <v>#DIV/0!</v>
      </c>
      <c r="BY8" s="205" t="e">
        <f>$BT8*(AN110-BY$25)/BY$26*初始化表!B$32</f>
        <v>#DIV/0!</v>
      </c>
      <c r="BZ8" s="205" t="e">
        <f>$BT8*(AP110-BZ$25)/BZ$26*初始化表!B$34</f>
        <v>#DIV/0!</v>
      </c>
      <c r="CA8" s="205" t="e">
        <f>$BT$5*(AW110-CA$25)/CA$26*初始化表!B$36</f>
        <v>#DIV/0!</v>
      </c>
      <c r="CB8" s="205" t="e">
        <f t="shared" si="4"/>
        <v>#DIV/0!</v>
      </c>
      <c r="CC8" s="201">
        <f t="shared" si="5"/>
        <v>0</v>
      </c>
      <c r="CD8" s="229" t="e">
        <f t="shared" si="6"/>
        <v>#DIV/0!</v>
      </c>
      <c r="CE8" s="229">
        <f t="shared" si="7"/>
        <v>0</v>
      </c>
      <c r="CF8" s="229">
        <f t="shared" si="8"/>
        <v>0</v>
      </c>
      <c r="CG8" s="226"/>
      <c r="CH8" s="226"/>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row>
    <row r="9" s="61" customFormat="1" ht="16" customHeight="1" spans="1:120">
      <c r="A9" s="269" t="s">
        <v>524</v>
      </c>
      <c r="B9" s="71" t="e">
        <f t="shared" si="9"/>
        <v>#DIV/0!</v>
      </c>
      <c r="C9" s="71" t="e">
        <f t="shared" si="2"/>
        <v>#DIV/0!</v>
      </c>
      <c r="D9" s="71" t="e">
        <f t="shared" si="2"/>
        <v>#DIV/0!</v>
      </c>
      <c r="E9" s="71" t="e">
        <f t="shared" si="2"/>
        <v>#DIV/0!</v>
      </c>
      <c r="F9" s="72" t="e">
        <f>R28</f>
        <v>#DIV/0!</v>
      </c>
      <c r="G9" s="73"/>
      <c r="H9" s="269" t="s">
        <v>524</v>
      </c>
      <c r="I9" s="72">
        <f>第6期!I9+第6期!J9</f>
        <v>0</v>
      </c>
      <c r="J9" s="86"/>
      <c r="K9" s="87">
        <f>IF(IF((I9+F20)&gt;=初始化表!I34,5,IF((I9+F20)&gt;=初始化表!H34,4,IF((I9+F20)&gt;=初始化表!G34,3,IF((I9+F20)&gt;=初始化表!F34,2,IF((I9+F20)&gt;=初始化表!E34,1,0)))))+IF(I9+F20&gt;初始化表!E34,O$45)&lt;第6期!K9+1,IF((I9+F20)&gt;=初始化表!I34,5,IF((I9+F20)&gt;=初始化表!H34,4,IF((I9+F20)&gt;=初始化表!G34,3,IF((I9+F20)&gt;=初始化表!F34,2,IF((I9+F20)&gt;=初始化表!E34,1,0)))))+IF(I9+F20&gt;初始化表!E34,O$45),第6期!K9+1)</f>
        <v>5</v>
      </c>
      <c r="L9" s="72">
        <f>IF(I9&lt;初始化表!E34,初始化表!E34-I9,IF(I9&lt;初始化表!F34,初始化表!F34-I9,IF(I9&lt;初始化表!G34,初始化表!G34-I9,IF(I9&lt;初始化表!H34,初始化表!H34-I9,IF(I9&lt;初始化表!I34,初始化表!I34-I9,0)))))</f>
        <v>0</v>
      </c>
      <c r="M9" s="85"/>
      <c r="N9" s="68" t="s">
        <v>527</v>
      </c>
      <c r="O9" s="68" t="s">
        <v>459</v>
      </c>
      <c r="P9" s="68" t="s">
        <v>460</v>
      </c>
      <c r="Q9" s="68" t="s">
        <v>461</v>
      </c>
      <c r="R9" s="68" t="s">
        <v>462</v>
      </c>
      <c r="S9" s="121"/>
      <c r="T9" s="68" t="s">
        <v>528</v>
      </c>
      <c r="U9" s="123"/>
      <c r="V9" s="74"/>
      <c r="W9" s="74"/>
      <c r="X9" s="74"/>
      <c r="Y9" s="74"/>
      <c r="Z9" s="74" t="e">
        <f>SUMPRODUCT(V5:Y8,V23:Y26)</f>
        <v>#DIV/0!</v>
      </c>
      <c r="AA9" s="73"/>
      <c r="AB9" s="155"/>
      <c r="AC9" s="155"/>
      <c r="AD9" s="155"/>
      <c r="AE9" s="155"/>
      <c r="AF9" s="155"/>
      <c r="AG9" s="155"/>
      <c r="AH9" s="73"/>
      <c r="AI9" s="300"/>
      <c r="AJ9" s="300"/>
      <c r="AK9" s="301"/>
      <c r="AL9" s="302">
        <f>V42</f>
        <v>0</v>
      </c>
      <c r="AM9" s="303"/>
      <c r="AN9" s="304"/>
      <c r="AO9" s="301"/>
      <c r="AP9" s="301"/>
      <c r="AQ9" s="315"/>
      <c r="AR9" s="103"/>
      <c r="AS9" s="103">
        <f t="shared" ref="AS9:AS24" si="27">AM9-AK9</f>
        <v>0</v>
      </c>
      <c r="AT9" s="103"/>
      <c r="AU9" s="103"/>
      <c r="AV9" s="103"/>
      <c r="AW9" s="103"/>
      <c r="AZ9" s="63"/>
      <c r="BA9" s="319">
        <f t="shared" si="10"/>
        <v>0</v>
      </c>
      <c r="BB9" s="197">
        <f t="shared" si="11"/>
        <v>0</v>
      </c>
      <c r="BC9" s="197">
        <f t="shared" si="12"/>
        <v>0</v>
      </c>
      <c r="BD9" s="197">
        <f t="shared" si="13"/>
        <v>0</v>
      </c>
      <c r="BE9" s="197">
        <f t="shared" si="14"/>
        <v>0</v>
      </c>
      <c r="BF9" s="197">
        <f t="shared" si="15"/>
        <v>0</v>
      </c>
      <c r="BG9" s="197">
        <f t="shared" si="16"/>
        <v>0</v>
      </c>
      <c r="BH9" s="197">
        <f t="shared" si="17"/>
        <v>0</v>
      </c>
      <c r="BI9" s="197">
        <f t="shared" si="18"/>
        <v>0</v>
      </c>
      <c r="BJ9" s="197">
        <f t="shared" si="19"/>
        <v>0</v>
      </c>
      <c r="BK9" s="197">
        <f t="shared" si="20"/>
        <v>0</v>
      </c>
      <c r="BL9" s="197">
        <f t="shared" si="21"/>
        <v>0</v>
      </c>
      <c r="BM9" s="197">
        <f t="shared" si="22"/>
        <v>0</v>
      </c>
      <c r="BN9" s="197">
        <f t="shared" si="23"/>
        <v>0</v>
      </c>
      <c r="BO9" s="197">
        <f t="shared" si="24"/>
        <v>0</v>
      </c>
      <c r="BP9" s="197">
        <f t="shared" si="25"/>
        <v>0</v>
      </c>
      <c r="BQ9" s="197">
        <f t="shared" si="26"/>
        <v>0</v>
      </c>
      <c r="BR9" s="211"/>
      <c r="BS9" s="195">
        <f t="shared" si="0"/>
        <v>0</v>
      </c>
      <c r="BT9" s="201">
        <f t="shared" si="1"/>
        <v>0</v>
      </c>
      <c r="BU9" s="201">
        <f>第6期!AQ111*0.5</f>
        <v>0</v>
      </c>
      <c r="BV9" s="205" t="e">
        <f>AVERAGE(BT34:CI34)*初始化表!B$31</f>
        <v>#DIV/0!</v>
      </c>
      <c r="BW9" s="205" t="e">
        <f>$BT9*(AL111-BW$25)/BW$26*初始化表!B$30</f>
        <v>#DIV/0!</v>
      </c>
      <c r="BX9" s="205" t="e">
        <f>$BT9*(AM111-BX$25)/BX$26*初始化表!B$33</f>
        <v>#DIV/0!</v>
      </c>
      <c r="BY9" s="205" t="e">
        <f>$BT9*(AN111-BY$25)/BY$26*初始化表!B$32</f>
        <v>#DIV/0!</v>
      </c>
      <c r="BZ9" s="205" t="e">
        <f>$BT9*(AP111-BZ$25)/BZ$26*初始化表!B$34</f>
        <v>#DIV/0!</v>
      </c>
      <c r="CA9" s="205" t="e">
        <f>$BT$5*(AW111-CA$25)/CA$26*初始化表!B$36</f>
        <v>#DIV/0!</v>
      </c>
      <c r="CB9" s="205" t="e">
        <f t="shared" si="4"/>
        <v>#DIV/0!</v>
      </c>
      <c r="CC9" s="201">
        <f t="shared" si="5"/>
        <v>0</v>
      </c>
      <c r="CD9" s="229" t="e">
        <f t="shared" si="6"/>
        <v>#DIV/0!</v>
      </c>
      <c r="CE9" s="229">
        <f t="shared" si="7"/>
        <v>0</v>
      </c>
      <c r="CF9" s="229">
        <f t="shared" si="8"/>
        <v>0</v>
      </c>
      <c r="CG9" s="226"/>
      <c r="CH9" s="226"/>
      <c r="CI9" s="228"/>
      <c r="CJ9" s="230"/>
      <c r="CK9" s="230"/>
      <c r="CL9" s="230"/>
      <c r="CM9" s="230"/>
      <c r="CN9" s="230"/>
      <c r="CO9" s="228"/>
      <c r="CP9" s="228"/>
      <c r="CQ9" s="228"/>
      <c r="CR9" s="228"/>
      <c r="CS9" s="228"/>
      <c r="CT9" s="228"/>
      <c r="CU9" s="231"/>
      <c r="CV9" s="231"/>
      <c r="CW9" s="231"/>
      <c r="CX9" s="231"/>
      <c r="CY9" s="228"/>
      <c r="CZ9" s="228"/>
      <c r="DA9" s="228"/>
      <c r="DB9" s="228"/>
      <c r="DC9" s="228"/>
      <c r="DD9" s="228"/>
      <c r="DE9" s="228"/>
      <c r="DF9" s="228"/>
      <c r="DG9" s="228"/>
      <c r="DH9" s="228"/>
      <c r="DI9" s="228"/>
      <c r="DJ9" s="228"/>
      <c r="DK9" s="228"/>
      <c r="DL9" s="228"/>
      <c r="DM9" s="228"/>
      <c r="DN9" s="228"/>
      <c r="DO9" s="228"/>
      <c r="DP9" s="228"/>
    </row>
    <row r="10" s="61" customFormat="1" ht="16" customHeight="1" spans="1:120">
      <c r="A10" s="269" t="s">
        <v>280</v>
      </c>
      <c r="B10" s="72" t="e">
        <f>O29</f>
        <v>#DIV/0!</v>
      </c>
      <c r="C10" s="72" t="e">
        <f>P29</f>
        <v>#DIV/0!</v>
      </c>
      <c r="D10" s="72" t="e">
        <f t="shared" ref="D10:E10" si="28">Q29</f>
        <v>#DIV/0!</v>
      </c>
      <c r="E10" s="72" t="e">
        <f t="shared" si="28"/>
        <v>#DIV/0!</v>
      </c>
      <c r="F10" s="269" t="s">
        <v>281</v>
      </c>
      <c r="G10" s="73"/>
      <c r="H10" s="90"/>
      <c r="I10" s="90"/>
      <c r="J10" s="90"/>
      <c r="K10" s="90"/>
      <c r="L10" s="90"/>
      <c r="M10" s="85"/>
      <c r="N10" s="68" t="s">
        <v>198</v>
      </c>
      <c r="O10" s="89">
        <f t="shared" ref="O10:O13" si="29">S10+T10</f>
        <v>0</v>
      </c>
      <c r="P10" s="89"/>
      <c r="Q10" s="89"/>
      <c r="R10" s="89"/>
      <c r="S10" s="124">
        <v>0</v>
      </c>
      <c r="T10" s="125">
        <f t="shared" ref="T10:T13" si="30">(Z17-Z42)/10000</f>
        <v>0</v>
      </c>
      <c r="U10" s="286" t="s">
        <v>529</v>
      </c>
      <c r="V10" s="68" t="s">
        <v>459</v>
      </c>
      <c r="W10" s="68" t="s">
        <v>460</v>
      </c>
      <c r="X10" s="68" t="s">
        <v>461</v>
      </c>
      <c r="Y10" s="68" t="s">
        <v>462</v>
      </c>
      <c r="Z10" s="74"/>
      <c r="AA10" s="73"/>
      <c r="AB10" s="151" t="s">
        <v>530</v>
      </c>
      <c r="AC10" s="151" t="s">
        <v>459</v>
      </c>
      <c r="AD10" s="151" t="s">
        <v>460</v>
      </c>
      <c r="AE10" s="151" t="s">
        <v>461</v>
      </c>
      <c r="AF10" s="151" t="s">
        <v>462</v>
      </c>
      <c r="AG10" s="305" t="s">
        <v>402</v>
      </c>
      <c r="AH10" s="168" t="s">
        <v>531</v>
      </c>
      <c r="AI10" s="300"/>
      <c r="AJ10" s="300"/>
      <c r="AK10" s="301"/>
      <c r="AL10" s="302">
        <f>W42</f>
        <v>0</v>
      </c>
      <c r="AM10" s="303"/>
      <c r="AN10" s="304"/>
      <c r="AO10" s="301"/>
      <c r="AP10" s="301"/>
      <c r="AQ10" s="315"/>
      <c r="AR10" s="103"/>
      <c r="AS10" s="103">
        <f t="shared" si="27"/>
        <v>0</v>
      </c>
      <c r="AT10" s="103"/>
      <c r="AU10" s="103"/>
      <c r="AV10" s="103"/>
      <c r="AW10" s="103"/>
      <c r="AZ10" s="63"/>
      <c r="BA10" s="319">
        <f t="shared" si="10"/>
        <v>0</v>
      </c>
      <c r="BB10" s="197">
        <f t="shared" si="11"/>
        <v>0</v>
      </c>
      <c r="BC10" s="197">
        <f t="shared" si="12"/>
        <v>0</v>
      </c>
      <c r="BD10" s="197">
        <f t="shared" si="13"/>
        <v>0</v>
      </c>
      <c r="BE10" s="197">
        <f t="shared" si="14"/>
        <v>0</v>
      </c>
      <c r="BF10" s="197">
        <f t="shared" si="15"/>
        <v>0</v>
      </c>
      <c r="BG10" s="197">
        <f t="shared" si="16"/>
        <v>0</v>
      </c>
      <c r="BH10" s="197">
        <f t="shared" si="17"/>
        <v>0</v>
      </c>
      <c r="BI10" s="197">
        <f t="shared" si="18"/>
        <v>0</v>
      </c>
      <c r="BJ10" s="197">
        <f t="shared" si="19"/>
        <v>0</v>
      </c>
      <c r="BK10" s="197">
        <f t="shared" si="20"/>
        <v>0</v>
      </c>
      <c r="BL10" s="197">
        <f t="shared" si="21"/>
        <v>0</v>
      </c>
      <c r="BM10" s="197">
        <f t="shared" si="22"/>
        <v>0</v>
      </c>
      <c r="BN10" s="197">
        <f t="shared" si="23"/>
        <v>0</v>
      </c>
      <c r="BO10" s="197">
        <f t="shared" si="24"/>
        <v>0</v>
      </c>
      <c r="BP10" s="197">
        <f t="shared" si="25"/>
        <v>0</v>
      </c>
      <c r="BQ10" s="197">
        <f t="shared" si="26"/>
        <v>0</v>
      </c>
      <c r="BR10" s="211"/>
      <c r="BS10" s="195">
        <f t="shared" si="0"/>
        <v>0</v>
      </c>
      <c r="BT10" s="201">
        <f t="shared" si="1"/>
        <v>0</v>
      </c>
      <c r="BU10" s="201">
        <f>第6期!AQ112*0.5</f>
        <v>0</v>
      </c>
      <c r="BV10" s="205" t="e">
        <f>AVERAGE(BT35:CI35)*初始化表!B$31</f>
        <v>#DIV/0!</v>
      </c>
      <c r="BW10" s="205" t="e">
        <f>$BT10*(AL112-BW$25)/BW$26*初始化表!B$30</f>
        <v>#DIV/0!</v>
      </c>
      <c r="BX10" s="205" t="e">
        <f>$BT10*(AM112-BX$25)/BX$26*初始化表!B$33</f>
        <v>#DIV/0!</v>
      </c>
      <c r="BY10" s="205" t="e">
        <f>$BT10*(AN112-BY$25)/BY$26*初始化表!B$32</f>
        <v>#DIV/0!</v>
      </c>
      <c r="BZ10" s="205" t="e">
        <f>$BT10*(AP112-BZ$25)/BZ$26*初始化表!B$34</f>
        <v>#DIV/0!</v>
      </c>
      <c r="CA10" s="205" t="e">
        <f>$BT$5*(AW112-CA$25)/CA$26*初始化表!B$36</f>
        <v>#DIV/0!</v>
      </c>
      <c r="CB10" s="205" t="e">
        <f t="shared" si="4"/>
        <v>#DIV/0!</v>
      </c>
      <c r="CC10" s="201">
        <f t="shared" si="5"/>
        <v>0</v>
      </c>
      <c r="CD10" s="229" t="e">
        <f t="shared" si="6"/>
        <v>#DIV/0!</v>
      </c>
      <c r="CE10" s="229">
        <f t="shared" si="7"/>
        <v>0</v>
      </c>
      <c r="CF10" s="229">
        <f t="shared" si="8"/>
        <v>0</v>
      </c>
      <c r="CG10" s="226"/>
      <c r="CH10" s="226"/>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c r="DP10" s="228"/>
    </row>
    <row r="11" s="61" customFormat="1" ht="16" customHeight="1" spans="1:120">
      <c r="A11" s="269" t="s">
        <v>282</v>
      </c>
      <c r="B11" s="269" t="s">
        <v>513</v>
      </c>
      <c r="C11" s="269" t="s">
        <v>514</v>
      </c>
      <c r="D11" s="269" t="s">
        <v>515</v>
      </c>
      <c r="E11" s="269" t="s">
        <v>516</v>
      </c>
      <c r="F11" s="271" t="e">
        <f>F77</f>
        <v>#DIV/0!</v>
      </c>
      <c r="G11" s="73"/>
      <c r="H11" s="269" t="s">
        <v>532</v>
      </c>
      <c r="I11" s="270"/>
      <c r="J11" s="270"/>
      <c r="K11" s="270"/>
      <c r="L11" s="270"/>
      <c r="M11" s="85"/>
      <c r="N11" s="68" t="s">
        <v>202</v>
      </c>
      <c r="O11" s="89">
        <f t="shared" si="29"/>
        <v>0</v>
      </c>
      <c r="P11" s="89"/>
      <c r="Q11" s="89"/>
      <c r="R11" s="89"/>
      <c r="S11" s="124">
        <v>0</v>
      </c>
      <c r="T11" s="125">
        <f t="shared" si="30"/>
        <v>0</v>
      </c>
      <c r="U11" s="286" t="s">
        <v>464</v>
      </c>
      <c r="V11" s="115">
        <f>第6期!AO9</f>
        <v>0</v>
      </c>
      <c r="W11" s="115">
        <f>第6期!AO10</f>
        <v>0</v>
      </c>
      <c r="X11" s="115">
        <f>第6期!AO11</f>
        <v>0</v>
      </c>
      <c r="Y11" s="115">
        <f>第6期!AO12</f>
        <v>0</v>
      </c>
      <c r="Z11" s="74"/>
      <c r="AA11" s="73"/>
      <c r="AB11" s="151" t="s">
        <v>198</v>
      </c>
      <c r="AC11" s="153" t="e">
        <f t="shared" ref="AC11:AF14" si="31">B6-AD5</f>
        <v>#DIV/0!</v>
      </c>
      <c r="AD11" s="153" t="e">
        <f t="shared" si="31"/>
        <v>#DIV/0!</v>
      </c>
      <c r="AE11" s="153" t="e">
        <f t="shared" si="31"/>
        <v>#DIV/0!</v>
      </c>
      <c r="AF11" s="153" t="e">
        <f t="shared" si="31"/>
        <v>#DIV/0!</v>
      </c>
      <c r="AG11" s="306" t="str">
        <f>IF(AJ24="","未粘报表",IF(AND(V85=AQ9,W85=AQ10,X85=AQ11,Y85=AQ12,V86=AQ13,W86=AQ14,X86=AQ15,Y86=AQ16,V87=AQ17,W87=AQ18,X87=AQ19,Y87=AQ20,V88=AQ21,W88=AQ22,X88=AQ23,Y88=AQ24),"正确","错误"))</f>
        <v>未粘报表</v>
      </c>
      <c r="AH11" s="170" t="str">
        <f>IF(AJ24="","未粘报表",IF(INT(VLOOKUP(初期!$G$52,$AI$107:$AQ$126,7,0))=INT(F64),"现金正确","现金错误"))</f>
        <v>未粘报表</v>
      </c>
      <c r="AI11" s="300"/>
      <c r="AJ11" s="300"/>
      <c r="AK11" s="301"/>
      <c r="AL11" s="302">
        <f>X42</f>
        <v>0</v>
      </c>
      <c r="AM11" s="303"/>
      <c r="AN11" s="304"/>
      <c r="AO11" s="301"/>
      <c r="AP11" s="301"/>
      <c r="AQ11" s="315"/>
      <c r="AR11" s="103"/>
      <c r="AS11" s="103">
        <f t="shared" si="27"/>
        <v>0</v>
      </c>
      <c r="AT11" s="103"/>
      <c r="AU11" s="103"/>
      <c r="AV11" s="103"/>
      <c r="AW11" s="103"/>
      <c r="AZ11" s="63"/>
      <c r="BA11" s="319">
        <f t="shared" si="10"/>
        <v>0</v>
      </c>
      <c r="BB11" s="197">
        <f t="shared" si="11"/>
        <v>0</v>
      </c>
      <c r="BC11" s="197">
        <f t="shared" si="12"/>
        <v>0</v>
      </c>
      <c r="BD11" s="197">
        <f t="shared" si="13"/>
        <v>0</v>
      </c>
      <c r="BE11" s="197">
        <f t="shared" si="14"/>
        <v>0</v>
      </c>
      <c r="BF11" s="197">
        <f t="shared" si="15"/>
        <v>0</v>
      </c>
      <c r="BG11" s="197">
        <f t="shared" si="16"/>
        <v>0</v>
      </c>
      <c r="BH11" s="197">
        <f t="shared" si="17"/>
        <v>0</v>
      </c>
      <c r="BI11" s="197">
        <f t="shared" si="18"/>
        <v>0</v>
      </c>
      <c r="BJ11" s="197">
        <f t="shared" si="19"/>
        <v>0</v>
      </c>
      <c r="BK11" s="197">
        <f t="shared" si="20"/>
        <v>0</v>
      </c>
      <c r="BL11" s="197">
        <f t="shared" si="21"/>
        <v>0</v>
      </c>
      <c r="BM11" s="197">
        <f t="shared" si="22"/>
        <v>0</v>
      </c>
      <c r="BN11" s="197">
        <f t="shared" si="23"/>
        <v>0</v>
      </c>
      <c r="BO11" s="197">
        <f t="shared" si="24"/>
        <v>0</v>
      </c>
      <c r="BP11" s="197">
        <f t="shared" si="25"/>
        <v>0</v>
      </c>
      <c r="BQ11" s="197">
        <f t="shared" si="26"/>
        <v>0</v>
      </c>
      <c r="BR11" s="211"/>
      <c r="BS11" s="195">
        <f t="shared" si="0"/>
        <v>0</v>
      </c>
      <c r="BT11" s="201">
        <f t="shared" si="1"/>
        <v>0</v>
      </c>
      <c r="BU11" s="201">
        <f>第6期!AQ113*0.5</f>
        <v>0</v>
      </c>
      <c r="BV11" s="205" t="e">
        <f>AVERAGE(BT36:CI36)*初始化表!B$31</f>
        <v>#DIV/0!</v>
      </c>
      <c r="BW11" s="205" t="e">
        <f>$BT11*(AL113-BW$25)/BW$26*初始化表!B$30</f>
        <v>#DIV/0!</v>
      </c>
      <c r="BX11" s="205" t="e">
        <f>$BT11*(AM113-BX$25)/BX$26*初始化表!B$33</f>
        <v>#DIV/0!</v>
      </c>
      <c r="BY11" s="205" t="e">
        <f>$BT11*(AN113-BY$25)/BY$26*初始化表!B$32</f>
        <v>#DIV/0!</v>
      </c>
      <c r="BZ11" s="205" t="e">
        <f>$BT11*(AP113-BZ$25)/BZ$26*初始化表!B$34</f>
        <v>#DIV/0!</v>
      </c>
      <c r="CA11" s="205" t="e">
        <f>$BT$5*(AW113-CA$25)/CA$26*初始化表!B$36</f>
        <v>#DIV/0!</v>
      </c>
      <c r="CB11" s="205" t="e">
        <f t="shared" si="4"/>
        <v>#DIV/0!</v>
      </c>
      <c r="CC11" s="201">
        <f t="shared" si="5"/>
        <v>0</v>
      </c>
      <c r="CD11" s="229" t="e">
        <f t="shared" si="6"/>
        <v>#DIV/0!</v>
      </c>
      <c r="CE11" s="229">
        <f t="shared" si="7"/>
        <v>0</v>
      </c>
      <c r="CF11" s="229">
        <f t="shared" si="8"/>
        <v>0</v>
      </c>
      <c r="CG11" s="226"/>
      <c r="CH11" s="226"/>
      <c r="CI11" s="227"/>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row>
    <row r="12" s="61" customFormat="1" ht="16" customHeight="1" spans="1:120">
      <c r="A12" s="269" t="s">
        <v>521</v>
      </c>
      <c r="B12" s="71">
        <f>I63</f>
        <v>0</v>
      </c>
      <c r="C12" s="71">
        <f t="shared" ref="C12:E15" si="32">J63</f>
        <v>0</v>
      </c>
      <c r="D12" s="71">
        <f t="shared" si="32"/>
        <v>0</v>
      </c>
      <c r="E12" s="71">
        <f t="shared" si="32"/>
        <v>0</v>
      </c>
      <c r="F12" s="269" t="s">
        <v>292</v>
      </c>
      <c r="G12" s="73"/>
      <c r="H12" s="269" t="s">
        <v>533</v>
      </c>
      <c r="I12" s="269" t="s">
        <v>521</v>
      </c>
      <c r="J12" s="269" t="s">
        <v>522</v>
      </c>
      <c r="K12" s="269" t="s">
        <v>523</v>
      </c>
      <c r="L12" s="269" t="s">
        <v>524</v>
      </c>
      <c r="M12" s="85"/>
      <c r="N12" s="68" t="s">
        <v>206</v>
      </c>
      <c r="O12" s="89">
        <f t="shared" si="29"/>
        <v>0</v>
      </c>
      <c r="P12" s="89"/>
      <c r="Q12" s="89"/>
      <c r="R12" s="89"/>
      <c r="S12" s="124">
        <v>0</v>
      </c>
      <c r="T12" s="125">
        <f t="shared" si="30"/>
        <v>0</v>
      </c>
      <c r="U12" s="286" t="s">
        <v>465</v>
      </c>
      <c r="V12" s="115">
        <f>第6期!AO13</f>
        <v>0</v>
      </c>
      <c r="W12" s="115">
        <f>第6期!AO14</f>
        <v>0</v>
      </c>
      <c r="X12" s="115">
        <f>第6期!AO15</f>
        <v>0</v>
      </c>
      <c r="Y12" s="115">
        <f>第6期!AO16</f>
        <v>0</v>
      </c>
      <c r="Z12" s="74"/>
      <c r="AA12" s="73"/>
      <c r="AB12" s="151" t="s">
        <v>202</v>
      </c>
      <c r="AC12" s="153" t="e">
        <f t="shared" si="31"/>
        <v>#DIV/0!</v>
      </c>
      <c r="AD12" s="153" t="e">
        <f t="shared" si="31"/>
        <v>#DIV/0!</v>
      </c>
      <c r="AE12" s="153" t="e">
        <f t="shared" si="31"/>
        <v>#DIV/0!</v>
      </c>
      <c r="AF12" s="153" t="e">
        <f t="shared" si="31"/>
        <v>#DIV/0!</v>
      </c>
      <c r="AG12" s="305" t="s">
        <v>534</v>
      </c>
      <c r="AH12" s="168" t="s">
        <v>535</v>
      </c>
      <c r="AI12" s="300"/>
      <c r="AJ12" s="300"/>
      <c r="AK12" s="301"/>
      <c r="AL12" s="302">
        <f>Y42</f>
        <v>0</v>
      </c>
      <c r="AM12" s="303"/>
      <c r="AN12" s="304"/>
      <c r="AO12" s="301"/>
      <c r="AP12" s="301"/>
      <c r="AQ12" s="315"/>
      <c r="AR12" s="103">
        <f>SUM(AL9:AL12)</f>
        <v>0</v>
      </c>
      <c r="AS12" s="103">
        <f t="shared" si="27"/>
        <v>0</v>
      </c>
      <c r="AT12" s="103">
        <f>SUMIF(AS9:AS12,"&gt;=0",AS9:AS12)</f>
        <v>0</v>
      </c>
      <c r="AU12" s="103">
        <f>SUM(AO9:AO12)</f>
        <v>0</v>
      </c>
      <c r="AV12" s="103">
        <f>SUM(AP9:AP12)</f>
        <v>0</v>
      </c>
      <c r="AW12" s="103">
        <f>SUM(AQ9:AQ12)</f>
        <v>0</v>
      </c>
      <c r="AZ12" s="63"/>
      <c r="BA12" s="319">
        <f t="shared" si="10"/>
        <v>0</v>
      </c>
      <c r="BB12" s="197">
        <f t="shared" si="11"/>
        <v>0</v>
      </c>
      <c r="BC12" s="197">
        <f t="shared" si="12"/>
        <v>0</v>
      </c>
      <c r="BD12" s="197">
        <f t="shared" si="13"/>
        <v>0</v>
      </c>
      <c r="BE12" s="197">
        <f t="shared" si="14"/>
        <v>0</v>
      </c>
      <c r="BF12" s="197">
        <f t="shared" si="15"/>
        <v>0</v>
      </c>
      <c r="BG12" s="197">
        <f t="shared" si="16"/>
        <v>0</v>
      </c>
      <c r="BH12" s="197">
        <f t="shared" si="17"/>
        <v>0</v>
      </c>
      <c r="BI12" s="197">
        <f t="shared" si="18"/>
        <v>0</v>
      </c>
      <c r="BJ12" s="197">
        <f t="shared" si="19"/>
        <v>0</v>
      </c>
      <c r="BK12" s="197">
        <f t="shared" si="20"/>
        <v>0</v>
      </c>
      <c r="BL12" s="197">
        <f t="shared" si="21"/>
        <v>0</v>
      </c>
      <c r="BM12" s="197">
        <f t="shared" si="22"/>
        <v>0</v>
      </c>
      <c r="BN12" s="197">
        <f t="shared" si="23"/>
        <v>0</v>
      </c>
      <c r="BO12" s="197">
        <f t="shared" si="24"/>
        <v>0</v>
      </c>
      <c r="BP12" s="197">
        <f t="shared" si="25"/>
        <v>0</v>
      </c>
      <c r="BQ12" s="197">
        <f t="shared" si="26"/>
        <v>0</v>
      </c>
      <c r="BR12" s="211"/>
      <c r="BS12" s="195">
        <f t="shared" si="0"/>
        <v>0</v>
      </c>
      <c r="BT12" s="201">
        <f t="shared" si="1"/>
        <v>0</v>
      </c>
      <c r="BU12" s="201">
        <f>第6期!AQ114*0.5</f>
        <v>0</v>
      </c>
      <c r="BV12" s="205" t="e">
        <f>AVERAGE(BT37:CI37)*初始化表!B$31</f>
        <v>#DIV/0!</v>
      </c>
      <c r="BW12" s="205" t="e">
        <f>$BT12*(AL114-BW$25)/BW$26*初始化表!B$30</f>
        <v>#DIV/0!</v>
      </c>
      <c r="BX12" s="205" t="e">
        <f>$BT12*(AM114-BX$25)/BX$26*初始化表!B$33</f>
        <v>#DIV/0!</v>
      </c>
      <c r="BY12" s="205" t="e">
        <f>$BT12*(AN114-BY$25)/BY$26*初始化表!B$32</f>
        <v>#DIV/0!</v>
      </c>
      <c r="BZ12" s="205" t="e">
        <f>$BT12*(AP114-BZ$25)/BZ$26*初始化表!B$34</f>
        <v>#DIV/0!</v>
      </c>
      <c r="CA12" s="205" t="e">
        <f>$BT$5*(AW114-CA$25)/CA$26*初始化表!B$36</f>
        <v>#DIV/0!</v>
      </c>
      <c r="CB12" s="205" t="e">
        <f t="shared" si="4"/>
        <v>#DIV/0!</v>
      </c>
      <c r="CC12" s="201">
        <f t="shared" si="5"/>
        <v>0</v>
      </c>
      <c r="CD12" s="229" t="e">
        <f t="shared" si="6"/>
        <v>#DIV/0!</v>
      </c>
      <c r="CE12" s="229">
        <f t="shared" si="7"/>
        <v>0</v>
      </c>
      <c r="CF12" s="229">
        <f t="shared" si="8"/>
        <v>0</v>
      </c>
      <c r="CG12" s="226"/>
      <c r="CH12" s="226"/>
      <c r="CI12" s="231"/>
      <c r="CJ12" s="231"/>
      <c r="CK12" s="231"/>
      <c r="CL12" s="231"/>
      <c r="CM12" s="231"/>
      <c r="CN12" s="231"/>
      <c r="CO12" s="231"/>
      <c r="CP12" s="231"/>
      <c r="CQ12" s="231"/>
      <c r="CR12" s="231"/>
      <c r="CS12" s="231"/>
      <c r="CT12" s="231"/>
      <c r="CU12" s="231"/>
      <c r="CV12" s="231"/>
      <c r="CW12" s="231"/>
      <c r="CX12" s="231"/>
      <c r="CY12" s="231"/>
      <c r="CZ12" s="228"/>
      <c r="DA12" s="228"/>
      <c r="DB12" s="228"/>
      <c r="DC12" s="228"/>
      <c r="DD12" s="228"/>
      <c r="DE12" s="228"/>
      <c r="DF12" s="228"/>
      <c r="DG12" s="228"/>
      <c r="DH12" s="228"/>
      <c r="DI12" s="228"/>
      <c r="DJ12" s="228"/>
      <c r="DK12" s="228"/>
      <c r="DL12" s="228"/>
      <c r="DM12" s="228"/>
      <c r="DN12" s="228"/>
      <c r="DO12" s="228"/>
      <c r="DP12" s="228"/>
    </row>
    <row r="13" s="61" customFormat="1" ht="16" customHeight="1" spans="1:120">
      <c r="A13" s="269" t="s">
        <v>522</v>
      </c>
      <c r="B13" s="71">
        <f t="shared" ref="B13:B15" si="33">I64</f>
        <v>0</v>
      </c>
      <c r="C13" s="71">
        <f t="shared" si="32"/>
        <v>0</v>
      </c>
      <c r="D13" s="71">
        <f t="shared" si="32"/>
        <v>0</v>
      </c>
      <c r="E13" s="71">
        <f t="shared" si="32"/>
        <v>0</v>
      </c>
      <c r="F13" s="272" t="e">
        <f>E60</f>
        <v>#DIV/0!</v>
      </c>
      <c r="G13" s="73"/>
      <c r="H13" s="269" t="s">
        <v>536</v>
      </c>
      <c r="I13" s="90"/>
      <c r="J13" s="90"/>
      <c r="K13" s="90"/>
      <c r="L13" s="90"/>
      <c r="M13" s="85"/>
      <c r="N13" s="68" t="s">
        <v>208</v>
      </c>
      <c r="O13" s="89">
        <f t="shared" si="29"/>
        <v>0</v>
      </c>
      <c r="P13" s="89"/>
      <c r="Q13" s="89"/>
      <c r="R13" s="89"/>
      <c r="S13" s="124">
        <v>0</v>
      </c>
      <c r="T13" s="125">
        <f t="shared" si="30"/>
        <v>0</v>
      </c>
      <c r="U13" s="286" t="s">
        <v>466</v>
      </c>
      <c r="V13" s="115">
        <f>第6期!AO17</f>
        <v>0</v>
      </c>
      <c r="W13" s="115">
        <f>第6期!AO18</f>
        <v>0</v>
      </c>
      <c r="X13" s="115">
        <f>第6期!AO19</f>
        <v>0</v>
      </c>
      <c r="Y13" s="115">
        <f>第6期!AO20</f>
        <v>0</v>
      </c>
      <c r="Z13" s="74"/>
      <c r="AA13" s="73"/>
      <c r="AB13" s="151" t="s">
        <v>206</v>
      </c>
      <c r="AC13" s="153" t="e">
        <f t="shared" si="31"/>
        <v>#DIV/0!</v>
      </c>
      <c r="AD13" s="153" t="e">
        <f t="shared" si="31"/>
        <v>#DIV/0!</v>
      </c>
      <c r="AE13" s="153" t="e">
        <f t="shared" si="31"/>
        <v>#DIV/0!</v>
      </c>
      <c r="AF13" s="153" t="e">
        <f t="shared" si="31"/>
        <v>#DIV/0!</v>
      </c>
      <c r="AG13" s="306" t="str">
        <f>IF(AJ24="","未粘报表",IF(INT(VLOOKUP(初期!$G$52,$AI$107:$AQ$126,3,0))=INT($E$60),"成本正确","成本错误"))</f>
        <v>未粘报表</v>
      </c>
      <c r="AH13" s="170" t="str">
        <f>IF(AJ24="","未粘报表",IF(INT(VLOOKUP(初期!$G$52,$AI$107:$AQ$126,6,0))=INT($F$81),"分红正确","分红错误"))</f>
        <v>未粘报表</v>
      </c>
      <c r="AI13" s="300"/>
      <c r="AJ13" s="300"/>
      <c r="AK13" s="301"/>
      <c r="AL13" s="301">
        <f>V43</f>
        <v>0</v>
      </c>
      <c r="AM13" s="303"/>
      <c r="AN13" s="304"/>
      <c r="AO13" s="301"/>
      <c r="AP13" s="301"/>
      <c r="AQ13" s="315"/>
      <c r="AR13" s="103"/>
      <c r="AS13" s="103">
        <f t="shared" si="27"/>
        <v>0</v>
      </c>
      <c r="AT13" s="103"/>
      <c r="AU13" s="103"/>
      <c r="AV13" s="103"/>
      <c r="AW13" s="103"/>
      <c r="AZ13" s="63"/>
      <c r="BA13" s="319">
        <f t="shared" si="10"/>
        <v>0</v>
      </c>
      <c r="BB13" s="197">
        <f t="shared" si="11"/>
        <v>0</v>
      </c>
      <c r="BC13" s="197">
        <f t="shared" si="12"/>
        <v>0</v>
      </c>
      <c r="BD13" s="197">
        <f t="shared" si="13"/>
        <v>0</v>
      </c>
      <c r="BE13" s="197">
        <f t="shared" si="14"/>
        <v>0</v>
      </c>
      <c r="BF13" s="197">
        <f t="shared" si="15"/>
        <v>0</v>
      </c>
      <c r="BG13" s="197">
        <f t="shared" si="16"/>
        <v>0</v>
      </c>
      <c r="BH13" s="197">
        <f t="shared" si="17"/>
        <v>0</v>
      </c>
      <c r="BI13" s="197">
        <f t="shared" si="18"/>
        <v>0</v>
      </c>
      <c r="BJ13" s="197">
        <f t="shared" si="19"/>
        <v>0</v>
      </c>
      <c r="BK13" s="197">
        <f t="shared" si="20"/>
        <v>0</v>
      </c>
      <c r="BL13" s="197">
        <f t="shared" si="21"/>
        <v>0</v>
      </c>
      <c r="BM13" s="197">
        <f t="shared" si="22"/>
        <v>0</v>
      </c>
      <c r="BN13" s="197">
        <f t="shared" si="23"/>
        <v>0</v>
      </c>
      <c r="BO13" s="197">
        <f t="shared" si="24"/>
        <v>0</v>
      </c>
      <c r="BP13" s="197">
        <f t="shared" si="25"/>
        <v>0</v>
      </c>
      <c r="BQ13" s="197">
        <f t="shared" si="26"/>
        <v>0</v>
      </c>
      <c r="BR13" s="211"/>
      <c r="BS13" s="195">
        <f t="shared" si="0"/>
        <v>0</v>
      </c>
      <c r="BT13" s="201">
        <f t="shared" si="1"/>
        <v>0</v>
      </c>
      <c r="BU13" s="201">
        <f>第6期!AQ115*0.5</f>
        <v>0</v>
      </c>
      <c r="BV13" s="205" t="e">
        <f>AVERAGE(BT38:CI38)*初始化表!B$31</f>
        <v>#DIV/0!</v>
      </c>
      <c r="BW13" s="205" t="e">
        <f>$BT13*(AL115-BW$25)/BW$26*初始化表!B$30</f>
        <v>#DIV/0!</v>
      </c>
      <c r="BX13" s="205" t="e">
        <f>$BT13*(AM115-BX$25)/BX$26*初始化表!B$33</f>
        <v>#DIV/0!</v>
      </c>
      <c r="BY13" s="205" t="e">
        <f>$BT13*(AN115-BY$25)/BY$26*初始化表!B$32</f>
        <v>#DIV/0!</v>
      </c>
      <c r="BZ13" s="205" t="e">
        <f>$BT13*(AP115-BZ$25)/BZ$26*初始化表!B$34</f>
        <v>#DIV/0!</v>
      </c>
      <c r="CA13" s="205" t="e">
        <f>$BT$5*(AW115-CA$25)/CA$26*初始化表!B$36</f>
        <v>#DIV/0!</v>
      </c>
      <c r="CB13" s="205" t="e">
        <f t="shared" si="4"/>
        <v>#DIV/0!</v>
      </c>
      <c r="CC13" s="201">
        <f t="shared" si="5"/>
        <v>0</v>
      </c>
      <c r="CD13" s="229" t="e">
        <f t="shared" si="6"/>
        <v>#DIV/0!</v>
      </c>
      <c r="CE13" s="229">
        <f t="shared" si="7"/>
        <v>0</v>
      </c>
      <c r="CF13" s="229">
        <f t="shared" si="8"/>
        <v>0</v>
      </c>
      <c r="CG13" s="226"/>
      <c r="CH13" s="226"/>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row>
    <row r="14" s="61" customFormat="1" ht="16" customHeight="1" spans="1:120">
      <c r="A14" s="269" t="s">
        <v>523</v>
      </c>
      <c r="B14" s="71">
        <f t="shared" si="33"/>
        <v>0</v>
      </c>
      <c r="C14" s="71">
        <f t="shared" si="32"/>
        <v>0</v>
      </c>
      <c r="D14" s="71">
        <f t="shared" si="32"/>
        <v>0</v>
      </c>
      <c r="E14" s="71">
        <f t="shared" si="32"/>
        <v>0</v>
      </c>
      <c r="F14" s="269" t="s">
        <v>296</v>
      </c>
      <c r="G14" s="73"/>
      <c r="H14" s="269" t="s">
        <v>537</v>
      </c>
      <c r="I14" s="87" t="e">
        <f>2*(I13*初始化表!E18+J13*初始化表!F18+K13*初始化表!G18+初始化表!H18/初始化表!H17*(L13*初始化表!H17-1/5*(I13*初始化表!E17+J13*初始化表!F17+K13*初始化表!G17+L13*初始化表!H17)))/((I13*初始化表!E17+J13*初始化表!F17+K13*初始化表!G17+L13*初始化表!H17)*4/5)</f>
        <v>#DIV/0!</v>
      </c>
      <c r="J14" s="269" t="s">
        <v>538</v>
      </c>
      <c r="K14" s="269" t="s">
        <v>539</v>
      </c>
      <c r="L14" s="269" t="s">
        <v>540</v>
      </c>
      <c r="M14" s="85"/>
      <c r="N14" s="68" t="s">
        <v>541</v>
      </c>
      <c r="O14" s="68" t="s">
        <v>459</v>
      </c>
      <c r="P14" s="68" t="s">
        <v>460</v>
      </c>
      <c r="Q14" s="68" t="s">
        <v>461</v>
      </c>
      <c r="R14" s="68" t="s">
        <v>462</v>
      </c>
      <c r="S14" s="121"/>
      <c r="T14" s="120"/>
      <c r="U14" s="68" t="s">
        <v>468</v>
      </c>
      <c r="V14" s="115">
        <f>第6期!AO21</f>
        <v>0</v>
      </c>
      <c r="W14" s="115">
        <f>第6期!AO22</f>
        <v>0</v>
      </c>
      <c r="X14" s="115">
        <f>第6期!AO23</f>
        <v>0</v>
      </c>
      <c r="Y14" s="115">
        <f>第6期!AO24</f>
        <v>0</v>
      </c>
      <c r="Z14" s="74"/>
      <c r="AA14" s="73"/>
      <c r="AB14" s="151" t="s">
        <v>208</v>
      </c>
      <c r="AC14" s="153" t="e">
        <f t="shared" si="31"/>
        <v>#DIV/0!</v>
      </c>
      <c r="AD14" s="153" t="e">
        <f t="shared" si="31"/>
        <v>#DIV/0!</v>
      </c>
      <c r="AE14" s="153" t="e">
        <f t="shared" si="31"/>
        <v>#DIV/0!</v>
      </c>
      <c r="AF14" s="153" t="e">
        <f t="shared" si="31"/>
        <v>#DIV/0!</v>
      </c>
      <c r="AG14" s="74"/>
      <c r="AH14" s="307"/>
      <c r="AI14" s="300"/>
      <c r="AJ14" s="300"/>
      <c r="AK14" s="301"/>
      <c r="AL14" s="301">
        <f>W43</f>
        <v>0</v>
      </c>
      <c r="AM14" s="303"/>
      <c r="AN14" s="304"/>
      <c r="AO14" s="301"/>
      <c r="AP14" s="301"/>
      <c r="AQ14" s="315"/>
      <c r="AR14" s="103"/>
      <c r="AS14" s="103">
        <f t="shared" si="27"/>
        <v>0</v>
      </c>
      <c r="AT14" s="103"/>
      <c r="AU14" s="103"/>
      <c r="AV14" s="103"/>
      <c r="AW14" s="103"/>
      <c r="AZ14" s="63"/>
      <c r="BA14" s="319">
        <f t="shared" si="10"/>
        <v>0</v>
      </c>
      <c r="BB14" s="197">
        <f t="shared" si="11"/>
        <v>0</v>
      </c>
      <c r="BC14" s="197">
        <f t="shared" si="12"/>
        <v>0</v>
      </c>
      <c r="BD14" s="197">
        <f t="shared" si="13"/>
        <v>0</v>
      </c>
      <c r="BE14" s="197">
        <f t="shared" si="14"/>
        <v>0</v>
      </c>
      <c r="BF14" s="197">
        <f t="shared" si="15"/>
        <v>0</v>
      </c>
      <c r="BG14" s="197">
        <f t="shared" si="16"/>
        <v>0</v>
      </c>
      <c r="BH14" s="197">
        <f t="shared" si="17"/>
        <v>0</v>
      </c>
      <c r="BI14" s="197">
        <f t="shared" si="18"/>
        <v>0</v>
      </c>
      <c r="BJ14" s="197">
        <f t="shared" si="19"/>
        <v>0</v>
      </c>
      <c r="BK14" s="197">
        <f t="shared" si="20"/>
        <v>0</v>
      </c>
      <c r="BL14" s="197">
        <f t="shared" si="21"/>
        <v>0</v>
      </c>
      <c r="BM14" s="197">
        <f t="shared" si="22"/>
        <v>0</v>
      </c>
      <c r="BN14" s="197">
        <f t="shared" si="23"/>
        <v>0</v>
      </c>
      <c r="BO14" s="197">
        <f t="shared" si="24"/>
        <v>0</v>
      </c>
      <c r="BP14" s="197">
        <f t="shared" si="25"/>
        <v>0</v>
      </c>
      <c r="BQ14" s="197">
        <f t="shared" si="26"/>
        <v>0</v>
      </c>
      <c r="BR14" s="211"/>
      <c r="BS14" s="195">
        <f t="shared" si="0"/>
        <v>0</v>
      </c>
      <c r="BT14" s="201">
        <f t="shared" si="1"/>
        <v>0</v>
      </c>
      <c r="BU14" s="201">
        <f>第6期!AQ116*0.5</f>
        <v>0</v>
      </c>
      <c r="BV14" s="205" t="e">
        <f>AVERAGE(BT39:CI39)*初始化表!B$31</f>
        <v>#DIV/0!</v>
      </c>
      <c r="BW14" s="205" t="e">
        <f>$BT14*(AL116-BW$25)/BW$26*初始化表!B$30</f>
        <v>#DIV/0!</v>
      </c>
      <c r="BX14" s="205" t="e">
        <f>$BT14*(AM116-BX$25)/BX$26*初始化表!B$33</f>
        <v>#DIV/0!</v>
      </c>
      <c r="BY14" s="205" t="e">
        <f>$BT14*(AN116-BY$25)/BY$26*初始化表!B$32</f>
        <v>#DIV/0!</v>
      </c>
      <c r="BZ14" s="205" t="e">
        <f>$BT14*(AP116-BZ$25)/BZ$26*初始化表!B$34</f>
        <v>#DIV/0!</v>
      </c>
      <c r="CA14" s="205" t="e">
        <f>$BT$5*(AW116-CA$25)/CA$26*初始化表!B$36</f>
        <v>#DIV/0!</v>
      </c>
      <c r="CB14" s="205" t="e">
        <f t="shared" si="4"/>
        <v>#DIV/0!</v>
      </c>
      <c r="CC14" s="201">
        <f t="shared" si="5"/>
        <v>0</v>
      </c>
      <c r="CD14" s="229" t="e">
        <f t="shared" si="6"/>
        <v>#DIV/0!</v>
      </c>
      <c r="CE14" s="229">
        <f t="shared" si="7"/>
        <v>0</v>
      </c>
      <c r="CF14" s="229">
        <f t="shared" si="8"/>
        <v>0</v>
      </c>
      <c r="CG14" s="226"/>
      <c r="CH14" s="226"/>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c r="DP14" s="228"/>
    </row>
    <row r="15" s="61" customFormat="1" ht="16" customHeight="1" spans="1:120">
      <c r="A15" s="269" t="s">
        <v>524</v>
      </c>
      <c r="B15" s="71">
        <f t="shared" si="33"/>
        <v>0</v>
      </c>
      <c r="C15" s="71">
        <f t="shared" si="32"/>
        <v>0</v>
      </c>
      <c r="D15" s="71">
        <f t="shared" si="32"/>
        <v>0</v>
      </c>
      <c r="E15" s="71">
        <f t="shared" si="32"/>
        <v>0</v>
      </c>
      <c r="F15" s="272" t="e">
        <f>F64</f>
        <v>#DIV/0!</v>
      </c>
      <c r="G15" s="73"/>
      <c r="H15" s="269" t="s">
        <v>542</v>
      </c>
      <c r="I15" s="87" t="e">
        <f>第6期!H17/第6期!N49</f>
        <v>#DIV/0!</v>
      </c>
      <c r="J15" s="87" t="e">
        <f>N49*I14-H17</f>
        <v>#DIV/0!</v>
      </c>
      <c r="K15" s="87" t="e">
        <f>N49*I15-H17</f>
        <v>#DIV/0!</v>
      </c>
      <c r="L15" s="77" t="e">
        <f>C22+I15*(O49-N49)</f>
        <v>#DIV/0!</v>
      </c>
      <c r="M15" s="85"/>
      <c r="N15" s="68" t="s">
        <v>198</v>
      </c>
      <c r="O15" s="71" t="e">
        <f t="shared" ref="O15:R16" si="34">INT((1+O10+IF(V42&gt;V17,(V17-V42)/V17/15,(V17-V42)/V17/10))*V23)</f>
        <v>#DIV/0!</v>
      </c>
      <c r="P15" s="71" t="e">
        <f t="shared" si="34"/>
        <v>#DIV/0!</v>
      </c>
      <c r="Q15" s="71" t="e">
        <f t="shared" si="34"/>
        <v>#DIV/0!</v>
      </c>
      <c r="R15" s="71" t="e">
        <f t="shared" si="34"/>
        <v>#DIV/0!</v>
      </c>
      <c r="S15" s="126"/>
      <c r="T15" s="120"/>
      <c r="U15" s="123"/>
      <c r="V15" s="74"/>
      <c r="W15" s="74"/>
      <c r="X15" s="74"/>
      <c r="Y15" s="74"/>
      <c r="Z15" s="74"/>
      <c r="AA15" s="73"/>
      <c r="AB15" s="155"/>
      <c r="AC15" s="155"/>
      <c r="AD15" s="155"/>
      <c r="AE15" s="155"/>
      <c r="AF15" s="155"/>
      <c r="AG15" s="155"/>
      <c r="AH15" s="73"/>
      <c r="AI15" s="300"/>
      <c r="AJ15" s="300"/>
      <c r="AK15" s="301"/>
      <c r="AL15" s="301">
        <f>X43</f>
        <v>0</v>
      </c>
      <c r="AM15" s="303"/>
      <c r="AN15" s="304"/>
      <c r="AO15" s="301"/>
      <c r="AP15" s="301"/>
      <c r="AQ15" s="315"/>
      <c r="AR15" s="103"/>
      <c r="AS15" s="103">
        <f t="shared" si="27"/>
        <v>0</v>
      </c>
      <c r="AT15" s="103"/>
      <c r="AU15" s="103"/>
      <c r="AV15" s="103"/>
      <c r="AW15" s="103"/>
      <c r="AZ15" s="63"/>
      <c r="BA15" s="319">
        <f t="shared" si="10"/>
        <v>0</v>
      </c>
      <c r="BB15" s="197">
        <f t="shared" si="11"/>
        <v>0</v>
      </c>
      <c r="BC15" s="197">
        <f t="shared" si="12"/>
        <v>0</v>
      </c>
      <c r="BD15" s="197">
        <f t="shared" si="13"/>
        <v>0</v>
      </c>
      <c r="BE15" s="197">
        <f t="shared" si="14"/>
        <v>0</v>
      </c>
      <c r="BF15" s="197">
        <f t="shared" si="15"/>
        <v>0</v>
      </c>
      <c r="BG15" s="197">
        <f t="shared" si="16"/>
        <v>0</v>
      </c>
      <c r="BH15" s="197">
        <f t="shared" si="17"/>
        <v>0</v>
      </c>
      <c r="BI15" s="197">
        <f t="shared" si="18"/>
        <v>0</v>
      </c>
      <c r="BJ15" s="197">
        <f t="shared" si="19"/>
        <v>0</v>
      </c>
      <c r="BK15" s="197">
        <f t="shared" si="20"/>
        <v>0</v>
      </c>
      <c r="BL15" s="197">
        <f t="shared" si="21"/>
        <v>0</v>
      </c>
      <c r="BM15" s="197">
        <f t="shared" si="22"/>
        <v>0</v>
      </c>
      <c r="BN15" s="197">
        <f t="shared" si="23"/>
        <v>0</v>
      </c>
      <c r="BO15" s="197">
        <f t="shared" si="24"/>
        <v>0</v>
      </c>
      <c r="BP15" s="197">
        <f t="shared" si="25"/>
        <v>0</v>
      </c>
      <c r="BQ15" s="197">
        <f t="shared" si="26"/>
        <v>0</v>
      </c>
      <c r="BR15" s="211"/>
      <c r="BS15" s="195">
        <f t="shared" si="0"/>
        <v>0</v>
      </c>
      <c r="BT15" s="201">
        <f t="shared" si="1"/>
        <v>0</v>
      </c>
      <c r="BU15" s="201">
        <f>第6期!AQ117*0.5</f>
        <v>0</v>
      </c>
      <c r="BV15" s="205" t="e">
        <f>AVERAGE(BT40:CI40)*初始化表!B$31</f>
        <v>#DIV/0!</v>
      </c>
      <c r="BW15" s="205" t="e">
        <f>$BT15*(AL117-BW$25)/BW$26*初始化表!B$30</f>
        <v>#DIV/0!</v>
      </c>
      <c r="BX15" s="205" t="e">
        <f>$BT15*(AM117-BX$25)/BX$26*初始化表!B$33</f>
        <v>#DIV/0!</v>
      </c>
      <c r="BY15" s="205" t="e">
        <f>$BT15*(AN117-BY$25)/BY$26*初始化表!B$32</f>
        <v>#DIV/0!</v>
      </c>
      <c r="BZ15" s="205" t="e">
        <f>$BT15*(AP117-BZ$25)/BZ$26*初始化表!B$34</f>
        <v>#DIV/0!</v>
      </c>
      <c r="CA15" s="205" t="e">
        <f>$BT$5*(AW117-CA$25)/CA$26*初始化表!B$36</f>
        <v>#DIV/0!</v>
      </c>
      <c r="CB15" s="205" t="e">
        <f t="shared" si="4"/>
        <v>#DIV/0!</v>
      </c>
      <c r="CC15" s="201">
        <f t="shared" si="5"/>
        <v>0</v>
      </c>
      <c r="CD15" s="229" t="e">
        <f t="shared" si="6"/>
        <v>#DIV/0!</v>
      </c>
      <c r="CE15" s="229">
        <f t="shared" si="7"/>
        <v>0</v>
      </c>
      <c r="CF15" s="229">
        <f t="shared" si="8"/>
        <v>0</v>
      </c>
      <c r="CG15" s="226"/>
      <c r="CH15" s="226"/>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c r="DP15" s="228"/>
    </row>
    <row r="16" s="61" customFormat="1" ht="16" customHeight="1" spans="1:120">
      <c r="A16" s="269" t="s">
        <v>298</v>
      </c>
      <c r="B16" s="269" t="s">
        <v>103</v>
      </c>
      <c r="C16" s="269" t="s">
        <v>299</v>
      </c>
      <c r="D16" s="269" t="s">
        <v>104</v>
      </c>
      <c r="E16" s="269" t="s">
        <v>300</v>
      </c>
      <c r="F16" s="269" t="s">
        <v>110</v>
      </c>
      <c r="G16" s="73"/>
      <c r="H16" s="269" t="s">
        <v>543</v>
      </c>
      <c r="I16" s="269" t="s">
        <v>544</v>
      </c>
      <c r="J16" s="269" t="s">
        <v>545</v>
      </c>
      <c r="K16" s="269" t="s">
        <v>546</v>
      </c>
      <c r="L16" s="269" t="s">
        <v>547</v>
      </c>
      <c r="M16" s="85"/>
      <c r="N16" s="68" t="s">
        <v>202</v>
      </c>
      <c r="O16" s="71" t="e">
        <f t="shared" si="34"/>
        <v>#DIV/0!</v>
      </c>
      <c r="P16" s="71" t="e">
        <f t="shared" si="34"/>
        <v>#DIV/0!</v>
      </c>
      <c r="Q16" s="71" t="e">
        <f t="shared" si="34"/>
        <v>#DIV/0!</v>
      </c>
      <c r="R16" s="71" t="e">
        <f t="shared" si="34"/>
        <v>#DIV/0!</v>
      </c>
      <c r="S16" s="126"/>
      <c r="T16" s="120"/>
      <c r="U16" s="68" t="s">
        <v>548</v>
      </c>
      <c r="V16" s="68" t="s">
        <v>459</v>
      </c>
      <c r="W16" s="68" t="s">
        <v>460</v>
      </c>
      <c r="X16" s="68" t="s">
        <v>461</v>
      </c>
      <c r="Y16" s="68" t="s">
        <v>462</v>
      </c>
      <c r="Z16" s="68" t="s">
        <v>549</v>
      </c>
      <c r="AA16" s="73"/>
      <c r="AB16" s="151" t="s">
        <v>550</v>
      </c>
      <c r="AC16" s="151" t="s">
        <v>459</v>
      </c>
      <c r="AD16" s="151" t="s">
        <v>460</v>
      </c>
      <c r="AE16" s="151" t="s">
        <v>461</v>
      </c>
      <c r="AF16" s="151" t="s">
        <v>462</v>
      </c>
      <c r="AG16" s="74"/>
      <c r="AH16" s="73"/>
      <c r="AI16" s="300"/>
      <c r="AJ16" s="300"/>
      <c r="AK16" s="301"/>
      <c r="AL16" s="301">
        <f>Y43</f>
        <v>0</v>
      </c>
      <c r="AM16" s="303"/>
      <c r="AN16" s="304"/>
      <c r="AO16" s="301"/>
      <c r="AP16" s="301"/>
      <c r="AQ16" s="315"/>
      <c r="AR16" s="103">
        <f>SUM(AL13:AL16)</f>
        <v>0</v>
      </c>
      <c r="AS16" s="103">
        <f t="shared" si="27"/>
        <v>0</v>
      </c>
      <c r="AT16" s="103">
        <f>SUMIF(AS13:AS16,"&gt;=0",AS13:AS16)</f>
        <v>0</v>
      </c>
      <c r="AU16" s="103">
        <f>SUM(AO13:AO16)</f>
        <v>0</v>
      </c>
      <c r="AV16" s="103">
        <f>SUM(AP13:AP16)</f>
        <v>0</v>
      </c>
      <c r="AW16" s="103">
        <f>SUM(AQ13:AQ16)</f>
        <v>0</v>
      </c>
      <c r="AZ16" s="63"/>
      <c r="BA16" s="319">
        <f t="shared" si="10"/>
        <v>0</v>
      </c>
      <c r="BB16" s="197">
        <f t="shared" si="11"/>
        <v>0</v>
      </c>
      <c r="BC16" s="197">
        <f t="shared" si="12"/>
        <v>0</v>
      </c>
      <c r="BD16" s="197">
        <f t="shared" si="13"/>
        <v>0</v>
      </c>
      <c r="BE16" s="197">
        <f t="shared" si="14"/>
        <v>0</v>
      </c>
      <c r="BF16" s="197">
        <f t="shared" si="15"/>
        <v>0</v>
      </c>
      <c r="BG16" s="197">
        <f t="shared" si="16"/>
        <v>0</v>
      </c>
      <c r="BH16" s="197">
        <f t="shared" si="17"/>
        <v>0</v>
      </c>
      <c r="BI16" s="197">
        <f t="shared" si="18"/>
        <v>0</v>
      </c>
      <c r="BJ16" s="197">
        <f t="shared" si="19"/>
        <v>0</v>
      </c>
      <c r="BK16" s="197">
        <f t="shared" si="20"/>
        <v>0</v>
      </c>
      <c r="BL16" s="197">
        <f t="shared" si="21"/>
        <v>0</v>
      </c>
      <c r="BM16" s="197">
        <f t="shared" si="22"/>
        <v>0</v>
      </c>
      <c r="BN16" s="197">
        <f t="shared" si="23"/>
        <v>0</v>
      </c>
      <c r="BO16" s="197">
        <f t="shared" si="24"/>
        <v>0</v>
      </c>
      <c r="BP16" s="197">
        <f t="shared" si="25"/>
        <v>0</v>
      </c>
      <c r="BQ16" s="197">
        <f t="shared" si="26"/>
        <v>0</v>
      </c>
      <c r="BR16" s="211"/>
      <c r="BS16" s="195">
        <f t="shared" si="0"/>
        <v>0</v>
      </c>
      <c r="BT16" s="201">
        <f t="shared" si="1"/>
        <v>0</v>
      </c>
      <c r="BU16" s="201">
        <f>第6期!AQ118*0.5</f>
        <v>0</v>
      </c>
      <c r="BV16" s="205" t="e">
        <f>AVERAGE(BT41:CI41)*初始化表!B$31</f>
        <v>#DIV/0!</v>
      </c>
      <c r="BW16" s="205" t="e">
        <f>$BT16*(AL118-BW$25)/BW$26*初始化表!B$30</f>
        <v>#DIV/0!</v>
      </c>
      <c r="BX16" s="205" t="e">
        <f>$BT16*(AM118-BX$25)/BX$26*初始化表!B$33</f>
        <v>#DIV/0!</v>
      </c>
      <c r="BY16" s="205" t="e">
        <f>$BT16*(AN118-BY$25)/BY$26*初始化表!B$32</f>
        <v>#DIV/0!</v>
      </c>
      <c r="BZ16" s="205" t="e">
        <f>$BT16*(AP118-BZ$25)/BZ$26*初始化表!B$34</f>
        <v>#DIV/0!</v>
      </c>
      <c r="CA16" s="205" t="e">
        <f>$BT$5*(AW118-CA$25)/CA$26*初始化表!B$36</f>
        <v>#DIV/0!</v>
      </c>
      <c r="CB16" s="205" t="e">
        <f t="shared" si="4"/>
        <v>#DIV/0!</v>
      </c>
      <c r="CC16" s="201">
        <f t="shared" si="5"/>
        <v>0</v>
      </c>
      <c r="CD16" s="229" t="e">
        <f t="shared" si="6"/>
        <v>#DIV/0!</v>
      </c>
      <c r="CE16" s="229">
        <f t="shared" si="7"/>
        <v>0</v>
      </c>
      <c r="CF16" s="229">
        <f t="shared" si="8"/>
        <v>0</v>
      </c>
      <c r="CG16" s="226"/>
      <c r="CH16" s="226"/>
      <c r="CI16" s="227"/>
      <c r="CJ16" s="228"/>
      <c r="CK16" s="228"/>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row>
    <row r="17" s="61" customFormat="1" ht="16" customHeight="1" spans="1:120">
      <c r="A17" s="269" t="s">
        <v>521</v>
      </c>
      <c r="B17" s="71">
        <f>I25</f>
        <v>0</v>
      </c>
      <c r="C17" s="71">
        <f t="shared" ref="C17:E20" si="35">J25</f>
        <v>0</v>
      </c>
      <c r="D17" s="71">
        <f t="shared" si="35"/>
        <v>0</v>
      </c>
      <c r="E17" s="71">
        <f t="shared" si="35"/>
        <v>0</v>
      </c>
      <c r="F17" s="72">
        <f>J6</f>
        <v>0</v>
      </c>
      <c r="G17" s="73"/>
      <c r="H17" s="77">
        <f>第6期!F68</f>
        <v>0</v>
      </c>
      <c r="I17" s="77">
        <f>INT(0.5*H17)</f>
        <v>0</v>
      </c>
      <c r="J17" s="77">
        <f>IF(初始化表!B1=1,INT(3%*H17),INT(3%*H17+0.99))</f>
        <v>0</v>
      </c>
      <c r="K17" s="77">
        <f>INT(0.1*H17)</f>
        <v>0</v>
      </c>
      <c r="L17" s="77">
        <f>H17+B22-C22</f>
        <v>0</v>
      </c>
      <c r="M17" s="85"/>
      <c r="N17" s="68" t="s">
        <v>206</v>
      </c>
      <c r="O17" s="71" t="e">
        <f t="shared" ref="O17:R18" si="36">INT((1+O12+IF(V44&gt;V19,(V19-V44)/V19/20,(V19-V44)/V19/8))*V25)</f>
        <v>#DIV/0!</v>
      </c>
      <c r="P17" s="71" t="e">
        <f t="shared" si="36"/>
        <v>#DIV/0!</v>
      </c>
      <c r="Q17" s="71" t="e">
        <f t="shared" si="36"/>
        <v>#DIV/0!</v>
      </c>
      <c r="R17" s="71" t="e">
        <f t="shared" si="36"/>
        <v>#DIV/0!</v>
      </c>
      <c r="S17" s="126"/>
      <c r="T17" s="120"/>
      <c r="U17" s="68" t="s">
        <v>464</v>
      </c>
      <c r="V17" s="115">
        <f>第6期!AL9</f>
        <v>0</v>
      </c>
      <c r="W17" s="115">
        <f>第6期!AL10</f>
        <v>0</v>
      </c>
      <c r="X17" s="115">
        <f>第6期!AL11</f>
        <v>0</v>
      </c>
      <c r="Y17" s="115">
        <f>第6期!AL12</f>
        <v>0</v>
      </c>
      <c r="Z17" s="115">
        <f>SUM(V17:Y17)</f>
        <v>0</v>
      </c>
      <c r="AA17" s="73"/>
      <c r="AB17" s="151" t="s">
        <v>198</v>
      </c>
      <c r="AC17" s="156" t="e">
        <f>AC11/初始化表!$E$18</f>
        <v>#DIV/0!</v>
      </c>
      <c r="AD17" s="156" t="e">
        <f>AD11/初始化表!$E$18</f>
        <v>#DIV/0!</v>
      </c>
      <c r="AE17" s="156" t="e">
        <f>AE11/初始化表!$E$18</f>
        <v>#DIV/0!</v>
      </c>
      <c r="AF17" s="156" t="e">
        <f>AF11/初始化表!$E$18</f>
        <v>#DIV/0!</v>
      </c>
      <c r="AG17" s="74"/>
      <c r="AH17" s="73"/>
      <c r="AI17" s="300"/>
      <c r="AJ17" s="300"/>
      <c r="AK17" s="301"/>
      <c r="AL17" s="301">
        <f>V44</f>
        <v>0</v>
      </c>
      <c r="AM17" s="303"/>
      <c r="AN17" s="304"/>
      <c r="AO17" s="301"/>
      <c r="AP17" s="301"/>
      <c r="AQ17" s="315"/>
      <c r="AR17" s="103"/>
      <c r="AS17" s="103">
        <f t="shared" si="27"/>
        <v>0</v>
      </c>
      <c r="AT17" s="103"/>
      <c r="AU17" s="103"/>
      <c r="AV17" s="103"/>
      <c r="AW17" s="103"/>
      <c r="AZ17" s="63"/>
      <c r="BA17" s="319">
        <f t="shared" si="10"/>
        <v>0</v>
      </c>
      <c r="BB17" s="197">
        <f t="shared" si="11"/>
        <v>0</v>
      </c>
      <c r="BC17" s="197">
        <f t="shared" si="12"/>
        <v>0</v>
      </c>
      <c r="BD17" s="197">
        <f t="shared" si="13"/>
        <v>0</v>
      </c>
      <c r="BE17" s="197">
        <f t="shared" si="14"/>
        <v>0</v>
      </c>
      <c r="BF17" s="197">
        <f t="shared" si="15"/>
        <v>0</v>
      </c>
      <c r="BG17" s="197">
        <f t="shared" si="16"/>
        <v>0</v>
      </c>
      <c r="BH17" s="197">
        <f t="shared" si="17"/>
        <v>0</v>
      </c>
      <c r="BI17" s="197">
        <f t="shared" si="18"/>
        <v>0</v>
      </c>
      <c r="BJ17" s="197">
        <f t="shared" si="19"/>
        <v>0</v>
      </c>
      <c r="BK17" s="197">
        <f t="shared" si="20"/>
        <v>0</v>
      </c>
      <c r="BL17" s="197">
        <f t="shared" si="21"/>
        <v>0</v>
      </c>
      <c r="BM17" s="197">
        <f t="shared" si="22"/>
        <v>0</v>
      </c>
      <c r="BN17" s="197">
        <f t="shared" si="23"/>
        <v>0</v>
      </c>
      <c r="BO17" s="197">
        <f t="shared" si="24"/>
        <v>0</v>
      </c>
      <c r="BP17" s="197">
        <f t="shared" si="25"/>
        <v>0</v>
      </c>
      <c r="BQ17" s="197">
        <f t="shared" si="26"/>
        <v>0</v>
      </c>
      <c r="BR17" s="211"/>
      <c r="BS17" s="195">
        <f t="shared" si="0"/>
        <v>0</v>
      </c>
      <c r="BT17" s="201">
        <f t="shared" si="1"/>
        <v>0</v>
      </c>
      <c r="BU17" s="201">
        <f>第6期!AQ119*0.5</f>
        <v>0</v>
      </c>
      <c r="BV17" s="205" t="e">
        <f>AVERAGE(BT42:CI42)*初始化表!B$31</f>
        <v>#DIV/0!</v>
      </c>
      <c r="BW17" s="205" t="e">
        <f>$BT17*(AL119-BW$25)/BW$26*初始化表!B$30</f>
        <v>#DIV/0!</v>
      </c>
      <c r="BX17" s="205" t="e">
        <f>$BT17*(AM119-BX$25)/BX$26*初始化表!B$33</f>
        <v>#DIV/0!</v>
      </c>
      <c r="BY17" s="205" t="e">
        <f>$BT17*(AN119-BY$25)/BY$26*初始化表!B$32</f>
        <v>#DIV/0!</v>
      </c>
      <c r="BZ17" s="205" t="e">
        <f>$BT17*(AP119-BZ$25)/BZ$26*初始化表!B$34</f>
        <v>#DIV/0!</v>
      </c>
      <c r="CA17" s="205" t="e">
        <f>$BT$5*(AW119-CA$25)/CA$26*初始化表!B$36</f>
        <v>#DIV/0!</v>
      </c>
      <c r="CB17" s="205" t="e">
        <f t="shared" si="4"/>
        <v>#DIV/0!</v>
      </c>
      <c r="CC17" s="201">
        <f t="shared" si="5"/>
        <v>0</v>
      </c>
      <c r="CD17" s="229" t="e">
        <f t="shared" si="6"/>
        <v>#DIV/0!</v>
      </c>
      <c r="CE17" s="229">
        <f t="shared" si="7"/>
        <v>0</v>
      </c>
      <c r="CF17" s="229">
        <f t="shared" si="8"/>
        <v>0</v>
      </c>
      <c r="CG17" s="226"/>
      <c r="CH17" s="226"/>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c r="DP17" s="228"/>
    </row>
    <row r="18" s="61" customFormat="1" ht="16" customHeight="1" spans="1:120">
      <c r="A18" s="269" t="s">
        <v>522</v>
      </c>
      <c r="B18" s="71">
        <f t="shared" ref="B18:B20" si="37">I26</f>
        <v>0</v>
      </c>
      <c r="C18" s="71">
        <f t="shared" si="35"/>
        <v>0</v>
      </c>
      <c r="D18" s="71">
        <f t="shared" si="35"/>
        <v>0</v>
      </c>
      <c r="E18" s="71">
        <f t="shared" si="35"/>
        <v>0</v>
      </c>
      <c r="F18" s="72">
        <f t="shared" ref="F18:F20" si="38">J7</f>
        <v>0</v>
      </c>
      <c r="G18" s="73"/>
      <c r="H18" s="269" t="s">
        <v>551</v>
      </c>
      <c r="I18" s="277"/>
      <c r="J18" s="269" t="s">
        <v>552</v>
      </c>
      <c r="K18" s="90">
        <f>J17</f>
        <v>0</v>
      </c>
      <c r="L18" s="90"/>
      <c r="M18" s="85"/>
      <c r="N18" s="68" t="s">
        <v>208</v>
      </c>
      <c r="O18" s="71" t="e">
        <f t="shared" si="36"/>
        <v>#DIV/0!</v>
      </c>
      <c r="P18" s="71" t="e">
        <f t="shared" si="36"/>
        <v>#DIV/0!</v>
      </c>
      <c r="Q18" s="71" t="e">
        <f t="shared" si="36"/>
        <v>#DIV/0!</v>
      </c>
      <c r="R18" s="71" t="e">
        <f t="shared" si="36"/>
        <v>#DIV/0!</v>
      </c>
      <c r="S18" s="126"/>
      <c r="T18" s="287" t="s">
        <v>716</v>
      </c>
      <c r="U18" s="286" t="s">
        <v>465</v>
      </c>
      <c r="V18" s="115">
        <f>第6期!AL13</f>
        <v>0</v>
      </c>
      <c r="W18" s="115">
        <f>第6期!AL14</f>
        <v>0</v>
      </c>
      <c r="X18" s="115">
        <f>第6期!AL15</f>
        <v>0</v>
      </c>
      <c r="Y18" s="115">
        <f>第6期!AL16</f>
        <v>0</v>
      </c>
      <c r="Z18" s="115">
        <f>SUM(V18:Y18)</f>
        <v>0</v>
      </c>
      <c r="AA18" s="73"/>
      <c r="AB18" s="151" t="s">
        <v>202</v>
      </c>
      <c r="AC18" s="156" t="e">
        <f>AC12/初始化表!$F$18</f>
        <v>#DIV/0!</v>
      </c>
      <c r="AD18" s="156" t="e">
        <f>AD12/初始化表!$F$18</f>
        <v>#DIV/0!</v>
      </c>
      <c r="AE18" s="156" t="e">
        <f>AE12/初始化表!$F$18</f>
        <v>#DIV/0!</v>
      </c>
      <c r="AF18" s="156" t="e">
        <f>AF12/初始化表!$F$18</f>
        <v>#DIV/0!</v>
      </c>
      <c r="AG18" s="74"/>
      <c r="AH18" s="73"/>
      <c r="AI18" s="300"/>
      <c r="AJ18" s="300"/>
      <c r="AK18" s="301"/>
      <c r="AL18" s="301">
        <f>W44</f>
        <v>0</v>
      </c>
      <c r="AM18" s="303"/>
      <c r="AN18" s="304"/>
      <c r="AO18" s="301"/>
      <c r="AP18" s="301"/>
      <c r="AQ18" s="315"/>
      <c r="AR18" s="103"/>
      <c r="AS18" s="103">
        <f t="shared" si="27"/>
        <v>0</v>
      </c>
      <c r="AT18" s="103"/>
      <c r="AU18" s="103"/>
      <c r="AV18" s="103"/>
      <c r="AW18" s="103"/>
      <c r="AZ18" s="63"/>
      <c r="BA18" s="319">
        <f t="shared" si="10"/>
        <v>0</v>
      </c>
      <c r="BB18" s="197">
        <f t="shared" si="11"/>
        <v>0</v>
      </c>
      <c r="BC18" s="197">
        <f t="shared" si="12"/>
        <v>0</v>
      </c>
      <c r="BD18" s="197">
        <f t="shared" si="13"/>
        <v>0</v>
      </c>
      <c r="BE18" s="197">
        <f t="shared" si="14"/>
        <v>0</v>
      </c>
      <c r="BF18" s="197">
        <f t="shared" si="15"/>
        <v>0</v>
      </c>
      <c r="BG18" s="197">
        <f t="shared" si="16"/>
        <v>0</v>
      </c>
      <c r="BH18" s="197">
        <f t="shared" si="17"/>
        <v>0</v>
      </c>
      <c r="BI18" s="197">
        <f t="shared" si="18"/>
        <v>0</v>
      </c>
      <c r="BJ18" s="197">
        <f t="shared" si="19"/>
        <v>0</v>
      </c>
      <c r="BK18" s="197">
        <f t="shared" si="20"/>
        <v>0</v>
      </c>
      <c r="BL18" s="197">
        <f t="shared" si="21"/>
        <v>0</v>
      </c>
      <c r="BM18" s="197">
        <f t="shared" si="22"/>
        <v>0</v>
      </c>
      <c r="BN18" s="197">
        <f t="shared" si="23"/>
        <v>0</v>
      </c>
      <c r="BO18" s="197">
        <f t="shared" si="24"/>
        <v>0</v>
      </c>
      <c r="BP18" s="197">
        <f t="shared" si="25"/>
        <v>0</v>
      </c>
      <c r="BQ18" s="197">
        <f t="shared" si="26"/>
        <v>0</v>
      </c>
      <c r="BR18" s="211"/>
      <c r="BS18" s="195">
        <f t="shared" si="0"/>
        <v>0</v>
      </c>
      <c r="BT18" s="201">
        <f t="shared" si="1"/>
        <v>0</v>
      </c>
      <c r="BU18" s="201">
        <f>第6期!AQ120*0.5</f>
        <v>0</v>
      </c>
      <c r="BV18" s="205" t="e">
        <f>AVERAGE(BT43:CI43)*初始化表!B$31</f>
        <v>#DIV/0!</v>
      </c>
      <c r="BW18" s="205" t="e">
        <f>$BT18*(AL120-BW$25)/BW$26*初始化表!B$30</f>
        <v>#DIV/0!</v>
      </c>
      <c r="BX18" s="205" t="e">
        <f>$BT18*(AM120-BX$25)/BX$26*初始化表!B$33</f>
        <v>#DIV/0!</v>
      </c>
      <c r="BY18" s="205" t="e">
        <f>$BT18*(AN120-BY$25)/BY$26*初始化表!B$32</f>
        <v>#DIV/0!</v>
      </c>
      <c r="BZ18" s="205" t="e">
        <f>$BT18*(AP120-BZ$25)/BZ$26*初始化表!B$34</f>
        <v>#DIV/0!</v>
      </c>
      <c r="CA18" s="205" t="e">
        <f>$BT$5*(AW120-CA$25)/CA$26*初始化表!B$36</f>
        <v>#DIV/0!</v>
      </c>
      <c r="CB18" s="205" t="e">
        <f t="shared" si="4"/>
        <v>#DIV/0!</v>
      </c>
      <c r="CC18" s="201">
        <f t="shared" si="5"/>
        <v>0</v>
      </c>
      <c r="CD18" s="229" t="e">
        <f t="shared" si="6"/>
        <v>#DIV/0!</v>
      </c>
      <c r="CE18" s="229">
        <f t="shared" si="7"/>
        <v>0</v>
      </c>
      <c r="CF18" s="229">
        <f t="shared" si="8"/>
        <v>0</v>
      </c>
      <c r="CG18" s="226"/>
      <c r="CH18" s="226"/>
      <c r="CI18" s="227"/>
      <c r="CJ18" s="228"/>
      <c r="CK18" s="228"/>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c r="DP18" s="228"/>
    </row>
    <row r="19" s="61" customFormat="1" ht="16" customHeight="1" spans="1:120">
      <c r="A19" s="269" t="s">
        <v>523</v>
      </c>
      <c r="B19" s="71">
        <f t="shared" si="37"/>
        <v>0</v>
      </c>
      <c r="C19" s="71">
        <f t="shared" si="35"/>
        <v>0</v>
      </c>
      <c r="D19" s="71">
        <f t="shared" si="35"/>
        <v>0</v>
      </c>
      <c r="E19" s="71">
        <f t="shared" si="35"/>
        <v>0</v>
      </c>
      <c r="F19" s="72">
        <f t="shared" si="38"/>
        <v>0</v>
      </c>
      <c r="G19" s="73"/>
      <c r="H19" s="270"/>
      <c r="I19" s="269" t="s">
        <v>554</v>
      </c>
      <c r="J19" s="269" t="s">
        <v>555</v>
      </c>
      <c r="K19" s="269" t="s">
        <v>556</v>
      </c>
      <c r="L19" s="158"/>
      <c r="M19" s="85"/>
      <c r="N19" s="68" t="s">
        <v>557</v>
      </c>
      <c r="O19" s="68" t="s">
        <v>459</v>
      </c>
      <c r="P19" s="68" t="s">
        <v>460</v>
      </c>
      <c r="Q19" s="68" t="s">
        <v>461</v>
      </c>
      <c r="R19" s="68" t="s">
        <v>462</v>
      </c>
      <c r="S19" s="121"/>
      <c r="T19" s="287"/>
      <c r="U19" s="286" t="s">
        <v>466</v>
      </c>
      <c r="V19" s="115">
        <f>第6期!AL17</f>
        <v>0</v>
      </c>
      <c r="W19" s="115">
        <f>第6期!AL18</f>
        <v>0</v>
      </c>
      <c r="X19" s="115">
        <f>第6期!AL19</f>
        <v>0</v>
      </c>
      <c r="Y19" s="115">
        <f>第6期!AL20</f>
        <v>0</v>
      </c>
      <c r="Z19" s="115">
        <f>SUM(V19:Y19)</f>
        <v>0</v>
      </c>
      <c r="AA19" s="73"/>
      <c r="AB19" s="151" t="s">
        <v>206</v>
      </c>
      <c r="AC19" s="156" t="e">
        <f>AC13/初始化表!$G$18</f>
        <v>#DIV/0!</v>
      </c>
      <c r="AD19" s="156" t="e">
        <f>AD13/初始化表!$G$18</f>
        <v>#DIV/0!</v>
      </c>
      <c r="AE19" s="156" t="e">
        <f>AE13/初始化表!$G$18</f>
        <v>#DIV/0!</v>
      </c>
      <c r="AF19" s="156" t="e">
        <f>AF13/初始化表!$G$18</f>
        <v>#DIV/0!</v>
      </c>
      <c r="AG19" s="74"/>
      <c r="AH19" s="73"/>
      <c r="AI19" s="300"/>
      <c r="AJ19" s="300"/>
      <c r="AK19" s="301"/>
      <c r="AL19" s="301">
        <f>X44</f>
        <v>0</v>
      </c>
      <c r="AM19" s="303"/>
      <c r="AN19" s="304"/>
      <c r="AO19" s="301"/>
      <c r="AP19" s="301"/>
      <c r="AQ19" s="315"/>
      <c r="AR19" s="103"/>
      <c r="AS19" s="103">
        <f t="shared" si="27"/>
        <v>0</v>
      </c>
      <c r="AT19" s="103"/>
      <c r="AU19" s="103"/>
      <c r="AV19" s="103"/>
      <c r="AW19" s="103"/>
      <c r="AZ19" s="63"/>
      <c r="BA19" s="319">
        <f t="shared" si="10"/>
        <v>0</v>
      </c>
      <c r="BB19" s="197">
        <f t="shared" si="11"/>
        <v>0</v>
      </c>
      <c r="BC19" s="197">
        <f t="shared" si="12"/>
        <v>0</v>
      </c>
      <c r="BD19" s="197">
        <f t="shared" si="13"/>
        <v>0</v>
      </c>
      <c r="BE19" s="197">
        <f t="shared" si="14"/>
        <v>0</v>
      </c>
      <c r="BF19" s="197">
        <f t="shared" si="15"/>
        <v>0</v>
      </c>
      <c r="BG19" s="197">
        <f t="shared" si="16"/>
        <v>0</v>
      </c>
      <c r="BH19" s="197">
        <f t="shared" si="17"/>
        <v>0</v>
      </c>
      <c r="BI19" s="197">
        <f t="shared" si="18"/>
        <v>0</v>
      </c>
      <c r="BJ19" s="197">
        <f t="shared" si="19"/>
        <v>0</v>
      </c>
      <c r="BK19" s="197">
        <f t="shared" si="20"/>
        <v>0</v>
      </c>
      <c r="BL19" s="197">
        <f t="shared" si="21"/>
        <v>0</v>
      </c>
      <c r="BM19" s="197">
        <f t="shared" si="22"/>
        <v>0</v>
      </c>
      <c r="BN19" s="197">
        <f t="shared" si="23"/>
        <v>0</v>
      </c>
      <c r="BO19" s="197">
        <f t="shared" si="24"/>
        <v>0</v>
      </c>
      <c r="BP19" s="197">
        <f t="shared" si="25"/>
        <v>0</v>
      </c>
      <c r="BQ19" s="197">
        <f t="shared" si="26"/>
        <v>0</v>
      </c>
      <c r="BR19" s="211"/>
      <c r="BS19" s="195">
        <f t="shared" si="0"/>
        <v>0</v>
      </c>
      <c r="BT19" s="201">
        <f t="shared" si="1"/>
        <v>0</v>
      </c>
      <c r="BU19" s="201">
        <f>第6期!AQ121*0.5</f>
        <v>0</v>
      </c>
      <c r="BV19" s="205" t="e">
        <f>AVERAGE(BT44:CI44)*初始化表!B$31</f>
        <v>#DIV/0!</v>
      </c>
      <c r="BW19" s="205" t="e">
        <f>$BT19*(AL121-BW$25)/BW$26*初始化表!B$30</f>
        <v>#DIV/0!</v>
      </c>
      <c r="BX19" s="205" t="e">
        <f>$BT19*(AM121-BX$25)/BX$26*初始化表!B$33</f>
        <v>#DIV/0!</v>
      </c>
      <c r="BY19" s="205" t="e">
        <f>$BT19*(AN121-BY$25)/BY$26*初始化表!B$32</f>
        <v>#DIV/0!</v>
      </c>
      <c r="BZ19" s="205" t="e">
        <f>$BT19*(AP121-BZ$25)/BZ$26*初始化表!B$34</f>
        <v>#DIV/0!</v>
      </c>
      <c r="CA19" s="205" t="e">
        <f>$BT$5*(AW121-CA$25)/CA$26*初始化表!B$36</f>
        <v>#DIV/0!</v>
      </c>
      <c r="CB19" s="205" t="e">
        <f t="shared" si="4"/>
        <v>#DIV/0!</v>
      </c>
      <c r="CC19" s="201">
        <f t="shared" si="5"/>
        <v>0</v>
      </c>
      <c r="CD19" s="229" t="e">
        <f t="shared" si="6"/>
        <v>#DIV/0!</v>
      </c>
      <c r="CE19" s="229">
        <f t="shared" si="7"/>
        <v>0</v>
      </c>
      <c r="CF19" s="229">
        <f t="shared" si="8"/>
        <v>0</v>
      </c>
      <c r="CG19" s="226"/>
      <c r="CH19" s="226"/>
      <c r="CI19" s="228"/>
      <c r="CJ19" s="228"/>
      <c r="CK19" s="228"/>
      <c r="CL19" s="228"/>
      <c r="CM19" s="228"/>
      <c r="CN19" s="228"/>
      <c r="CO19" s="228"/>
      <c r="CP19" s="228"/>
      <c r="CQ19" s="228"/>
      <c r="CR19" s="228"/>
      <c r="CS19" s="228"/>
      <c r="CT19" s="228"/>
      <c r="CU19" s="228"/>
      <c r="CV19" s="228"/>
      <c r="CW19" s="228"/>
      <c r="CX19" s="228"/>
      <c r="CY19" s="228"/>
      <c r="CZ19" s="228"/>
      <c r="DA19" s="228"/>
      <c r="DB19" s="228"/>
      <c r="DC19" s="228"/>
      <c r="DD19" s="228"/>
      <c r="DE19" s="228"/>
      <c r="DF19" s="228"/>
      <c r="DG19" s="228"/>
      <c r="DH19" s="228"/>
      <c r="DI19" s="228"/>
      <c r="DJ19" s="228"/>
      <c r="DK19" s="228"/>
      <c r="DL19" s="228"/>
      <c r="DM19" s="228"/>
      <c r="DN19" s="228"/>
      <c r="DO19" s="228"/>
      <c r="DP19" s="228"/>
    </row>
    <row r="20" s="61" customFormat="1" ht="16" customHeight="1" spans="1:120">
      <c r="A20" s="269" t="s">
        <v>524</v>
      </c>
      <c r="B20" s="71">
        <f t="shared" si="37"/>
        <v>0</v>
      </c>
      <c r="C20" s="71">
        <f t="shared" si="35"/>
        <v>0</v>
      </c>
      <c r="D20" s="71">
        <f t="shared" si="35"/>
        <v>0</v>
      </c>
      <c r="E20" s="71">
        <f t="shared" si="35"/>
        <v>0</v>
      </c>
      <c r="F20" s="72">
        <f t="shared" si="38"/>
        <v>0</v>
      </c>
      <c r="G20" s="73"/>
      <c r="H20" s="273" t="s">
        <v>558</v>
      </c>
      <c r="I20" s="92" t="e">
        <f>(H17-K18)/N49</f>
        <v>#DIV/0!</v>
      </c>
      <c r="J20" s="92" t="e">
        <f>(H17-K18+I17/4)/N49</f>
        <v>#DIV/0!</v>
      </c>
      <c r="K20" s="92" t="e">
        <f>(H17-K18+I18/4)/N49</f>
        <v>#DIV/0!</v>
      </c>
      <c r="L20" s="158"/>
      <c r="M20" s="85"/>
      <c r="N20" s="68" t="s">
        <v>198</v>
      </c>
      <c r="O20" s="93" t="e">
        <f>O15</f>
        <v>#DIV/0!</v>
      </c>
      <c r="P20" s="93" t="e">
        <f t="shared" ref="P20:R20" si="39">P15</f>
        <v>#DIV/0!</v>
      </c>
      <c r="Q20" s="93" t="e">
        <f t="shared" si="39"/>
        <v>#DIV/0!</v>
      </c>
      <c r="R20" s="93" t="e">
        <f t="shared" si="39"/>
        <v>#DIV/0!</v>
      </c>
      <c r="S20" s="128"/>
      <c r="T20" s="288" t="e">
        <f>MAX(AC23,AD23,AE23,AF23)-MIN(AC23,AD23,AE23,AF23)</f>
        <v>#DIV/0!</v>
      </c>
      <c r="U20" s="286" t="s">
        <v>468</v>
      </c>
      <c r="V20" s="115">
        <f>第6期!AL21</f>
        <v>0</v>
      </c>
      <c r="W20" s="115">
        <f>第6期!AL22</f>
        <v>0</v>
      </c>
      <c r="X20" s="115">
        <f>第6期!AL23</f>
        <v>0</v>
      </c>
      <c r="Y20" s="115">
        <f>第6期!AL24</f>
        <v>0</v>
      </c>
      <c r="Z20" s="115">
        <f>SUM(V20:Y20)</f>
        <v>0</v>
      </c>
      <c r="AA20" s="73"/>
      <c r="AB20" s="151" t="s">
        <v>208</v>
      </c>
      <c r="AC20" s="156" t="e">
        <f>AC14/初始化表!$H$18</f>
        <v>#DIV/0!</v>
      </c>
      <c r="AD20" s="156" t="e">
        <f>AD14/初始化表!$H$18</f>
        <v>#DIV/0!</v>
      </c>
      <c r="AE20" s="156" t="e">
        <f>AE14/初始化表!$H$18</f>
        <v>#DIV/0!</v>
      </c>
      <c r="AF20" s="156" t="e">
        <f>AF14/初始化表!$H$18</f>
        <v>#DIV/0!</v>
      </c>
      <c r="AG20" s="74"/>
      <c r="AH20" s="73"/>
      <c r="AI20" s="300"/>
      <c r="AJ20" s="300"/>
      <c r="AK20" s="301"/>
      <c r="AL20" s="301">
        <f>Y44</f>
        <v>0</v>
      </c>
      <c r="AM20" s="303"/>
      <c r="AN20" s="304"/>
      <c r="AO20" s="301"/>
      <c r="AP20" s="301"/>
      <c r="AQ20" s="315"/>
      <c r="AR20" s="103">
        <f>SUM(AL17:AL20)</f>
        <v>0</v>
      </c>
      <c r="AS20" s="103">
        <f t="shared" si="27"/>
        <v>0</v>
      </c>
      <c r="AT20" s="103">
        <f>SUMIF(AS17:AS20,"&gt;=0",AS17:AS20)</f>
        <v>0</v>
      </c>
      <c r="AU20" s="103">
        <f>SUM(AO17:AO20)</f>
        <v>0</v>
      </c>
      <c r="AV20" s="103">
        <f>SUM(AP17:AP20)</f>
        <v>0</v>
      </c>
      <c r="AW20" s="103">
        <f>SUM(AQ17:AQ20)</f>
        <v>0</v>
      </c>
      <c r="AZ20" s="63"/>
      <c r="BA20" s="319">
        <f t="shared" si="10"/>
        <v>0</v>
      </c>
      <c r="BB20" s="197">
        <f t="shared" si="11"/>
        <v>0</v>
      </c>
      <c r="BC20" s="197">
        <f t="shared" si="12"/>
        <v>0</v>
      </c>
      <c r="BD20" s="197">
        <f t="shared" si="13"/>
        <v>0</v>
      </c>
      <c r="BE20" s="197">
        <f t="shared" si="14"/>
        <v>0</v>
      </c>
      <c r="BF20" s="197">
        <f t="shared" si="15"/>
        <v>0</v>
      </c>
      <c r="BG20" s="197">
        <f t="shared" si="16"/>
        <v>0</v>
      </c>
      <c r="BH20" s="197">
        <f t="shared" si="17"/>
        <v>0</v>
      </c>
      <c r="BI20" s="197">
        <f t="shared" si="18"/>
        <v>0</v>
      </c>
      <c r="BJ20" s="197">
        <f t="shared" si="19"/>
        <v>0</v>
      </c>
      <c r="BK20" s="197">
        <f t="shared" si="20"/>
        <v>0</v>
      </c>
      <c r="BL20" s="197">
        <f t="shared" si="21"/>
        <v>0</v>
      </c>
      <c r="BM20" s="197">
        <f t="shared" si="22"/>
        <v>0</v>
      </c>
      <c r="BN20" s="197">
        <f t="shared" si="23"/>
        <v>0</v>
      </c>
      <c r="BO20" s="197">
        <f t="shared" si="24"/>
        <v>0</v>
      </c>
      <c r="BP20" s="197">
        <f t="shared" si="25"/>
        <v>0</v>
      </c>
      <c r="BQ20" s="197">
        <f t="shared" si="26"/>
        <v>0</v>
      </c>
      <c r="BR20" s="211"/>
      <c r="BS20" s="195">
        <f t="shared" si="0"/>
        <v>0</v>
      </c>
      <c r="BT20" s="201">
        <f t="shared" si="1"/>
        <v>0</v>
      </c>
      <c r="BU20" s="201">
        <f>第6期!AQ122*0.5</f>
        <v>0</v>
      </c>
      <c r="BV20" s="205" t="e">
        <f>AVERAGE(BT45:CI45)*初始化表!B$31</f>
        <v>#DIV/0!</v>
      </c>
      <c r="BW20" s="205" t="e">
        <f>$BT20*(AL122-BW$25)/BW$26*初始化表!B$30</f>
        <v>#DIV/0!</v>
      </c>
      <c r="BX20" s="205" t="e">
        <f>$BT20*(AM122-BX$25)/BX$26*初始化表!B$33</f>
        <v>#DIV/0!</v>
      </c>
      <c r="BY20" s="205" t="e">
        <f>$BT20*(AN122-BY$25)/BY$26*初始化表!B$32</f>
        <v>#DIV/0!</v>
      </c>
      <c r="BZ20" s="205" t="e">
        <f>$BT20*(AP122-BZ$25)/BZ$26*初始化表!B$34</f>
        <v>#DIV/0!</v>
      </c>
      <c r="CA20" s="205" t="e">
        <f>$BT$5*(AW122-CA$25)/CA$26*初始化表!B$36</f>
        <v>#DIV/0!</v>
      </c>
      <c r="CB20" s="205" t="e">
        <f t="shared" si="4"/>
        <v>#DIV/0!</v>
      </c>
      <c r="CC20" s="201">
        <f t="shared" si="5"/>
        <v>0</v>
      </c>
      <c r="CD20" s="229" t="e">
        <f t="shared" si="6"/>
        <v>#DIV/0!</v>
      </c>
      <c r="CE20" s="229">
        <f t="shared" si="7"/>
        <v>0</v>
      </c>
      <c r="CF20" s="229">
        <f t="shared" si="8"/>
        <v>0</v>
      </c>
      <c r="CG20" s="226"/>
      <c r="CH20" s="226"/>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c r="DP20" s="228"/>
    </row>
    <row r="21" s="61" customFormat="1" ht="16" customHeight="1" spans="1:120">
      <c r="A21" s="269" t="s">
        <v>303</v>
      </c>
      <c r="B21" s="269" t="s">
        <v>304</v>
      </c>
      <c r="C21" s="269" t="s">
        <v>305</v>
      </c>
      <c r="D21" s="269" t="s">
        <v>306</v>
      </c>
      <c r="E21" s="269" t="s">
        <v>307</v>
      </c>
      <c r="F21" s="270"/>
      <c r="G21" s="73"/>
      <c r="H21" s="273" t="s">
        <v>559</v>
      </c>
      <c r="I21" s="92" t="e">
        <f>(L17-ROUND(L17*0.03,0))/O49</f>
        <v>#DIV/0!</v>
      </c>
      <c r="J21" s="92" t="e">
        <f>(L17-ROUND(L17*0.03,0)+ROUNDDOWN(L17/2,0)/4)/O49</f>
        <v>#DIV/0!</v>
      </c>
      <c r="K21" s="269" t="s">
        <v>235</v>
      </c>
      <c r="L21" s="94" t="e">
        <f>初始化表!I20</f>
        <v>#DIV/0!</v>
      </c>
      <c r="M21" s="85"/>
      <c r="N21" s="68" t="s">
        <v>202</v>
      </c>
      <c r="O21" s="93" t="e">
        <f t="shared" ref="O21:R23" si="40">O16</f>
        <v>#DIV/0!</v>
      </c>
      <c r="P21" s="93" t="e">
        <f t="shared" si="40"/>
        <v>#DIV/0!</v>
      </c>
      <c r="Q21" s="93" t="e">
        <f t="shared" si="40"/>
        <v>#DIV/0!</v>
      </c>
      <c r="R21" s="93" t="e">
        <f t="shared" si="40"/>
        <v>#DIV/0!</v>
      </c>
      <c r="S21" s="128"/>
      <c r="T21" s="288" t="e">
        <f t="shared" ref="T21:T23" si="41">MAX(AC24,AD24,AE24,AF24)-MIN(AC24,AD24,AE24,AF24)</f>
        <v>#DIV/0!</v>
      </c>
      <c r="U21" s="123"/>
      <c r="V21" s="74"/>
      <c r="W21" s="74"/>
      <c r="X21" s="74"/>
      <c r="Y21" s="74"/>
      <c r="Z21" s="74"/>
      <c r="AA21" s="73"/>
      <c r="AB21" s="155"/>
      <c r="AC21" s="155"/>
      <c r="AD21" s="155"/>
      <c r="AE21" s="155"/>
      <c r="AF21" s="155"/>
      <c r="AG21" s="155"/>
      <c r="AH21" s="73"/>
      <c r="AI21" s="300"/>
      <c r="AJ21" s="300"/>
      <c r="AK21" s="301"/>
      <c r="AL21" s="301">
        <f>V45</f>
        <v>0</v>
      </c>
      <c r="AM21" s="303"/>
      <c r="AN21" s="304"/>
      <c r="AO21" s="301"/>
      <c r="AP21" s="301"/>
      <c r="AQ21" s="315"/>
      <c r="AR21" s="103"/>
      <c r="AS21" s="103">
        <f t="shared" si="27"/>
        <v>0</v>
      </c>
      <c r="AT21" s="103"/>
      <c r="AU21" s="103"/>
      <c r="AV21" s="103"/>
      <c r="AW21" s="103"/>
      <c r="AZ21" s="63"/>
      <c r="BA21" s="319">
        <f t="shared" si="10"/>
        <v>0</v>
      </c>
      <c r="BB21" s="197">
        <f t="shared" si="11"/>
        <v>0</v>
      </c>
      <c r="BC21" s="197">
        <f t="shared" si="12"/>
        <v>0</v>
      </c>
      <c r="BD21" s="197">
        <f t="shared" si="13"/>
        <v>0</v>
      </c>
      <c r="BE21" s="197">
        <f t="shared" si="14"/>
        <v>0</v>
      </c>
      <c r="BF21" s="197">
        <f t="shared" si="15"/>
        <v>0</v>
      </c>
      <c r="BG21" s="197">
        <f t="shared" si="16"/>
        <v>0</v>
      </c>
      <c r="BH21" s="197">
        <f t="shared" si="17"/>
        <v>0</v>
      </c>
      <c r="BI21" s="197">
        <f t="shared" si="18"/>
        <v>0</v>
      </c>
      <c r="BJ21" s="197">
        <f t="shared" si="19"/>
        <v>0</v>
      </c>
      <c r="BK21" s="197">
        <f t="shared" si="20"/>
        <v>0</v>
      </c>
      <c r="BL21" s="197">
        <f t="shared" si="21"/>
        <v>0</v>
      </c>
      <c r="BM21" s="197">
        <f t="shared" si="22"/>
        <v>0</v>
      </c>
      <c r="BN21" s="197">
        <f t="shared" si="23"/>
        <v>0</v>
      </c>
      <c r="BO21" s="197">
        <f t="shared" si="24"/>
        <v>0</v>
      </c>
      <c r="BP21" s="197">
        <f t="shared" si="25"/>
        <v>0</v>
      </c>
      <c r="BQ21" s="197">
        <f t="shared" si="26"/>
        <v>0</v>
      </c>
      <c r="BR21" s="211"/>
      <c r="BS21" s="195">
        <f t="shared" si="0"/>
        <v>0</v>
      </c>
      <c r="BT21" s="201">
        <f t="shared" si="1"/>
        <v>0</v>
      </c>
      <c r="BU21" s="201">
        <f>第6期!AQ123*0.5</f>
        <v>0</v>
      </c>
      <c r="BV21" s="205" t="e">
        <f>AVERAGE(BT46:CI46)*初始化表!B$31</f>
        <v>#DIV/0!</v>
      </c>
      <c r="BW21" s="205" t="e">
        <f>$BT21*(AL123-BW$25)/BW$26*初始化表!B$30</f>
        <v>#DIV/0!</v>
      </c>
      <c r="BX21" s="205" t="e">
        <f>$BT21*(AM123-BX$25)/BX$26*初始化表!B$33</f>
        <v>#DIV/0!</v>
      </c>
      <c r="BY21" s="205" t="e">
        <f>$BT21*(AN123-BY$25)/BY$26*初始化表!B$32</f>
        <v>#DIV/0!</v>
      </c>
      <c r="BZ21" s="205" t="e">
        <f>$BT21*(AP123-BZ$25)/BZ$26*初始化表!B$34</f>
        <v>#DIV/0!</v>
      </c>
      <c r="CA21" s="205" t="e">
        <f>$BT$5*(AW123-CA$25)/CA$26*初始化表!B$36</f>
        <v>#DIV/0!</v>
      </c>
      <c r="CB21" s="205" t="e">
        <f t="shared" si="4"/>
        <v>#DIV/0!</v>
      </c>
      <c r="CC21" s="201">
        <f t="shared" si="5"/>
        <v>0</v>
      </c>
      <c r="CD21" s="229" t="e">
        <f t="shared" si="6"/>
        <v>#DIV/0!</v>
      </c>
      <c r="CE21" s="229">
        <f t="shared" si="7"/>
        <v>0</v>
      </c>
      <c r="CF21" s="229">
        <f t="shared" si="8"/>
        <v>0</v>
      </c>
      <c r="CG21" s="226"/>
      <c r="CH21" s="226"/>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c r="DP21" s="228"/>
    </row>
    <row r="22" s="61" customFormat="1" ht="16" customHeight="1" spans="1:120">
      <c r="A22" s="270"/>
      <c r="B22" s="77">
        <f>I18</f>
        <v>0</v>
      </c>
      <c r="C22" s="77">
        <f>K18</f>
        <v>0</v>
      </c>
      <c r="D22" s="72">
        <f>R49</f>
        <v>0</v>
      </c>
      <c r="E22" s="72">
        <f>K43</f>
        <v>0</v>
      </c>
      <c r="F22" s="270"/>
      <c r="G22" s="73"/>
      <c r="H22" s="274" t="s">
        <v>560</v>
      </c>
      <c r="I22" s="278" t="e">
        <f>(M25*初始化表!B4+SUM(V5:Z5)-SUM(V11:Y11)-Z17)/Z17</f>
        <v>#DIV/0!</v>
      </c>
      <c r="J22" s="278" t="e">
        <f>(M26*初始化表!B4+SUM(V6:Z6)-SUM(V12:Y12)-Z18)/Z18</f>
        <v>#DIV/0!</v>
      </c>
      <c r="K22" s="278" t="e">
        <f>(M27*初始化表!B4+SUM(V7:Z7)-SUM(V13:Y13)-Z19)/Z19</f>
        <v>#DIV/0!</v>
      </c>
      <c r="L22" s="278" t="e">
        <f>(M28*初始化表!B4+SUM(V8:Z8)-SUM(V14:Y14)-Z20)/Z20</f>
        <v>#DIV/0!</v>
      </c>
      <c r="M22" s="85"/>
      <c r="N22" s="68" t="s">
        <v>206</v>
      </c>
      <c r="O22" s="93" t="e">
        <f t="shared" si="40"/>
        <v>#DIV/0!</v>
      </c>
      <c r="P22" s="93" t="e">
        <f t="shared" si="40"/>
        <v>#DIV/0!</v>
      </c>
      <c r="Q22" s="93" t="e">
        <f t="shared" si="40"/>
        <v>#DIV/0!</v>
      </c>
      <c r="R22" s="93" t="e">
        <f t="shared" si="40"/>
        <v>#DIV/0!</v>
      </c>
      <c r="S22" s="128"/>
      <c r="T22" s="288" t="e">
        <f t="shared" si="41"/>
        <v>#DIV/0!</v>
      </c>
      <c r="U22" s="286" t="s">
        <v>561</v>
      </c>
      <c r="V22" s="68" t="s">
        <v>459</v>
      </c>
      <c r="W22" s="68" t="s">
        <v>460</v>
      </c>
      <c r="X22" s="68" t="s">
        <v>461</v>
      </c>
      <c r="Y22" s="68" t="s">
        <v>462</v>
      </c>
      <c r="Z22" s="68" t="s">
        <v>276</v>
      </c>
      <c r="AA22" s="73"/>
      <c r="AB22" s="151" t="s">
        <v>562</v>
      </c>
      <c r="AC22" s="151" t="s">
        <v>459</v>
      </c>
      <c r="AD22" s="151" t="s">
        <v>460</v>
      </c>
      <c r="AE22" s="151" t="s">
        <v>461</v>
      </c>
      <c r="AF22" s="151" t="s">
        <v>462</v>
      </c>
      <c r="AG22" s="74"/>
      <c r="AH22" s="73"/>
      <c r="AI22" s="300"/>
      <c r="AJ22" s="300"/>
      <c r="AK22" s="301"/>
      <c r="AL22" s="301">
        <f>W45</f>
        <v>0</v>
      </c>
      <c r="AM22" s="303"/>
      <c r="AN22" s="304"/>
      <c r="AO22" s="301"/>
      <c r="AP22" s="301"/>
      <c r="AQ22" s="315"/>
      <c r="AR22" s="103"/>
      <c r="AS22" s="103">
        <f t="shared" si="27"/>
        <v>0</v>
      </c>
      <c r="AT22" s="103"/>
      <c r="AU22" s="103"/>
      <c r="AV22" s="103"/>
      <c r="AW22" s="103"/>
      <c r="AZ22" s="63"/>
      <c r="BA22" s="319">
        <f t="shared" si="10"/>
        <v>0</v>
      </c>
      <c r="BB22" s="197">
        <f t="shared" si="11"/>
        <v>0</v>
      </c>
      <c r="BC22" s="197">
        <f t="shared" si="12"/>
        <v>0</v>
      </c>
      <c r="BD22" s="197">
        <f t="shared" si="13"/>
        <v>0</v>
      </c>
      <c r="BE22" s="197">
        <f t="shared" si="14"/>
        <v>0</v>
      </c>
      <c r="BF22" s="197">
        <f t="shared" si="15"/>
        <v>0</v>
      </c>
      <c r="BG22" s="197">
        <f t="shared" si="16"/>
        <v>0</v>
      </c>
      <c r="BH22" s="197">
        <f t="shared" si="17"/>
        <v>0</v>
      </c>
      <c r="BI22" s="197">
        <f t="shared" si="18"/>
        <v>0</v>
      </c>
      <c r="BJ22" s="197">
        <f t="shared" si="19"/>
        <v>0</v>
      </c>
      <c r="BK22" s="197">
        <f t="shared" si="20"/>
        <v>0</v>
      </c>
      <c r="BL22" s="197">
        <f t="shared" si="21"/>
        <v>0</v>
      </c>
      <c r="BM22" s="197">
        <f t="shared" si="22"/>
        <v>0</v>
      </c>
      <c r="BN22" s="197">
        <f t="shared" si="23"/>
        <v>0</v>
      </c>
      <c r="BO22" s="197">
        <f t="shared" si="24"/>
        <v>0</v>
      </c>
      <c r="BP22" s="197">
        <f t="shared" si="25"/>
        <v>0</v>
      </c>
      <c r="BQ22" s="197">
        <f t="shared" si="26"/>
        <v>0</v>
      </c>
      <c r="BR22" s="211"/>
      <c r="BS22" s="195">
        <f t="shared" si="0"/>
        <v>0</v>
      </c>
      <c r="BT22" s="201">
        <f t="shared" si="1"/>
        <v>0</v>
      </c>
      <c r="BU22" s="201">
        <f>第6期!AQ124*0.5</f>
        <v>0</v>
      </c>
      <c r="BV22" s="205" t="e">
        <f>AVERAGE(BT47:CI47)*初始化表!B$31</f>
        <v>#DIV/0!</v>
      </c>
      <c r="BW22" s="205" t="e">
        <f>$BT22*(AL124-BW$25)/BW$26*初始化表!B$30</f>
        <v>#DIV/0!</v>
      </c>
      <c r="BX22" s="205" t="e">
        <f>$BT22*(AM124-BX$25)/BX$26*初始化表!B$33</f>
        <v>#DIV/0!</v>
      </c>
      <c r="BY22" s="205" t="e">
        <f>$BT22*(AN124-BY$25)/BY$26*初始化表!B$32</f>
        <v>#DIV/0!</v>
      </c>
      <c r="BZ22" s="205" t="e">
        <f>$BT22*(AP124-BZ$25)/BZ$26*初始化表!B$34</f>
        <v>#DIV/0!</v>
      </c>
      <c r="CA22" s="205" t="e">
        <f>$BT$5*(AW124-CA$25)/CA$26*初始化表!B$36</f>
        <v>#DIV/0!</v>
      </c>
      <c r="CB22" s="205" t="e">
        <f t="shared" si="4"/>
        <v>#DIV/0!</v>
      </c>
      <c r="CC22" s="201">
        <f t="shared" si="5"/>
        <v>0</v>
      </c>
      <c r="CD22" s="229" t="e">
        <f t="shared" si="6"/>
        <v>#DIV/0!</v>
      </c>
      <c r="CE22" s="229">
        <f t="shared" si="7"/>
        <v>0</v>
      </c>
      <c r="CF22" s="229">
        <f t="shared" si="8"/>
        <v>0</v>
      </c>
      <c r="CG22" s="226"/>
      <c r="CH22" s="226"/>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c r="DP22" s="228"/>
    </row>
    <row r="23" s="61" customFormat="1" ht="16" customHeight="1" spans="1:120">
      <c r="A23" s="269" t="s">
        <v>308</v>
      </c>
      <c r="B23" s="269" t="s">
        <v>309</v>
      </c>
      <c r="C23" s="269" t="s">
        <v>310</v>
      </c>
      <c r="D23" s="269" t="s">
        <v>311</v>
      </c>
      <c r="E23" s="269" t="s">
        <v>312</v>
      </c>
      <c r="F23" s="269" t="s">
        <v>313</v>
      </c>
      <c r="G23" s="73"/>
      <c r="H23" s="273" t="s">
        <v>298</v>
      </c>
      <c r="I23" s="275"/>
      <c r="J23" s="275"/>
      <c r="K23" s="275"/>
      <c r="L23" s="275"/>
      <c r="M23" s="279" t="s">
        <v>563</v>
      </c>
      <c r="N23" s="68" t="s">
        <v>208</v>
      </c>
      <c r="O23" s="93" t="e">
        <f t="shared" si="40"/>
        <v>#DIV/0!</v>
      </c>
      <c r="P23" s="93" t="e">
        <f t="shared" si="40"/>
        <v>#DIV/0!</v>
      </c>
      <c r="Q23" s="93" t="e">
        <f t="shared" si="40"/>
        <v>#DIV/0!</v>
      </c>
      <c r="R23" s="93" t="e">
        <f t="shared" si="40"/>
        <v>#DIV/0!</v>
      </c>
      <c r="S23" s="128"/>
      <c r="T23" s="288" t="e">
        <f t="shared" si="41"/>
        <v>#DIV/0!</v>
      </c>
      <c r="U23" s="286" t="s">
        <v>464</v>
      </c>
      <c r="V23" s="115" t="e">
        <f>第6期!B6</f>
        <v>#DIV/0!</v>
      </c>
      <c r="W23" s="115" t="e">
        <f>第6期!C6</f>
        <v>#DIV/0!</v>
      </c>
      <c r="X23" s="115" t="e">
        <f>第6期!D6</f>
        <v>#DIV/0!</v>
      </c>
      <c r="Y23" s="115" t="e">
        <f>第6期!E6</f>
        <v>#DIV/0!</v>
      </c>
      <c r="Z23" s="102" t="e">
        <f>第6期!F6</f>
        <v>#DIV/0!</v>
      </c>
      <c r="AA23" s="73"/>
      <c r="AB23" s="151" t="s">
        <v>464</v>
      </c>
      <c r="AC23" s="295" t="e">
        <f>AC11/初始化表!$E$17</f>
        <v>#DIV/0!</v>
      </c>
      <c r="AD23" s="295" t="e">
        <f>AD11/初始化表!$E$17</f>
        <v>#DIV/0!</v>
      </c>
      <c r="AE23" s="295" t="e">
        <f>AE11/初始化表!$E$17</f>
        <v>#DIV/0!</v>
      </c>
      <c r="AF23" s="295" t="e">
        <f>AF11/初始化表!$E$17</f>
        <v>#DIV/0!</v>
      </c>
      <c r="AG23" s="74"/>
      <c r="AH23" s="73"/>
      <c r="AI23" s="300"/>
      <c r="AJ23" s="300"/>
      <c r="AK23" s="301"/>
      <c r="AL23" s="301">
        <f>X45</f>
        <v>0</v>
      </c>
      <c r="AM23" s="303"/>
      <c r="AN23" s="304"/>
      <c r="AO23" s="301"/>
      <c r="AP23" s="301"/>
      <c r="AQ23" s="315"/>
      <c r="AR23" s="103"/>
      <c r="AS23" s="103">
        <f t="shared" si="27"/>
        <v>0</v>
      </c>
      <c r="AT23" s="103"/>
      <c r="AU23" s="103"/>
      <c r="AV23" s="103"/>
      <c r="AW23" s="103"/>
      <c r="AZ23" s="63"/>
      <c r="BA23" s="319">
        <f t="shared" si="10"/>
        <v>0</v>
      </c>
      <c r="BB23" s="197">
        <f t="shared" si="11"/>
        <v>0</v>
      </c>
      <c r="BC23" s="197">
        <f t="shared" si="12"/>
        <v>0</v>
      </c>
      <c r="BD23" s="197">
        <f t="shared" si="13"/>
        <v>0</v>
      </c>
      <c r="BE23" s="197">
        <f t="shared" si="14"/>
        <v>0</v>
      </c>
      <c r="BF23" s="197">
        <f t="shared" si="15"/>
        <v>0</v>
      </c>
      <c r="BG23" s="197">
        <f t="shared" si="16"/>
        <v>0</v>
      </c>
      <c r="BH23" s="197">
        <f t="shared" si="17"/>
        <v>0</v>
      </c>
      <c r="BI23" s="197">
        <f t="shared" si="18"/>
        <v>0</v>
      </c>
      <c r="BJ23" s="197">
        <f t="shared" si="19"/>
        <v>0</v>
      </c>
      <c r="BK23" s="197">
        <f t="shared" si="20"/>
        <v>0</v>
      </c>
      <c r="BL23" s="197">
        <f t="shared" si="21"/>
        <v>0</v>
      </c>
      <c r="BM23" s="197">
        <f t="shared" si="22"/>
        <v>0</v>
      </c>
      <c r="BN23" s="197">
        <f t="shared" si="23"/>
        <v>0</v>
      </c>
      <c r="BO23" s="197">
        <f t="shared" si="24"/>
        <v>0</v>
      </c>
      <c r="BP23" s="197">
        <f t="shared" si="25"/>
        <v>0</v>
      </c>
      <c r="BQ23" s="197">
        <f t="shared" si="26"/>
        <v>0</v>
      </c>
      <c r="BR23" s="211"/>
      <c r="BS23" s="195">
        <f t="shared" si="0"/>
        <v>0</v>
      </c>
      <c r="BT23" s="201">
        <f t="shared" si="1"/>
        <v>0</v>
      </c>
      <c r="BU23" s="201">
        <f>第6期!AQ125*0.5</f>
        <v>0</v>
      </c>
      <c r="BV23" s="205" t="e">
        <f>AVERAGE(BT48:CI48)*初始化表!B$31</f>
        <v>#DIV/0!</v>
      </c>
      <c r="BW23" s="205" t="e">
        <f>$BT23*(AL125-BW$25)/BW$26*初始化表!B$30</f>
        <v>#DIV/0!</v>
      </c>
      <c r="BX23" s="205" t="e">
        <f>$BT23*(AM125-BX$25)/BX$26*初始化表!B$33</f>
        <v>#DIV/0!</v>
      </c>
      <c r="BY23" s="205" t="e">
        <f>$BT23*(AN125-BY$25)/BY$26*初始化表!B$32</f>
        <v>#DIV/0!</v>
      </c>
      <c r="BZ23" s="205" t="e">
        <f>$BT23*(AP125-BZ$25)/BZ$26*初始化表!B$34</f>
        <v>#DIV/0!</v>
      </c>
      <c r="CA23" s="205" t="e">
        <f>$BT$5*(AW125-CA$25)/CA$26*初始化表!B$36</f>
        <v>#DIV/0!</v>
      </c>
      <c r="CB23" s="205" t="e">
        <f t="shared" si="4"/>
        <v>#DIV/0!</v>
      </c>
      <c r="CC23" s="201">
        <f t="shared" si="5"/>
        <v>0</v>
      </c>
      <c r="CD23" s="229" t="e">
        <f t="shared" si="6"/>
        <v>#DIV/0!</v>
      </c>
      <c r="CE23" s="229">
        <f t="shared" si="7"/>
        <v>0</v>
      </c>
      <c r="CF23" s="229">
        <f t="shared" si="8"/>
        <v>0</v>
      </c>
      <c r="CG23" s="226"/>
      <c r="CH23" s="226"/>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c r="DP23" s="228"/>
    </row>
    <row r="24" s="61" customFormat="1" ht="16" customHeight="1" spans="1:120">
      <c r="A24" s="270"/>
      <c r="B24" s="72">
        <f>Q33</f>
        <v>0</v>
      </c>
      <c r="C24" s="72">
        <f>R35</f>
        <v>0</v>
      </c>
      <c r="D24" s="72">
        <f>O37</f>
        <v>0</v>
      </c>
      <c r="E24" s="72" t="e">
        <f>-C63</f>
        <v>#DIV/0!</v>
      </c>
      <c r="F24" s="77">
        <f>R45</f>
        <v>1</v>
      </c>
      <c r="G24" s="73"/>
      <c r="H24" s="275"/>
      <c r="I24" s="273" t="s">
        <v>103</v>
      </c>
      <c r="J24" s="273" t="s">
        <v>299</v>
      </c>
      <c r="K24" s="273" t="s">
        <v>104</v>
      </c>
      <c r="L24" s="273" t="s">
        <v>300</v>
      </c>
      <c r="M24" s="279"/>
      <c r="N24" s="68" t="s">
        <v>564</v>
      </c>
      <c r="O24" s="68" t="s">
        <v>772</v>
      </c>
      <c r="P24" s="68" t="s">
        <v>773</v>
      </c>
      <c r="Q24" s="68" t="s">
        <v>774</v>
      </c>
      <c r="R24" s="68" t="s">
        <v>775</v>
      </c>
      <c r="S24" s="121"/>
      <c r="T24" s="120"/>
      <c r="U24" s="68" t="s">
        <v>465</v>
      </c>
      <c r="V24" s="115" t="e">
        <f>第6期!B7</f>
        <v>#DIV/0!</v>
      </c>
      <c r="W24" s="115" t="e">
        <f>第6期!C7</f>
        <v>#DIV/0!</v>
      </c>
      <c r="X24" s="115" t="e">
        <f>第6期!D7</f>
        <v>#DIV/0!</v>
      </c>
      <c r="Y24" s="115" t="e">
        <f>第6期!E7</f>
        <v>#DIV/0!</v>
      </c>
      <c r="Z24" s="102" t="e">
        <f>第6期!F7</f>
        <v>#DIV/0!</v>
      </c>
      <c r="AA24" s="73"/>
      <c r="AB24" s="151" t="s">
        <v>465</v>
      </c>
      <c r="AC24" s="295" t="e">
        <f>AC12/初始化表!$F$17</f>
        <v>#DIV/0!</v>
      </c>
      <c r="AD24" s="295" t="e">
        <f>AD12/初始化表!$F$17</f>
        <v>#DIV/0!</v>
      </c>
      <c r="AE24" s="295" t="e">
        <f>AE12/初始化表!$F$17</f>
        <v>#DIV/0!</v>
      </c>
      <c r="AF24" s="295" t="e">
        <f>AF12/初始化表!$F$17</f>
        <v>#DIV/0!</v>
      </c>
      <c r="AG24" s="74"/>
      <c r="AH24" s="73"/>
      <c r="AI24" s="300"/>
      <c r="AJ24" s="300"/>
      <c r="AK24" s="301"/>
      <c r="AL24" s="301">
        <f>Y45</f>
        <v>0</v>
      </c>
      <c r="AM24" s="303"/>
      <c r="AN24" s="304"/>
      <c r="AO24" s="301"/>
      <c r="AP24" s="301"/>
      <c r="AQ24" s="315"/>
      <c r="AR24" s="103">
        <f>SUM(AL21:AL24)</f>
        <v>0</v>
      </c>
      <c r="AS24" s="103">
        <f t="shared" si="27"/>
        <v>0</v>
      </c>
      <c r="AT24" s="103">
        <f>SUMIF(AS21:AS24,"&gt;=0",AS21:AS24)</f>
        <v>0</v>
      </c>
      <c r="AU24" s="103">
        <f>SUM(AO21:AO24)</f>
        <v>0</v>
      </c>
      <c r="AV24" s="103">
        <f>SUM(AP21:AP24)</f>
        <v>0</v>
      </c>
      <c r="AW24" s="103">
        <f>SUM(AQ21:AQ24)</f>
        <v>0</v>
      </c>
      <c r="AZ24" s="63"/>
      <c r="BA24" s="319">
        <f t="shared" si="10"/>
        <v>0</v>
      </c>
      <c r="BB24" s="197">
        <f t="shared" si="11"/>
        <v>0</v>
      </c>
      <c r="BC24" s="197">
        <f t="shared" si="12"/>
        <v>0</v>
      </c>
      <c r="BD24" s="197">
        <f t="shared" si="13"/>
        <v>0</v>
      </c>
      <c r="BE24" s="197">
        <f t="shared" si="14"/>
        <v>0</v>
      </c>
      <c r="BF24" s="197">
        <f t="shared" si="15"/>
        <v>0</v>
      </c>
      <c r="BG24" s="197">
        <f t="shared" si="16"/>
        <v>0</v>
      </c>
      <c r="BH24" s="197">
        <f t="shared" si="17"/>
        <v>0</v>
      </c>
      <c r="BI24" s="197">
        <f t="shared" si="18"/>
        <v>0</v>
      </c>
      <c r="BJ24" s="197">
        <f t="shared" si="19"/>
        <v>0</v>
      </c>
      <c r="BK24" s="197">
        <f t="shared" si="20"/>
        <v>0</v>
      </c>
      <c r="BL24" s="197">
        <f t="shared" si="21"/>
        <v>0</v>
      </c>
      <c r="BM24" s="197">
        <f t="shared" si="22"/>
        <v>0</v>
      </c>
      <c r="BN24" s="197">
        <f t="shared" si="23"/>
        <v>0</v>
      </c>
      <c r="BO24" s="197">
        <f t="shared" si="24"/>
        <v>0</v>
      </c>
      <c r="BP24" s="197">
        <f t="shared" si="25"/>
        <v>0</v>
      </c>
      <c r="BQ24" s="197">
        <f t="shared" si="26"/>
        <v>0</v>
      </c>
      <c r="BR24" s="211"/>
      <c r="BS24" s="195">
        <f t="shared" si="0"/>
        <v>0</v>
      </c>
      <c r="BT24" s="201">
        <f t="shared" si="1"/>
        <v>0</v>
      </c>
      <c r="BU24" s="201">
        <f>第6期!AQ126*0.5</f>
        <v>0</v>
      </c>
      <c r="BV24" s="205" t="e">
        <f>AVERAGE(BT49:CI49)*初始化表!B$31</f>
        <v>#DIV/0!</v>
      </c>
      <c r="BW24" s="205" t="e">
        <f>$BT24*(AL126-BW$25)/BW$26*初始化表!B$30</f>
        <v>#DIV/0!</v>
      </c>
      <c r="BX24" s="205" t="e">
        <f>$BT24*(AM126-BX$25)/BX$26*初始化表!B$33</f>
        <v>#DIV/0!</v>
      </c>
      <c r="BY24" s="205" t="e">
        <f>$BT24*(AN126-BY$25)/BY$26*初始化表!B$32</f>
        <v>#DIV/0!</v>
      </c>
      <c r="BZ24" s="205" t="e">
        <f>$BT24*(AP126-BZ$25)/BZ$26*初始化表!B$34</f>
        <v>#DIV/0!</v>
      </c>
      <c r="CA24" s="205" t="e">
        <f>$BT$5*(AW126-CA$25)/CA$26*初始化表!B$36</f>
        <v>#DIV/0!</v>
      </c>
      <c r="CB24" s="205" t="e">
        <f t="shared" si="4"/>
        <v>#DIV/0!</v>
      </c>
      <c r="CC24" s="201">
        <f t="shared" si="5"/>
        <v>0</v>
      </c>
      <c r="CD24" s="229" t="e">
        <f t="shared" si="6"/>
        <v>#DIV/0!</v>
      </c>
      <c r="CE24" s="229">
        <f t="shared" si="7"/>
        <v>0</v>
      </c>
      <c r="CF24" s="229">
        <f t="shared" si="8"/>
        <v>0</v>
      </c>
      <c r="CG24" s="226"/>
      <c r="CH24" s="226"/>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c r="DP24" s="228"/>
    </row>
    <row r="25" s="61" customFormat="1" ht="16" customHeight="1" spans="1:121">
      <c r="A25" s="90"/>
      <c r="B25" s="90"/>
      <c r="C25" s="90"/>
      <c r="D25" s="90"/>
      <c r="E25" s="90"/>
      <c r="F25" s="90"/>
      <c r="G25" s="73"/>
      <c r="H25" s="273" t="s">
        <v>776</v>
      </c>
      <c r="I25" s="280"/>
      <c r="J25" s="97"/>
      <c r="K25" s="97"/>
      <c r="L25" s="97"/>
      <c r="M25" s="98">
        <f>I25+J25+K25+L25</f>
        <v>0</v>
      </c>
      <c r="N25" s="68" t="s">
        <v>276</v>
      </c>
      <c r="O25" s="83" t="e">
        <f>INT(SUMPRODUCT(V42:Y42,B6:E6)*O6/1000+0.5)*1000</f>
        <v>#DIV/0!</v>
      </c>
      <c r="P25" s="83" t="e">
        <f>INT(SUMPRODUCT(V43:Y43,B7:E7)*P6/1000+0.5)*1000</f>
        <v>#DIV/0!</v>
      </c>
      <c r="Q25" s="83" t="e">
        <f>INT(SUMPRODUCT(V44:Y44,B8:E8)*Q6/1000+0.5)*1000</f>
        <v>#DIV/0!</v>
      </c>
      <c r="R25" s="83" t="e">
        <f>INT(SUMPRODUCT(V45:Y45,B9:E9)*R6/1000+0.5)*1000</f>
        <v>#DIV/0!</v>
      </c>
      <c r="S25" s="131"/>
      <c r="T25" s="120"/>
      <c r="U25" s="68" t="s">
        <v>466</v>
      </c>
      <c r="V25" s="115" t="e">
        <f>第6期!B8</f>
        <v>#DIV/0!</v>
      </c>
      <c r="W25" s="115" t="e">
        <f>第6期!C8</f>
        <v>#DIV/0!</v>
      </c>
      <c r="X25" s="115" t="e">
        <f>第6期!D8</f>
        <v>#DIV/0!</v>
      </c>
      <c r="Y25" s="115" t="e">
        <f>第6期!E8</f>
        <v>#DIV/0!</v>
      </c>
      <c r="Z25" s="102" t="e">
        <f>第6期!F8</f>
        <v>#DIV/0!</v>
      </c>
      <c r="AA25" s="73"/>
      <c r="AB25" s="151" t="s">
        <v>466</v>
      </c>
      <c r="AC25" s="295" t="e">
        <f>AC13/初始化表!$G$17</f>
        <v>#DIV/0!</v>
      </c>
      <c r="AD25" s="295" t="e">
        <f>AD13/初始化表!$G$17</f>
        <v>#DIV/0!</v>
      </c>
      <c r="AE25" s="295" t="e">
        <f>AE13/初始化表!$G$17</f>
        <v>#DIV/0!</v>
      </c>
      <c r="AF25" s="295" t="e">
        <f>AF13/初始化表!$G$17</f>
        <v>#DIV/0!</v>
      </c>
      <c r="AG25" s="74"/>
      <c r="AH25" s="73"/>
      <c r="AI25" s="308"/>
      <c r="AJ25" s="308"/>
      <c r="AK25" s="308"/>
      <c r="AL25" s="309"/>
      <c r="AM25" s="308"/>
      <c r="AN25" s="308"/>
      <c r="AO25" s="316"/>
      <c r="AP25" s="316"/>
      <c r="AQ25" s="317"/>
      <c r="AR25" s="103"/>
      <c r="AS25" s="103"/>
      <c r="AT25" s="103"/>
      <c r="AU25" s="189">
        <f>(AU12*初始化表!E17+AU16*初始化表!F17+AU20*初始化表!G17+AU24*初始化表!H17)/1300</f>
        <v>0</v>
      </c>
      <c r="AV25" s="189">
        <f>(AV12*初始化表!E17+AV16*初始化表!F17+AV20*初始化表!G17+AV24*初始化表!H17)/1300</f>
        <v>0</v>
      </c>
      <c r="AW25" s="189">
        <f>(AW12*初始化表!E17+AW16*初始化表!F17+AW20*初始化表!G17+AW24*初始化表!H17)/1300</f>
        <v>0</v>
      </c>
      <c r="AZ25" s="63"/>
      <c r="BA25" s="319">
        <f t="shared" si="10"/>
        <v>0</v>
      </c>
      <c r="BB25" s="197">
        <f t="shared" si="11"/>
        <v>0</v>
      </c>
      <c r="BC25" s="197">
        <f t="shared" si="12"/>
        <v>0</v>
      </c>
      <c r="BD25" s="197">
        <f t="shared" si="13"/>
        <v>0</v>
      </c>
      <c r="BE25" s="197">
        <f t="shared" si="14"/>
        <v>0</v>
      </c>
      <c r="BF25" s="197">
        <f t="shared" si="15"/>
        <v>0</v>
      </c>
      <c r="BG25" s="197">
        <f t="shared" si="16"/>
        <v>0</v>
      </c>
      <c r="BH25" s="197">
        <f t="shared" si="17"/>
        <v>0</v>
      </c>
      <c r="BI25" s="197">
        <f t="shared" si="18"/>
        <v>0</v>
      </c>
      <c r="BJ25" s="197">
        <f t="shared" si="19"/>
        <v>0</v>
      </c>
      <c r="BK25" s="197">
        <f t="shared" si="20"/>
        <v>0</v>
      </c>
      <c r="BL25" s="197">
        <f t="shared" si="21"/>
        <v>0</v>
      </c>
      <c r="BM25" s="197">
        <f t="shared" si="22"/>
        <v>0</v>
      </c>
      <c r="BN25" s="197">
        <f t="shared" si="23"/>
        <v>0</v>
      </c>
      <c r="BO25" s="197">
        <f t="shared" si="24"/>
        <v>0</v>
      </c>
      <c r="BP25" s="197">
        <f t="shared" si="25"/>
        <v>0</v>
      </c>
      <c r="BQ25" s="197">
        <f t="shared" si="26"/>
        <v>0</v>
      </c>
      <c r="BR25" s="211"/>
      <c r="BS25" s="194" t="s">
        <v>569</v>
      </c>
      <c r="BT25" s="208"/>
      <c r="BU25" s="208"/>
      <c r="BV25" s="208"/>
      <c r="BW25" s="201" t="e">
        <f>SUM(AL107:AL126)/初始化表!$B5</f>
        <v>#DIV/0!</v>
      </c>
      <c r="BX25" s="201" t="e">
        <f>SUM(AM107:AM126)/初始化表!$B5</f>
        <v>#DIV/0!</v>
      </c>
      <c r="BY25" s="201" t="e">
        <f>SUM(AN107:AN126)/初始化表!$B5</f>
        <v>#DIV/0!</v>
      </c>
      <c r="BZ25" s="201" t="e">
        <f>SUM(AP107:AP126)/初始化表!$B5</f>
        <v>#DIV/0!</v>
      </c>
      <c r="CA25" s="201" t="e">
        <f>SUM(AW107:AW126)/初始化表!$B5</f>
        <v>#DIV/0!</v>
      </c>
      <c r="CB25" s="208"/>
      <c r="CC25" s="208"/>
      <c r="CD25" s="208"/>
      <c r="CE25" s="208"/>
      <c r="CF25" s="208"/>
      <c r="CG25" s="203"/>
      <c r="CH25" s="203"/>
      <c r="CI25" s="203"/>
      <c r="CJ25" s="226"/>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row>
    <row r="26" s="61" customFormat="1" ht="16" customHeight="1" spans="1:121">
      <c r="A26" s="269" t="s">
        <v>422</v>
      </c>
      <c r="B26" s="270"/>
      <c r="C26" s="270"/>
      <c r="D26" s="270"/>
      <c r="E26" s="270"/>
      <c r="F26" s="270"/>
      <c r="G26" s="73"/>
      <c r="H26" s="273" t="s">
        <v>777</v>
      </c>
      <c r="I26" s="280"/>
      <c r="J26" s="97"/>
      <c r="K26" s="97"/>
      <c r="L26" s="97"/>
      <c r="M26" s="98">
        <f t="shared" ref="M26:M28" si="42">I26+J26+K26+L26</f>
        <v>0</v>
      </c>
      <c r="N26" s="68" t="s">
        <v>280</v>
      </c>
      <c r="O26" s="83" t="e">
        <f>INT(SUMPRODUCT(V42:V45,B6:B9)*O8/1000+0.5)*1000</f>
        <v>#DIV/0!</v>
      </c>
      <c r="P26" s="83" t="e">
        <f>INT(SUMPRODUCT(W42:W45,C6:C9)*P8/1000+0.5)*1000</f>
        <v>#DIV/0!</v>
      </c>
      <c r="Q26" s="83" t="e">
        <f>INT(SUMPRODUCT(X42:X45,D6:D9)*Q8/1000+0.5)*1000</f>
        <v>#DIV/0!</v>
      </c>
      <c r="R26" s="83" t="e">
        <f>INT(SUMPRODUCT(Y42:Y45,E6:E9)*R8/1000+0.5)*1000</f>
        <v>#DIV/0!</v>
      </c>
      <c r="S26" s="131"/>
      <c r="T26" s="120"/>
      <c r="U26" s="68" t="s">
        <v>468</v>
      </c>
      <c r="V26" s="115" t="e">
        <f>第6期!B9</f>
        <v>#DIV/0!</v>
      </c>
      <c r="W26" s="115" t="e">
        <f>第6期!C9</f>
        <v>#DIV/0!</v>
      </c>
      <c r="X26" s="115" t="e">
        <f>第6期!D9</f>
        <v>#DIV/0!</v>
      </c>
      <c r="Y26" s="115" t="e">
        <f>第6期!E9</f>
        <v>#DIV/0!</v>
      </c>
      <c r="Z26" s="102" t="e">
        <f>第6期!F9</f>
        <v>#DIV/0!</v>
      </c>
      <c r="AA26" s="73"/>
      <c r="AB26" s="151" t="s">
        <v>468</v>
      </c>
      <c r="AC26" s="295" t="e">
        <f>AC14/初始化表!$H$17</f>
        <v>#DIV/0!</v>
      </c>
      <c r="AD26" s="295" t="e">
        <f>AD14/初始化表!$H$17</f>
        <v>#DIV/0!</v>
      </c>
      <c r="AE26" s="295" t="e">
        <f>AE14/初始化表!$H$17</f>
        <v>#DIV/0!</v>
      </c>
      <c r="AF26" s="295" t="e">
        <f>AF14/初始化表!$H$17</f>
        <v>#DIV/0!</v>
      </c>
      <c r="AG26" s="74"/>
      <c r="AH26" s="73"/>
      <c r="AI26" s="300"/>
      <c r="AJ26" s="301">
        <f>I56</f>
        <v>0</v>
      </c>
      <c r="AK26" s="302"/>
      <c r="AL26" s="302"/>
      <c r="AM26" s="301"/>
      <c r="AN26" s="310">
        <f>O43</f>
        <v>0.95</v>
      </c>
      <c r="AO26" s="316"/>
      <c r="AP26" s="316"/>
      <c r="AQ26" s="317"/>
      <c r="AR26" s="103"/>
      <c r="AS26" s="190" t="s">
        <v>449</v>
      </c>
      <c r="AT26" s="189">
        <f>(SUM(AM9:AM12)*初始化表!E17+SUM(AM13:AM16)*初始化表!F17+SUM(AM17:AM20)*初始化表!G17+SUM(AM21:AM24)*初始化表!H17)/1300</f>
        <v>0</v>
      </c>
      <c r="AU26" s="103"/>
      <c r="AV26" s="103"/>
      <c r="AW26" s="103"/>
      <c r="AZ26" s="63"/>
      <c r="BA26" s="319">
        <f t="shared" si="10"/>
        <v>0</v>
      </c>
      <c r="BB26" s="197">
        <f t="shared" si="11"/>
        <v>0</v>
      </c>
      <c r="BC26" s="197">
        <f t="shared" si="12"/>
        <v>0</v>
      </c>
      <c r="BD26" s="197">
        <f t="shared" si="13"/>
        <v>0</v>
      </c>
      <c r="BE26" s="197">
        <f t="shared" si="14"/>
        <v>0</v>
      </c>
      <c r="BF26" s="197">
        <f t="shared" si="15"/>
        <v>0</v>
      </c>
      <c r="BG26" s="197">
        <f t="shared" si="16"/>
        <v>0</v>
      </c>
      <c r="BH26" s="197">
        <f t="shared" si="17"/>
        <v>0</v>
      </c>
      <c r="BI26" s="197">
        <f t="shared" si="18"/>
        <v>0</v>
      </c>
      <c r="BJ26" s="197">
        <f t="shared" si="19"/>
        <v>0</v>
      </c>
      <c r="BK26" s="197">
        <f t="shared" si="20"/>
        <v>0</v>
      </c>
      <c r="BL26" s="197">
        <f t="shared" si="21"/>
        <v>0</v>
      </c>
      <c r="BM26" s="197">
        <f t="shared" si="22"/>
        <v>0</v>
      </c>
      <c r="BN26" s="197">
        <f t="shared" si="23"/>
        <v>0</v>
      </c>
      <c r="BO26" s="197">
        <f t="shared" si="24"/>
        <v>0</v>
      </c>
      <c r="BP26" s="197">
        <f t="shared" si="25"/>
        <v>0</v>
      </c>
      <c r="BQ26" s="197">
        <f t="shared" si="26"/>
        <v>0</v>
      </c>
      <c r="BR26" s="211"/>
      <c r="BS26" s="194" t="s">
        <v>570</v>
      </c>
      <c r="BT26" s="208"/>
      <c r="BU26" s="208"/>
      <c r="BV26" s="208"/>
      <c r="BW26" s="323" t="e">
        <f>STDEV.P(AL107:AL126)</f>
        <v>#DIV/0!</v>
      </c>
      <c r="BX26" s="323" t="e">
        <f>STDEV.P(AM107:AM126)</f>
        <v>#DIV/0!</v>
      </c>
      <c r="BY26" s="323" t="e">
        <f>STDEV.P(AN107:AN126)</f>
        <v>#DIV/0!</v>
      </c>
      <c r="BZ26" s="323" t="e">
        <f>STDEV.P(AP107:AP126)</f>
        <v>#DIV/0!</v>
      </c>
      <c r="CA26" s="324" t="e">
        <f>STDEV.P(AW107:AW126)</f>
        <v>#DIV/0!</v>
      </c>
      <c r="CB26" s="208"/>
      <c r="CC26" s="208"/>
      <c r="CD26" s="208"/>
      <c r="CE26" s="208"/>
      <c r="CF26" s="208"/>
      <c r="CG26" s="203"/>
      <c r="CH26" s="203"/>
      <c r="CI26" s="203"/>
      <c r="CJ26" s="226"/>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row>
    <row r="27" s="61" customFormat="1" ht="16" customHeight="1" spans="1:121">
      <c r="A27" s="269" t="s">
        <v>571</v>
      </c>
      <c r="B27" s="270"/>
      <c r="C27" s="269" t="s">
        <v>572</v>
      </c>
      <c r="D27" s="269" t="s">
        <v>573</v>
      </c>
      <c r="E27" s="269" t="s">
        <v>574</v>
      </c>
      <c r="F27" s="269" t="s">
        <v>575</v>
      </c>
      <c r="G27" s="73"/>
      <c r="H27" s="273" t="s">
        <v>778</v>
      </c>
      <c r="I27" s="97"/>
      <c r="J27" s="97"/>
      <c r="K27" s="280"/>
      <c r="L27" s="280"/>
      <c r="M27" s="98">
        <f t="shared" si="42"/>
        <v>0</v>
      </c>
      <c r="N27" s="68" t="s">
        <v>576</v>
      </c>
      <c r="O27" s="68" t="s">
        <v>772</v>
      </c>
      <c r="P27" s="68" t="s">
        <v>773</v>
      </c>
      <c r="Q27" s="68" t="s">
        <v>774</v>
      </c>
      <c r="R27" s="68" t="s">
        <v>775</v>
      </c>
      <c r="S27" s="121"/>
      <c r="T27" s="120"/>
      <c r="U27" s="68" t="s">
        <v>280</v>
      </c>
      <c r="V27" s="102" t="e">
        <f>第6期!B10</f>
        <v>#DIV/0!</v>
      </c>
      <c r="W27" s="102" t="e">
        <f>第6期!C10</f>
        <v>#DIV/0!</v>
      </c>
      <c r="X27" s="102" t="e">
        <f>第6期!D10</f>
        <v>#DIV/0!</v>
      </c>
      <c r="Y27" s="102" t="e">
        <f>第6期!E10</f>
        <v>#DIV/0!</v>
      </c>
      <c r="Z27" s="115"/>
      <c r="AA27" s="73"/>
      <c r="AB27" s="155"/>
      <c r="AC27" s="155"/>
      <c r="AD27" s="155"/>
      <c r="AE27" s="155"/>
      <c r="AF27" s="155"/>
      <c r="AG27" s="155"/>
      <c r="AH27" s="73"/>
      <c r="AI27" s="300"/>
      <c r="AJ27" s="301">
        <f>J56</f>
        <v>0</v>
      </c>
      <c r="AK27" s="302"/>
      <c r="AL27" s="302"/>
      <c r="AM27" s="301"/>
      <c r="AN27" s="310">
        <f>P43</f>
        <v>0.95</v>
      </c>
      <c r="AO27" s="316"/>
      <c r="AP27" s="316"/>
      <c r="AQ27" s="317"/>
      <c r="AR27" s="103"/>
      <c r="AS27" s="190" t="s">
        <v>453</v>
      </c>
      <c r="AT27" s="189">
        <f>(AR12*初始化表!E17+AR16*初始化表!F17+AR20*初始化表!G17+AR24*初始化表!H17)/1300</f>
        <v>0</v>
      </c>
      <c r="AU27" s="103"/>
      <c r="AV27" s="103"/>
      <c r="AW27" s="103"/>
      <c r="AZ27" s="63"/>
      <c r="BA27" s="215" t="s">
        <v>577</v>
      </c>
      <c r="BB27" s="198">
        <f>INT(SUMPRODUCT(AJ37:AJ56,AJ61:AJ80))</f>
        <v>0</v>
      </c>
      <c r="BC27" s="198">
        <f t="shared" ref="BC27:BQ27" si="43">INT(SUMPRODUCT(AK37:AK56,AK61:AK80))</f>
        <v>0</v>
      </c>
      <c r="BD27" s="198">
        <f t="shared" si="43"/>
        <v>0</v>
      </c>
      <c r="BE27" s="198">
        <f t="shared" si="43"/>
        <v>0</v>
      </c>
      <c r="BF27" s="198">
        <f t="shared" si="43"/>
        <v>0</v>
      </c>
      <c r="BG27" s="198">
        <f t="shared" si="43"/>
        <v>0</v>
      </c>
      <c r="BH27" s="198">
        <f t="shared" si="43"/>
        <v>0</v>
      </c>
      <c r="BI27" s="198">
        <f t="shared" si="43"/>
        <v>0</v>
      </c>
      <c r="BJ27" s="198">
        <f t="shared" si="43"/>
        <v>0</v>
      </c>
      <c r="BK27" s="198">
        <f t="shared" si="43"/>
        <v>0</v>
      </c>
      <c r="BL27" s="198">
        <f t="shared" si="43"/>
        <v>0</v>
      </c>
      <c r="BM27" s="198">
        <f t="shared" si="43"/>
        <v>0</v>
      </c>
      <c r="BN27" s="198">
        <f t="shared" si="43"/>
        <v>0</v>
      </c>
      <c r="BO27" s="198">
        <f t="shared" si="43"/>
        <v>0</v>
      </c>
      <c r="BP27" s="198">
        <f t="shared" si="43"/>
        <v>0</v>
      </c>
      <c r="BQ27" s="198">
        <f t="shared" si="43"/>
        <v>0</v>
      </c>
      <c r="BR27" s="211"/>
      <c r="BS27" s="322" t="s">
        <v>578</v>
      </c>
      <c r="BT27" s="322"/>
      <c r="BU27" s="322"/>
      <c r="BV27" s="322"/>
      <c r="BW27" s="325" t="e">
        <f>100000/BW26*初始化表!B30</f>
        <v>#DIV/0!</v>
      </c>
      <c r="BX27" s="325" t="e">
        <f>100000/BX26*初始化表!B33</f>
        <v>#DIV/0!</v>
      </c>
      <c r="BY27" s="325" t="e">
        <f>100000/BY26*初始化表!B32</f>
        <v>#DIV/0!</v>
      </c>
      <c r="BZ27" s="325" t="e">
        <f>100000/BZ26*初始化表!B34</f>
        <v>#DIV/0!</v>
      </c>
      <c r="CA27" s="211"/>
      <c r="CB27" s="211"/>
      <c r="CC27" s="211"/>
      <c r="CD27" s="211"/>
      <c r="CE27" s="211"/>
      <c r="CF27" s="211"/>
      <c r="CG27" s="211"/>
      <c r="CH27" s="211"/>
      <c r="CI27" s="211"/>
      <c r="CJ27" s="226"/>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row>
    <row r="28" s="61" customFormat="1" ht="16" customHeight="1" spans="1:121">
      <c r="A28" s="269" t="s">
        <v>361</v>
      </c>
      <c r="B28" s="270"/>
      <c r="C28" s="79" t="e">
        <f>第6期!F64</f>
        <v>#DIV/0!</v>
      </c>
      <c r="D28" s="79"/>
      <c r="E28" s="79"/>
      <c r="F28" s="79"/>
      <c r="G28" s="73"/>
      <c r="H28" s="273" t="s">
        <v>779</v>
      </c>
      <c r="I28" s="97"/>
      <c r="J28" s="97"/>
      <c r="K28" s="280"/>
      <c r="L28" s="280"/>
      <c r="M28" s="98">
        <f t="shared" si="42"/>
        <v>0</v>
      </c>
      <c r="N28" s="68" t="s">
        <v>276</v>
      </c>
      <c r="O28" s="93" t="e">
        <f>O25</f>
        <v>#DIV/0!</v>
      </c>
      <c r="P28" s="93" t="e">
        <f t="shared" ref="P28:R28" si="44">P25</f>
        <v>#DIV/0!</v>
      </c>
      <c r="Q28" s="93" t="e">
        <f t="shared" si="44"/>
        <v>#DIV/0!</v>
      </c>
      <c r="R28" s="93" t="e">
        <f t="shared" si="44"/>
        <v>#DIV/0!</v>
      </c>
      <c r="S28" s="131"/>
      <c r="T28" s="120"/>
      <c r="U28" s="123"/>
      <c r="V28" s="74"/>
      <c r="W28" s="74"/>
      <c r="X28" s="74"/>
      <c r="Y28" s="74"/>
      <c r="Z28" s="74"/>
      <c r="AA28" s="73"/>
      <c r="AB28" s="151" t="s">
        <v>579</v>
      </c>
      <c r="AC28" s="151" t="s">
        <v>459</v>
      </c>
      <c r="AD28" s="151" t="s">
        <v>460</v>
      </c>
      <c r="AE28" s="151" t="s">
        <v>461</v>
      </c>
      <c r="AF28" s="151" t="s">
        <v>462</v>
      </c>
      <c r="AG28" s="74"/>
      <c r="AH28" s="73"/>
      <c r="AI28" s="300"/>
      <c r="AJ28" s="301">
        <f>K56</f>
        <v>0</v>
      </c>
      <c r="AK28" s="302"/>
      <c r="AL28" s="302"/>
      <c r="AM28" s="301"/>
      <c r="AN28" s="310">
        <f>Q43</f>
        <v>0.95</v>
      </c>
      <c r="AO28" s="316"/>
      <c r="AP28" s="316"/>
      <c r="AQ28" s="317"/>
      <c r="AR28" s="103"/>
      <c r="AS28" s="190" t="s">
        <v>454</v>
      </c>
      <c r="AT28" s="189">
        <f>(AT12*初始化表!E17+AT16*初始化表!F17+AT20*初始化表!G17+AT24*初始化表!H17)/1300</f>
        <v>0</v>
      </c>
      <c r="AU28" s="103"/>
      <c r="AV28" s="190" t="s">
        <v>580</v>
      </c>
      <c r="AW28" s="189">
        <f>(SUM(I25:L25)*初始化表!E17+SUM(I26:L26)*初始化表!F17+SUM(I27:L27)*初始化表!G17+SUM(I28:L28)*初始化表!H17)/1300</f>
        <v>0</v>
      </c>
      <c r="AZ28" s="63"/>
      <c r="BA28" s="215" t="s">
        <v>581</v>
      </c>
      <c r="BB28" s="199">
        <f>IF(ISERROR(AM9/AN9),0,AM9/AN9)</f>
        <v>0</v>
      </c>
      <c r="BC28" s="199">
        <f>IF(ISERROR($AM$10/$AN$10),0,$AM$10/$AN$10)</f>
        <v>0</v>
      </c>
      <c r="BD28" s="199">
        <f>IF(ISERROR($AM$11/$AN$11),0,$AM$11/$AN$11)</f>
        <v>0</v>
      </c>
      <c r="BE28" s="199">
        <f>IF(ISERROR($AM$12/$AN$12),0,$AM$12/$AN$12)</f>
        <v>0</v>
      </c>
      <c r="BF28" s="199">
        <f>IF(ISERROR($AM$13/$AN$13),0,$AM$13/$AN$13)</f>
        <v>0</v>
      </c>
      <c r="BG28" s="199">
        <f>IF(ISERROR($AM$14/$AN$14),0,$AM$14/$AN$14)</f>
        <v>0</v>
      </c>
      <c r="BH28" s="199">
        <f>IF(ISERROR($AM$15/$AN$15),0,$AM$15/$AN$15)</f>
        <v>0</v>
      </c>
      <c r="BI28" s="199">
        <f>IF(ISERROR($AM$16/$AN$16),0,$AM$16/$AN$16)</f>
        <v>0</v>
      </c>
      <c r="BJ28" s="199">
        <f>IF(ISERROR($AM$17/$AN$17),0,$AM$17/$AN$17)</f>
        <v>0</v>
      </c>
      <c r="BK28" s="199">
        <f>IF(ISERROR($AM$18/$AN$18),0,$AM$18/$AN$18)</f>
        <v>0</v>
      </c>
      <c r="BL28" s="199">
        <f>IF(ISERROR($AM$19/$AN$19),0,$AM$19/$AN$19)</f>
        <v>0</v>
      </c>
      <c r="BM28" s="199">
        <f>IF(ISERROR($AM$20/$AN$20),0,$AM$20/$AN$20)</f>
        <v>0</v>
      </c>
      <c r="BN28" s="199">
        <f>IF(ISERROR($AM$21/$AN$21),0,$AM$21/$AN$21)</f>
        <v>0</v>
      </c>
      <c r="BO28" s="199">
        <f>IF(ISERROR($AM$22/$AN$22),0,$AM$22/$AN$22)</f>
        <v>0</v>
      </c>
      <c r="BP28" s="199">
        <f>IF(ISERROR($AM$23/$AN$23),0,$AM$23/$AN$23)</f>
        <v>0</v>
      </c>
      <c r="BQ28" s="199">
        <f>IF(ISERROR($AM$24/$AN$24),0,$AM$24/$AN$24)</f>
        <v>0</v>
      </c>
      <c r="BR28" s="211"/>
      <c r="BS28" s="194" t="s">
        <v>37</v>
      </c>
      <c r="BT28" s="194" t="s">
        <v>521</v>
      </c>
      <c r="BU28" s="195"/>
      <c r="BV28" s="195"/>
      <c r="BW28" s="195"/>
      <c r="BX28" s="194" t="s">
        <v>522</v>
      </c>
      <c r="BY28" s="195"/>
      <c r="BZ28" s="195"/>
      <c r="CA28" s="195"/>
      <c r="CB28" s="194" t="s">
        <v>523</v>
      </c>
      <c r="CC28" s="195"/>
      <c r="CD28" s="195"/>
      <c r="CE28" s="195"/>
      <c r="CF28" s="194" t="s">
        <v>524</v>
      </c>
      <c r="CG28" s="195"/>
      <c r="CH28" s="195"/>
      <c r="CI28" s="195"/>
      <c r="CJ28" s="226"/>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row>
    <row r="29" s="61" customFormat="1" ht="16" customHeight="1" spans="1:121">
      <c r="A29" s="269" t="s">
        <v>309</v>
      </c>
      <c r="B29" s="270"/>
      <c r="C29" s="77">
        <f>B24</f>
        <v>0</v>
      </c>
      <c r="D29" s="79"/>
      <c r="E29" s="79"/>
      <c r="F29" s="79" t="e">
        <f>C28+C29</f>
        <v>#DIV/0!</v>
      </c>
      <c r="G29" s="73"/>
      <c r="H29" s="276" t="s">
        <v>582</v>
      </c>
      <c r="I29" s="81">
        <f>(H17-C22+初始化表!H4*B22)-((B17+D17)*初始化表!E18+(B18+D18)*初始化表!F18+(B19+D19)*初始化表!G18+(B20+D20)*初始化表!H18)/520</f>
        <v>0</v>
      </c>
      <c r="J29" s="276" t="s">
        <v>583</v>
      </c>
      <c r="K29" s="99">
        <f>H43-(SUM(B17:E17)*初始化表!E19+SUM(B18:E18)*初始化表!F19+SUM(B19:E19)*初始化表!G19+SUM(B20:E20)*初始化表!H19)</f>
        <v>0</v>
      </c>
      <c r="L29" s="99"/>
      <c r="M29" s="85"/>
      <c r="N29" s="68" t="s">
        <v>280</v>
      </c>
      <c r="O29" s="93" t="e">
        <f>O26</f>
        <v>#DIV/0!</v>
      </c>
      <c r="P29" s="93" t="e">
        <f t="shared" ref="P29:R29" si="45">P26</f>
        <v>#DIV/0!</v>
      </c>
      <c r="Q29" s="93" t="e">
        <f t="shared" si="45"/>
        <v>#DIV/0!</v>
      </c>
      <c r="R29" s="93" t="e">
        <f t="shared" si="45"/>
        <v>#DIV/0!</v>
      </c>
      <c r="S29" s="131"/>
      <c r="T29" s="120"/>
      <c r="U29" s="68" t="s">
        <v>584</v>
      </c>
      <c r="V29" s="68" t="s">
        <v>459</v>
      </c>
      <c r="W29" s="68" t="s">
        <v>460</v>
      </c>
      <c r="X29" s="68" t="s">
        <v>461</v>
      </c>
      <c r="Y29" s="68" t="s">
        <v>462</v>
      </c>
      <c r="Z29" s="74"/>
      <c r="AA29" s="73"/>
      <c r="AB29" s="151" t="s">
        <v>198</v>
      </c>
      <c r="AC29" s="156" t="e">
        <f t="shared" ref="AC29:AF32" si="46">AC11/AD5</f>
        <v>#DIV/0!</v>
      </c>
      <c r="AD29" s="156" t="e">
        <f t="shared" si="46"/>
        <v>#DIV/0!</v>
      </c>
      <c r="AE29" s="156" t="e">
        <f t="shared" si="46"/>
        <v>#DIV/0!</v>
      </c>
      <c r="AF29" s="156" t="e">
        <f t="shared" si="46"/>
        <v>#DIV/0!</v>
      </c>
      <c r="AG29" s="74"/>
      <c r="AH29" s="73"/>
      <c r="AI29" s="300"/>
      <c r="AJ29" s="311">
        <f>L56</f>
        <v>0</v>
      </c>
      <c r="AK29" s="302"/>
      <c r="AL29" s="302"/>
      <c r="AM29" s="301"/>
      <c r="AN29" s="310">
        <f>R43</f>
        <v>0.95</v>
      </c>
      <c r="AO29" s="316"/>
      <c r="AP29" s="316"/>
      <c r="AQ29" s="317"/>
      <c r="AR29" s="103"/>
      <c r="AS29" s="190" t="s">
        <v>455</v>
      </c>
      <c r="AT29" s="189">
        <f>(SUM(AK9:AK12)*初始化表!E17+SUM(AK13:AK16)*初始化表!F17+SUM(AK17:AK20)*初始化表!G17+SUM(AK21:AK24)*初始化表!H17)/1300</f>
        <v>0</v>
      </c>
      <c r="AU29" s="103"/>
      <c r="AV29" s="190"/>
      <c r="AW29" s="189"/>
      <c r="AZ29" s="63"/>
      <c r="BA29" s="320" t="s">
        <v>585</v>
      </c>
      <c r="BB29" s="201" t="e">
        <f>B6</f>
        <v>#DIV/0!</v>
      </c>
      <c r="BC29" s="201" t="e">
        <f>C6</f>
        <v>#DIV/0!</v>
      </c>
      <c r="BD29" s="201" t="e">
        <f>D6</f>
        <v>#DIV/0!</v>
      </c>
      <c r="BE29" s="201" t="e">
        <f>E6</f>
        <v>#DIV/0!</v>
      </c>
      <c r="BF29" s="201" t="e">
        <f>B7</f>
        <v>#DIV/0!</v>
      </c>
      <c r="BG29" s="201" t="e">
        <f>C7</f>
        <v>#DIV/0!</v>
      </c>
      <c r="BH29" s="201" t="e">
        <f>D7</f>
        <v>#DIV/0!</v>
      </c>
      <c r="BI29" s="201" t="e">
        <f>E7</f>
        <v>#DIV/0!</v>
      </c>
      <c r="BJ29" s="201" t="e">
        <f>B8</f>
        <v>#DIV/0!</v>
      </c>
      <c r="BK29" s="201" t="e">
        <f>C8</f>
        <v>#DIV/0!</v>
      </c>
      <c r="BL29" s="201" t="e">
        <f>D8</f>
        <v>#DIV/0!</v>
      </c>
      <c r="BM29" s="201" t="e">
        <f>E8</f>
        <v>#DIV/0!</v>
      </c>
      <c r="BN29" s="201" t="e">
        <f>B9</f>
        <v>#DIV/0!</v>
      </c>
      <c r="BO29" s="201" t="e">
        <f>C9</f>
        <v>#DIV/0!</v>
      </c>
      <c r="BP29" s="201" t="e">
        <f>D9</f>
        <v>#DIV/0!</v>
      </c>
      <c r="BQ29" s="201" t="e">
        <f>E9</f>
        <v>#DIV/0!</v>
      </c>
      <c r="BR29" s="211"/>
      <c r="BS29" s="195"/>
      <c r="BT29" s="194" t="s">
        <v>513</v>
      </c>
      <c r="BU29" s="194" t="s">
        <v>514</v>
      </c>
      <c r="BV29" s="194" t="s">
        <v>515</v>
      </c>
      <c r="BW29" s="194" t="s">
        <v>516</v>
      </c>
      <c r="BX29" s="194" t="s">
        <v>513</v>
      </c>
      <c r="BY29" s="194" t="s">
        <v>514</v>
      </c>
      <c r="BZ29" s="194" t="s">
        <v>515</v>
      </c>
      <c r="CA29" s="194" t="s">
        <v>516</v>
      </c>
      <c r="CB29" s="194" t="s">
        <v>513</v>
      </c>
      <c r="CC29" s="194" t="s">
        <v>514</v>
      </c>
      <c r="CD29" s="194" t="s">
        <v>515</v>
      </c>
      <c r="CE29" s="194" t="s">
        <v>516</v>
      </c>
      <c r="CF29" s="194" t="s">
        <v>513</v>
      </c>
      <c r="CG29" s="194" t="s">
        <v>514</v>
      </c>
      <c r="CH29" s="194" t="s">
        <v>515</v>
      </c>
      <c r="CI29" s="194" t="s">
        <v>516</v>
      </c>
      <c r="CJ29" s="226"/>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row>
    <row r="30" s="61" customFormat="1" ht="16" customHeight="1" spans="1:121">
      <c r="A30" s="269" t="s">
        <v>362</v>
      </c>
      <c r="B30" s="270"/>
      <c r="C30" s="77">
        <f>C24</f>
        <v>0</v>
      </c>
      <c r="D30" s="79"/>
      <c r="E30" s="79"/>
      <c r="F30" s="79" t="e">
        <f t="shared" ref="F30:F38" si="47">F29+C30</f>
        <v>#DIV/0!</v>
      </c>
      <c r="G30" s="73"/>
      <c r="H30" s="276" t="s">
        <v>586</v>
      </c>
      <c r="I30" s="276" t="s">
        <v>587</v>
      </c>
      <c r="J30" s="276" t="s">
        <v>588</v>
      </c>
      <c r="K30" s="276" t="s">
        <v>589</v>
      </c>
      <c r="L30" s="276" t="s">
        <v>590</v>
      </c>
      <c r="M30" s="85"/>
      <c r="N30" s="74"/>
      <c r="O30" s="74"/>
      <c r="P30" s="74"/>
      <c r="Q30" s="74"/>
      <c r="R30" s="74"/>
      <c r="S30" s="74"/>
      <c r="T30" s="120"/>
      <c r="U30" s="68" t="s">
        <v>464</v>
      </c>
      <c r="V30" s="115">
        <f>第6期!BB27</f>
        <v>0</v>
      </c>
      <c r="W30" s="115">
        <f>第6期!BC27</f>
        <v>0</v>
      </c>
      <c r="X30" s="115">
        <f>第6期!BD27</f>
        <v>0</v>
      </c>
      <c r="Y30" s="115">
        <f>第6期!BE27</f>
        <v>0</v>
      </c>
      <c r="Z30" s="74"/>
      <c r="AA30" s="73"/>
      <c r="AB30" s="151" t="s">
        <v>202</v>
      </c>
      <c r="AC30" s="156" t="e">
        <f t="shared" si="46"/>
        <v>#DIV/0!</v>
      </c>
      <c r="AD30" s="156" t="e">
        <f t="shared" si="46"/>
        <v>#DIV/0!</v>
      </c>
      <c r="AE30" s="156" t="e">
        <f t="shared" si="46"/>
        <v>#DIV/0!</v>
      </c>
      <c r="AF30" s="156" t="e">
        <f t="shared" si="46"/>
        <v>#DIV/0!</v>
      </c>
      <c r="AG30" s="74"/>
      <c r="AH30" s="73"/>
      <c r="AR30" s="103"/>
      <c r="AS30" s="190" t="s">
        <v>456</v>
      </c>
      <c r="AT30" s="189">
        <f>(AJ26*初始化表!E17+AJ27*初始化表!F17+AJ28*初始化表!G17+AJ29*初始化表!H17)/1300</f>
        <v>0</v>
      </c>
      <c r="AU30" s="103"/>
      <c r="AV30" s="103"/>
      <c r="AW30" s="103"/>
      <c r="AZ30" s="63"/>
      <c r="BA30" s="215" t="s">
        <v>37</v>
      </c>
      <c r="BB30" s="215" t="s">
        <v>591</v>
      </c>
      <c r="BC30" s="215" t="s">
        <v>592</v>
      </c>
      <c r="BD30" s="215" t="s">
        <v>593</v>
      </c>
      <c r="BE30" s="215" t="s">
        <v>594</v>
      </c>
      <c r="BF30" s="215" t="s">
        <v>595</v>
      </c>
      <c r="BG30" s="215" t="s">
        <v>596</v>
      </c>
      <c r="BH30" s="215" t="s">
        <v>597</v>
      </c>
      <c r="BI30" s="117" t="s">
        <v>598</v>
      </c>
      <c r="BJ30" s="215" t="s">
        <v>599</v>
      </c>
      <c r="BK30" s="215" t="s">
        <v>600</v>
      </c>
      <c r="BL30" s="203"/>
      <c r="BM30" s="215" t="s">
        <v>601</v>
      </c>
      <c r="BN30" s="215"/>
      <c r="BO30" s="215"/>
      <c r="BP30" s="215"/>
      <c r="BQ30" s="215"/>
      <c r="BR30" s="211"/>
      <c r="BS30" s="196">
        <f t="shared" ref="BS30:BS49" si="48">BS5</f>
        <v>0</v>
      </c>
      <c r="BT30" s="213" t="e">
        <f t="shared" ref="BT30:BT49" si="49">$BT5*(AJ61-BT$50)/BT$51</f>
        <v>#DIV/0!</v>
      </c>
      <c r="BU30" s="213" t="e">
        <f t="shared" ref="BU30:BU49" si="50">$BT5*(AK61-BU$50)/BU$51</f>
        <v>#DIV/0!</v>
      </c>
      <c r="BV30" s="213" t="e">
        <f t="shared" ref="BV30:BV49" si="51">$BT5*(AL61-BV$50)/BV$51</f>
        <v>#DIV/0!</v>
      </c>
      <c r="BW30" s="213" t="e">
        <f t="shared" ref="BW30:BW49" si="52">$BT5*(AM61-BW$50)/BW$51</f>
        <v>#DIV/0!</v>
      </c>
      <c r="BX30" s="213" t="e">
        <f t="shared" ref="BX30:BX49" si="53">$BT5*(AN61-BX$50)/BX$51</f>
        <v>#DIV/0!</v>
      </c>
      <c r="BY30" s="213" t="e">
        <f t="shared" ref="BY30:BY49" si="54">$BT5*(AO61-BY$50)/BY$51</f>
        <v>#DIV/0!</v>
      </c>
      <c r="BZ30" s="213" t="e">
        <f t="shared" ref="BZ30:BZ49" si="55">$BT5*(AP61-BZ$50)/BZ$51</f>
        <v>#DIV/0!</v>
      </c>
      <c r="CA30" s="213" t="e">
        <f t="shared" ref="CA30:CA49" si="56">$BT5*(AQ61-CA$50)/CA$51</f>
        <v>#DIV/0!</v>
      </c>
      <c r="CB30" s="213" t="e">
        <f t="shared" ref="CB30:CB49" si="57">$BT5*(AR61-CB$50)/CB$51</f>
        <v>#DIV/0!</v>
      </c>
      <c r="CC30" s="213" t="e">
        <f t="shared" ref="CC30:CC49" si="58">$BT5*(AS61-CC$50)/CC$51</f>
        <v>#DIV/0!</v>
      </c>
      <c r="CD30" s="213" t="e">
        <f t="shared" ref="CD30:CD49" si="59">$BT5*(AT61-CD$50)/CD$51</f>
        <v>#DIV/0!</v>
      </c>
      <c r="CE30" s="213" t="e">
        <f t="shared" ref="CE30:CE49" si="60">$BT5*(AU61-CE$50)/CE$51</f>
        <v>#DIV/0!</v>
      </c>
      <c r="CF30" s="213" t="e">
        <f t="shared" ref="CF30:CF49" si="61">$BT5*(AV61-CF$50)/CF$51</f>
        <v>#DIV/0!</v>
      </c>
      <c r="CG30" s="213" t="e">
        <f t="shared" ref="CG30:CG49" si="62">$BT5*(AW61-CG$50)/CG$51</f>
        <v>#DIV/0!</v>
      </c>
      <c r="CH30" s="213" t="e">
        <f t="shared" ref="CH30:CH49" si="63">$BT5*(AX61-CH$50)/CH$51</f>
        <v>#DIV/0!</v>
      </c>
      <c r="CI30" s="213" t="e">
        <f t="shared" ref="CI30:CI49" si="64">$BT5*(AY61-CI$50)/CI$51</f>
        <v>#DIV/0!</v>
      </c>
      <c r="CJ30" s="226"/>
      <c r="CK30" s="228"/>
      <c r="CL30" s="228"/>
      <c r="CM30" s="228"/>
      <c r="CN30" s="228"/>
      <c r="CO30" s="228"/>
      <c r="CP30" s="228"/>
      <c r="CQ30" s="228"/>
      <c r="CR30" s="228"/>
      <c r="CS30" s="228"/>
      <c r="CT30" s="228"/>
      <c r="CU30" s="228"/>
      <c r="CV30" s="228"/>
      <c r="CW30" s="228"/>
      <c r="CX30" s="228"/>
      <c r="CY30" s="228"/>
      <c r="CZ30" s="228"/>
      <c r="DA30" s="228"/>
      <c r="DB30" s="228"/>
      <c r="DC30" s="228"/>
      <c r="DD30" s="228"/>
      <c r="DE30" s="228"/>
      <c r="DF30" s="228"/>
      <c r="DG30" s="228"/>
      <c r="DH30" s="228"/>
      <c r="DI30" s="228"/>
      <c r="DJ30" s="228"/>
      <c r="DK30" s="228"/>
      <c r="DL30" s="228"/>
      <c r="DM30" s="228"/>
      <c r="DN30" s="228"/>
      <c r="DO30" s="228"/>
      <c r="DP30" s="228"/>
      <c r="DQ30" s="228"/>
    </row>
    <row r="31" s="61" customFormat="1" ht="16" customHeight="1" spans="1:121">
      <c r="A31" s="269" t="s">
        <v>363</v>
      </c>
      <c r="B31" s="270"/>
      <c r="C31" s="77">
        <f>-N35*5%</f>
        <v>0</v>
      </c>
      <c r="D31" s="79"/>
      <c r="E31" s="79"/>
      <c r="F31" s="79" t="e">
        <f t="shared" si="47"/>
        <v>#DIV/0!</v>
      </c>
      <c r="G31" s="73"/>
      <c r="H31" s="81" t="e">
        <f>N49-(B17*初始化表!E17+B18*初始化表!F17+B19*初始化表!G17+B20*初始化表!H17)/520</f>
        <v>#DIV/0!</v>
      </c>
      <c r="I31" s="81" t="e">
        <f>N49-(D17*初始化表!E17+D18*初始化表!F17+D19*初始化表!G17+D20*初始化表!H17)/520-(C17*初始化表!E17+C18*初始化表!F17+C19*初始化表!G17+C20*初始化表!H17)/260</f>
        <v>#DIV/0!</v>
      </c>
      <c r="J31" s="81" t="e">
        <f>N49-(E17*初始化表!E17+E18*初始化表!F17+E19*初始化表!G17+E20*初始化表!H17)/260</f>
        <v>#DIV/0!</v>
      </c>
      <c r="K31" s="81">
        <f>((D17-2*E17)*初始化表!E18+(D18-2*E18)*初始化表!F18+(D19-2*E19)*初始化表!G18+(D20-2*E20)*初始化表!H18)/520</f>
        <v>0</v>
      </c>
      <c r="L31" s="81">
        <f>((B17-2*C17)*初始化表!E18+(B18-2*C18)*初始化表!F18+(B19-2*C19)*初始化表!G18+(B20-2*C20)*初始化表!H18)/520</f>
        <v>0</v>
      </c>
      <c r="M31" s="85"/>
      <c r="N31" s="68" t="s">
        <v>602</v>
      </c>
      <c r="O31" s="69"/>
      <c r="P31" s="69"/>
      <c r="Q31" s="69"/>
      <c r="R31" s="69"/>
      <c r="S31" s="74"/>
      <c r="T31" s="120"/>
      <c r="U31" s="68" t="s">
        <v>465</v>
      </c>
      <c r="V31" s="115">
        <f>第6期!BF27</f>
        <v>0</v>
      </c>
      <c r="W31" s="115">
        <f>第6期!BG27</f>
        <v>0</v>
      </c>
      <c r="X31" s="115">
        <f>第6期!BH27</f>
        <v>0</v>
      </c>
      <c r="Y31" s="115">
        <f>第6期!BI27</f>
        <v>0</v>
      </c>
      <c r="Z31" s="74"/>
      <c r="AA31" s="73"/>
      <c r="AB31" s="151" t="s">
        <v>206</v>
      </c>
      <c r="AC31" s="156" t="e">
        <f t="shared" si="46"/>
        <v>#DIV/0!</v>
      </c>
      <c r="AD31" s="156" t="e">
        <f t="shared" si="46"/>
        <v>#DIV/0!</v>
      </c>
      <c r="AE31" s="156" t="e">
        <f t="shared" si="46"/>
        <v>#DIV/0!</v>
      </c>
      <c r="AF31" s="156" t="e">
        <f t="shared" si="46"/>
        <v>#DIV/0!</v>
      </c>
      <c r="AG31" s="74"/>
      <c r="AH31" s="73"/>
      <c r="AI31" s="296" t="s">
        <v>603</v>
      </c>
      <c r="AJ31" s="297"/>
      <c r="AK31" s="297"/>
      <c r="AL31" s="297"/>
      <c r="AM31" s="297"/>
      <c r="AN31" s="297"/>
      <c r="AO31" s="297"/>
      <c r="AP31" s="297"/>
      <c r="AQ31" s="297"/>
      <c r="AR31" s="297"/>
      <c r="AS31" s="297"/>
      <c r="AT31" s="297"/>
      <c r="AU31" s="297"/>
      <c r="AV31" s="297"/>
      <c r="AW31" s="297"/>
      <c r="AX31" s="297"/>
      <c r="AY31" s="297"/>
      <c r="AZ31" s="63"/>
      <c r="BA31" s="319">
        <f t="shared" ref="BA31:BA50" si="65">BA7</f>
        <v>0</v>
      </c>
      <c r="BB31" s="201">
        <f t="shared" ref="BB31:BB50" si="66">SUM(BB7:BE7)</f>
        <v>0</v>
      </c>
      <c r="BC31" s="201">
        <f t="shared" ref="BC31:BC50" si="67">SUM(BF7:BI7)</f>
        <v>0</v>
      </c>
      <c r="BD31" s="201">
        <f t="shared" ref="BD31:BD50" si="68">SUM(BJ7:BM7)</f>
        <v>0</v>
      </c>
      <c r="BE31" s="201">
        <f t="shared" ref="BE31:BE50" si="69">SUM(BN7:BQ7)</f>
        <v>0</v>
      </c>
      <c r="BF31" s="202">
        <f>(BB31*初始化表!E$17+BC31*初始化表!F$17+BD31*初始化表!G$17+BE31*初始化表!H$17)/1300</f>
        <v>0</v>
      </c>
      <c r="BG31" s="207">
        <f t="shared" ref="BG31:BG50" si="70">IF(BF31=0,0,AL107/BF31)</f>
        <v>0</v>
      </c>
      <c r="BH31" s="207">
        <f t="shared" ref="BH31:BH50" si="71">IF(BF31=0,0,AJ107/BF31)</f>
        <v>0</v>
      </c>
      <c r="BI31" s="321">
        <f>$BI$51+MAX(0,第6期!BI31)-BF31</f>
        <v>0</v>
      </c>
      <c r="BJ31" s="201" t="str">
        <f t="shared" ref="BJ31:BJ50" si="72">IF(BA31=0,"",RANK(BG31,$BG$31:$BG$50))</f>
        <v/>
      </c>
      <c r="BK31" s="201" t="str">
        <f t="shared" ref="BK31:BK50" si="73">IF(BA31=0,"",RANK(BH31,$BH$31:$BH$50))</f>
        <v/>
      </c>
      <c r="BL31" s="203"/>
      <c r="BM31" s="318"/>
      <c r="BN31" s="215" t="s">
        <v>459</v>
      </c>
      <c r="BO31" s="215" t="s">
        <v>460</v>
      </c>
      <c r="BP31" s="215" t="s">
        <v>461</v>
      </c>
      <c r="BQ31" s="215" t="s">
        <v>462</v>
      </c>
      <c r="BR31" s="211"/>
      <c r="BS31" s="196">
        <f t="shared" si="48"/>
        <v>0</v>
      </c>
      <c r="BT31" s="213" t="e">
        <f t="shared" si="49"/>
        <v>#DIV/0!</v>
      </c>
      <c r="BU31" s="213" t="e">
        <f t="shared" si="50"/>
        <v>#DIV/0!</v>
      </c>
      <c r="BV31" s="213" t="e">
        <f t="shared" si="51"/>
        <v>#DIV/0!</v>
      </c>
      <c r="BW31" s="213" t="e">
        <f t="shared" si="52"/>
        <v>#DIV/0!</v>
      </c>
      <c r="BX31" s="213" t="e">
        <f t="shared" si="53"/>
        <v>#DIV/0!</v>
      </c>
      <c r="BY31" s="213" t="e">
        <f t="shared" si="54"/>
        <v>#DIV/0!</v>
      </c>
      <c r="BZ31" s="213" t="e">
        <f t="shared" si="55"/>
        <v>#DIV/0!</v>
      </c>
      <c r="CA31" s="213" t="e">
        <f t="shared" si="56"/>
        <v>#DIV/0!</v>
      </c>
      <c r="CB31" s="213" t="e">
        <f t="shared" si="57"/>
        <v>#DIV/0!</v>
      </c>
      <c r="CC31" s="213" t="e">
        <f t="shared" si="58"/>
        <v>#DIV/0!</v>
      </c>
      <c r="CD31" s="213" t="e">
        <f t="shared" si="59"/>
        <v>#DIV/0!</v>
      </c>
      <c r="CE31" s="213" t="e">
        <f t="shared" si="60"/>
        <v>#DIV/0!</v>
      </c>
      <c r="CF31" s="213" t="e">
        <f t="shared" si="61"/>
        <v>#DIV/0!</v>
      </c>
      <c r="CG31" s="213" t="e">
        <f t="shared" si="62"/>
        <v>#DIV/0!</v>
      </c>
      <c r="CH31" s="213" t="e">
        <f t="shared" si="63"/>
        <v>#DIV/0!</v>
      </c>
      <c r="CI31" s="213" t="e">
        <f t="shared" si="64"/>
        <v>#DIV/0!</v>
      </c>
      <c r="CJ31" s="226"/>
      <c r="CK31" s="228"/>
      <c r="CL31" s="228"/>
      <c r="CM31" s="228"/>
      <c r="CN31" s="228"/>
      <c r="CO31" s="228"/>
      <c r="CP31" s="228"/>
      <c r="CQ31" s="228"/>
      <c r="CR31" s="228"/>
      <c r="CS31" s="228"/>
      <c r="CT31" s="228"/>
      <c r="CU31" s="228"/>
      <c r="CV31" s="228"/>
      <c r="CW31" s="228"/>
      <c r="CX31" s="228"/>
      <c r="CY31" s="228"/>
      <c r="CZ31" s="228"/>
      <c r="DA31" s="228"/>
      <c r="DB31" s="228"/>
      <c r="DC31" s="228"/>
      <c r="DD31" s="228"/>
      <c r="DE31" s="228"/>
      <c r="DF31" s="228"/>
      <c r="DG31" s="228"/>
      <c r="DH31" s="228"/>
      <c r="DI31" s="228"/>
      <c r="DJ31" s="228"/>
      <c r="DK31" s="228"/>
      <c r="DL31" s="228"/>
      <c r="DM31" s="228"/>
      <c r="DN31" s="228"/>
      <c r="DO31" s="228"/>
      <c r="DP31" s="228"/>
      <c r="DQ31" s="228"/>
    </row>
    <row r="32" s="61" customFormat="1" ht="16" customHeight="1" spans="1:121">
      <c r="A32" s="269" t="s">
        <v>364</v>
      </c>
      <c r="B32" s="270"/>
      <c r="C32" s="77">
        <f>-O35*初始化表!B24/4</f>
        <v>0</v>
      </c>
      <c r="D32" s="79"/>
      <c r="E32" s="79">
        <f>-C32</f>
        <v>0</v>
      </c>
      <c r="F32" s="79" t="e">
        <f t="shared" si="47"/>
        <v>#DIV/0!</v>
      </c>
      <c r="G32" s="73"/>
      <c r="H32" s="276" t="s">
        <v>604</v>
      </c>
      <c r="I32" s="276" t="s">
        <v>605</v>
      </c>
      <c r="J32" s="276" t="s">
        <v>606</v>
      </c>
      <c r="K32" s="276" t="s">
        <v>607</v>
      </c>
      <c r="L32" s="281"/>
      <c r="M32" s="85"/>
      <c r="N32" s="68" t="s">
        <v>608</v>
      </c>
      <c r="O32" s="68" t="s">
        <v>609</v>
      </c>
      <c r="P32" s="68" t="s">
        <v>610</v>
      </c>
      <c r="Q32" s="68" t="s">
        <v>611</v>
      </c>
      <c r="R32" s="68" t="s">
        <v>612</v>
      </c>
      <c r="S32" s="121"/>
      <c r="T32" s="120"/>
      <c r="U32" s="68" t="s">
        <v>466</v>
      </c>
      <c r="V32" s="115">
        <f>第6期!BJ27</f>
        <v>0</v>
      </c>
      <c r="W32" s="115">
        <f>第6期!BK27</f>
        <v>0</v>
      </c>
      <c r="X32" s="115">
        <f>第6期!BL27</f>
        <v>0</v>
      </c>
      <c r="Y32" s="115">
        <f>第6期!BM27</f>
        <v>0</v>
      </c>
      <c r="Z32" s="74"/>
      <c r="AA32" s="73"/>
      <c r="AB32" s="151" t="s">
        <v>208</v>
      </c>
      <c r="AC32" s="156" t="e">
        <f t="shared" si="46"/>
        <v>#DIV/0!</v>
      </c>
      <c r="AD32" s="156" t="e">
        <f t="shared" si="46"/>
        <v>#DIV/0!</v>
      </c>
      <c r="AE32" s="156" t="e">
        <f t="shared" si="46"/>
        <v>#DIV/0!</v>
      </c>
      <c r="AF32" s="156" t="e">
        <f t="shared" si="46"/>
        <v>#DIV/0!</v>
      </c>
      <c r="AG32" s="74"/>
      <c r="AH32" s="73"/>
      <c r="AI32" s="297"/>
      <c r="AJ32" s="297"/>
      <c r="AK32" s="297"/>
      <c r="AL32" s="297"/>
      <c r="AM32" s="297"/>
      <c r="AN32" s="297"/>
      <c r="AO32" s="297"/>
      <c r="AP32" s="297"/>
      <c r="AQ32" s="297"/>
      <c r="AR32" s="297"/>
      <c r="AS32" s="297"/>
      <c r="AT32" s="297"/>
      <c r="AU32" s="297"/>
      <c r="AV32" s="297"/>
      <c r="AW32" s="297"/>
      <c r="AX32" s="297"/>
      <c r="AY32" s="297"/>
      <c r="AZ32" s="63"/>
      <c r="BA32" s="319">
        <f t="shared" si="65"/>
        <v>0</v>
      </c>
      <c r="BB32" s="201">
        <f t="shared" si="66"/>
        <v>0</v>
      </c>
      <c r="BC32" s="201">
        <f t="shared" si="67"/>
        <v>0</v>
      </c>
      <c r="BD32" s="201">
        <f t="shared" si="68"/>
        <v>0</v>
      </c>
      <c r="BE32" s="201">
        <f t="shared" si="69"/>
        <v>0</v>
      </c>
      <c r="BF32" s="202">
        <f>(BB32*初始化表!E$17+BC32*初始化表!F$17+BD32*初始化表!G$17+BE32*初始化表!H$17)/1300</f>
        <v>0</v>
      </c>
      <c r="BG32" s="207">
        <f t="shared" si="70"/>
        <v>0</v>
      </c>
      <c r="BH32" s="207">
        <f t="shared" si="71"/>
        <v>0</v>
      </c>
      <c r="BI32" s="321">
        <f>$BI$51+MAX(0,第6期!BI32)-BF32</f>
        <v>0</v>
      </c>
      <c r="BJ32" s="201" t="str">
        <f t="shared" si="72"/>
        <v/>
      </c>
      <c r="BK32" s="201" t="str">
        <f t="shared" si="73"/>
        <v/>
      </c>
      <c r="BL32" s="203"/>
      <c r="BM32" s="215" t="s">
        <v>464</v>
      </c>
      <c r="BN32" s="201">
        <f>COUNTIF(BB7:BB26,"&gt;0")</f>
        <v>0</v>
      </c>
      <c r="BO32" s="201">
        <f>COUNTIF(BC7:BC26,"&gt;0")</f>
        <v>0</v>
      </c>
      <c r="BP32" s="201">
        <f>COUNTIF(BD7:BD26,"&gt;0")</f>
        <v>0</v>
      </c>
      <c r="BQ32" s="201">
        <f>COUNTIF(BE7:BE26,"&gt;0")</f>
        <v>0</v>
      </c>
      <c r="BR32" s="211"/>
      <c r="BS32" s="196">
        <f t="shared" si="48"/>
        <v>0</v>
      </c>
      <c r="BT32" s="213" t="e">
        <f t="shared" si="49"/>
        <v>#DIV/0!</v>
      </c>
      <c r="BU32" s="213" t="e">
        <f t="shared" si="50"/>
        <v>#DIV/0!</v>
      </c>
      <c r="BV32" s="213" t="e">
        <f t="shared" si="51"/>
        <v>#DIV/0!</v>
      </c>
      <c r="BW32" s="213" t="e">
        <f t="shared" si="52"/>
        <v>#DIV/0!</v>
      </c>
      <c r="BX32" s="213" t="e">
        <f t="shared" si="53"/>
        <v>#DIV/0!</v>
      </c>
      <c r="BY32" s="213" t="e">
        <f t="shared" si="54"/>
        <v>#DIV/0!</v>
      </c>
      <c r="BZ32" s="213" t="e">
        <f t="shared" si="55"/>
        <v>#DIV/0!</v>
      </c>
      <c r="CA32" s="213" t="e">
        <f t="shared" si="56"/>
        <v>#DIV/0!</v>
      </c>
      <c r="CB32" s="213" t="e">
        <f t="shared" si="57"/>
        <v>#DIV/0!</v>
      </c>
      <c r="CC32" s="213" t="e">
        <f t="shared" si="58"/>
        <v>#DIV/0!</v>
      </c>
      <c r="CD32" s="213" t="e">
        <f t="shared" si="59"/>
        <v>#DIV/0!</v>
      </c>
      <c r="CE32" s="213" t="e">
        <f t="shared" si="60"/>
        <v>#DIV/0!</v>
      </c>
      <c r="CF32" s="213" t="e">
        <f t="shared" si="61"/>
        <v>#DIV/0!</v>
      </c>
      <c r="CG32" s="213" t="e">
        <f t="shared" si="62"/>
        <v>#DIV/0!</v>
      </c>
      <c r="CH32" s="213" t="e">
        <f t="shared" si="63"/>
        <v>#DIV/0!</v>
      </c>
      <c r="CI32" s="213" t="e">
        <f t="shared" si="64"/>
        <v>#DIV/0!</v>
      </c>
      <c r="CJ32" s="226"/>
      <c r="CK32" s="228"/>
      <c r="CL32" s="228"/>
      <c r="CM32" s="228"/>
      <c r="CN32" s="228"/>
      <c r="CO32" s="228"/>
      <c r="CP32" s="228"/>
      <c r="CQ32" s="228"/>
      <c r="CR32" s="228"/>
      <c r="CS32" s="228"/>
      <c r="CT32" s="228"/>
      <c r="CU32" s="228"/>
      <c r="CV32" s="228"/>
      <c r="CW32" s="228"/>
      <c r="CX32" s="228"/>
      <c r="CY32" s="228"/>
      <c r="CZ32" s="228"/>
      <c r="DA32" s="228"/>
      <c r="DB32" s="228"/>
      <c r="DC32" s="228"/>
      <c r="DD32" s="228"/>
      <c r="DE32" s="228"/>
      <c r="DF32" s="228"/>
      <c r="DG32" s="228"/>
      <c r="DH32" s="228"/>
      <c r="DI32" s="228"/>
      <c r="DJ32" s="228"/>
      <c r="DK32" s="228"/>
      <c r="DL32" s="228"/>
      <c r="DM32" s="228"/>
      <c r="DN32" s="228"/>
      <c r="DO32" s="228"/>
      <c r="DP32" s="228"/>
      <c r="DQ32" s="228"/>
    </row>
    <row r="33" s="61" customFormat="1" ht="16" customHeight="1" spans="1:121">
      <c r="A33" s="269" t="s">
        <v>365</v>
      </c>
      <c r="B33" s="270"/>
      <c r="C33" s="77">
        <f>-B22*初始化表!B13</f>
        <v>0</v>
      </c>
      <c r="D33" s="79"/>
      <c r="E33" s="79">
        <f>E32-C33</f>
        <v>0</v>
      </c>
      <c r="F33" s="79" t="e">
        <f t="shared" si="47"/>
        <v>#DIV/0!</v>
      </c>
      <c r="G33" s="73"/>
      <c r="H33" s="82" t="e">
        <f>520*H31</f>
        <v>#DIV/0!</v>
      </c>
      <c r="I33" s="82" t="e">
        <f>520*I31</f>
        <v>#DIV/0!</v>
      </c>
      <c r="J33" s="82" t="e">
        <f>260*J31</f>
        <v>#DIV/0!</v>
      </c>
      <c r="K33" s="82">
        <f>I29*520</f>
        <v>0</v>
      </c>
      <c r="L33" s="158"/>
      <c r="M33" s="85"/>
      <c r="N33" s="83" t="e">
        <f>INT(IF(C28&lt;初始化表!B21,MIN((初始化表!B21-C28),P33),0)+1)</f>
        <v>#DIV/0!</v>
      </c>
      <c r="O33" s="83" t="e">
        <f>MAX(N33,IF(F48&lt;0,INT(-F48+1),0))</f>
        <v>#DIV/0!</v>
      </c>
      <c r="P33" s="102">
        <f>第6期!P33-第6期!B24</f>
        <v>0</v>
      </c>
      <c r="Q33" s="107"/>
      <c r="R33" s="83" t="e">
        <f>第6期!C37</f>
        <v>#DIV/0!</v>
      </c>
      <c r="S33" s="132"/>
      <c r="T33" s="120"/>
      <c r="U33" s="68" t="s">
        <v>468</v>
      </c>
      <c r="V33" s="115">
        <f>第6期!BN27</f>
        <v>0</v>
      </c>
      <c r="W33" s="115">
        <f>第6期!BO27</f>
        <v>0</v>
      </c>
      <c r="X33" s="115">
        <f>第6期!BP27</f>
        <v>0</v>
      </c>
      <c r="Y33" s="115">
        <f>第6期!BQ27</f>
        <v>0</v>
      </c>
      <c r="Z33" s="74"/>
      <c r="AA33" s="73"/>
      <c r="AB33" s="155"/>
      <c r="AC33" s="155"/>
      <c r="AD33" s="155"/>
      <c r="AE33" s="155"/>
      <c r="AF33" s="155"/>
      <c r="AG33" s="155"/>
      <c r="AH33" s="73"/>
      <c r="AZ33" s="63"/>
      <c r="BA33" s="319">
        <f t="shared" si="65"/>
        <v>0</v>
      </c>
      <c r="BB33" s="201">
        <f t="shared" si="66"/>
        <v>0</v>
      </c>
      <c r="BC33" s="201">
        <f t="shared" si="67"/>
        <v>0</v>
      </c>
      <c r="BD33" s="201">
        <f t="shared" si="68"/>
        <v>0</v>
      </c>
      <c r="BE33" s="201">
        <f t="shared" si="69"/>
        <v>0</v>
      </c>
      <c r="BF33" s="202">
        <f>(BB33*初始化表!E$17+BC33*初始化表!F$17+BD33*初始化表!G$17+BE33*初始化表!H$17)/1300</f>
        <v>0</v>
      </c>
      <c r="BG33" s="207">
        <f t="shared" si="70"/>
        <v>0</v>
      </c>
      <c r="BH33" s="207">
        <f t="shared" si="71"/>
        <v>0</v>
      </c>
      <c r="BI33" s="321">
        <f>$BI$51+MAX(0,第6期!BI33)-BF33</f>
        <v>0</v>
      </c>
      <c r="BJ33" s="201" t="str">
        <f t="shared" si="72"/>
        <v/>
      </c>
      <c r="BK33" s="201" t="str">
        <f t="shared" si="73"/>
        <v/>
      </c>
      <c r="BL33" s="203"/>
      <c r="BM33" s="215" t="s">
        <v>465</v>
      </c>
      <c r="BN33" s="201">
        <f>COUNTIF(BF7:BF26,"&gt;0")</f>
        <v>0</v>
      </c>
      <c r="BO33" s="201">
        <f>COUNTIF(BG7:BG26,"&gt;0")</f>
        <v>0</v>
      </c>
      <c r="BP33" s="201">
        <f>COUNTIF(BH7:BH26,"&gt;0")</f>
        <v>0</v>
      </c>
      <c r="BQ33" s="201">
        <f>COUNTIF(BI7:BI26,"&gt;0")</f>
        <v>0</v>
      </c>
      <c r="BR33" s="211"/>
      <c r="BS33" s="196">
        <f t="shared" si="48"/>
        <v>0</v>
      </c>
      <c r="BT33" s="213" t="e">
        <f t="shared" si="49"/>
        <v>#DIV/0!</v>
      </c>
      <c r="BU33" s="213" t="e">
        <f t="shared" si="50"/>
        <v>#DIV/0!</v>
      </c>
      <c r="BV33" s="213" t="e">
        <f t="shared" si="51"/>
        <v>#DIV/0!</v>
      </c>
      <c r="BW33" s="213" t="e">
        <f t="shared" si="52"/>
        <v>#DIV/0!</v>
      </c>
      <c r="BX33" s="213" t="e">
        <f t="shared" si="53"/>
        <v>#DIV/0!</v>
      </c>
      <c r="BY33" s="213" t="e">
        <f t="shared" si="54"/>
        <v>#DIV/0!</v>
      </c>
      <c r="BZ33" s="213" t="e">
        <f t="shared" si="55"/>
        <v>#DIV/0!</v>
      </c>
      <c r="CA33" s="213" t="e">
        <f t="shared" si="56"/>
        <v>#DIV/0!</v>
      </c>
      <c r="CB33" s="213" t="e">
        <f t="shared" si="57"/>
        <v>#DIV/0!</v>
      </c>
      <c r="CC33" s="213" t="e">
        <f t="shared" si="58"/>
        <v>#DIV/0!</v>
      </c>
      <c r="CD33" s="213" t="e">
        <f t="shared" si="59"/>
        <v>#DIV/0!</v>
      </c>
      <c r="CE33" s="213" t="e">
        <f t="shared" si="60"/>
        <v>#DIV/0!</v>
      </c>
      <c r="CF33" s="213" t="e">
        <f t="shared" si="61"/>
        <v>#DIV/0!</v>
      </c>
      <c r="CG33" s="213" t="e">
        <f t="shared" si="62"/>
        <v>#DIV/0!</v>
      </c>
      <c r="CH33" s="213" t="e">
        <f t="shared" si="63"/>
        <v>#DIV/0!</v>
      </c>
      <c r="CI33" s="213" t="e">
        <f t="shared" si="64"/>
        <v>#DIV/0!</v>
      </c>
      <c r="CJ33" s="226"/>
      <c r="CK33" s="228"/>
      <c r="CL33" s="228"/>
      <c r="CM33" s="228"/>
      <c r="CN33" s="228"/>
      <c r="CO33" s="228"/>
      <c r="CP33" s="228"/>
      <c r="CQ33" s="228"/>
      <c r="CR33" s="228"/>
      <c r="CS33" s="228"/>
      <c r="CT33" s="228"/>
      <c r="CU33" s="228"/>
      <c r="CV33" s="228"/>
      <c r="CW33" s="228"/>
      <c r="CX33" s="228"/>
      <c r="CY33" s="228"/>
      <c r="CZ33" s="228"/>
      <c r="DA33" s="228"/>
      <c r="DB33" s="228"/>
      <c r="DC33" s="228"/>
      <c r="DD33" s="228"/>
      <c r="DE33" s="228"/>
      <c r="DF33" s="228"/>
      <c r="DG33" s="228"/>
      <c r="DH33" s="228"/>
      <c r="DI33" s="228"/>
      <c r="DJ33" s="228"/>
      <c r="DK33" s="228"/>
      <c r="DL33" s="228"/>
      <c r="DM33" s="228"/>
      <c r="DN33" s="228"/>
      <c r="DO33" s="228"/>
      <c r="DP33" s="228"/>
      <c r="DQ33" s="228"/>
    </row>
    <row r="34" s="61" customFormat="1" ht="16" customHeight="1" spans="1:121">
      <c r="A34" s="269" t="s">
        <v>366</v>
      </c>
      <c r="B34" s="270"/>
      <c r="C34" s="77">
        <f>-C22*初始化表!B14</f>
        <v>0</v>
      </c>
      <c r="D34" s="79"/>
      <c r="E34" s="79">
        <f>E33-C34</f>
        <v>0</v>
      </c>
      <c r="F34" s="79" t="e">
        <f t="shared" si="47"/>
        <v>#DIV/0!</v>
      </c>
      <c r="G34" s="73"/>
      <c r="H34" s="269" t="s">
        <v>244</v>
      </c>
      <c r="I34" s="103">
        <f>-C43</f>
        <v>0</v>
      </c>
      <c r="J34" s="282" t="s">
        <v>613</v>
      </c>
      <c r="K34" s="283" t="s">
        <v>614</v>
      </c>
      <c r="L34" s="283"/>
      <c r="M34" s="85"/>
      <c r="N34" s="68" t="s">
        <v>615</v>
      </c>
      <c r="O34" s="68" t="s">
        <v>616</v>
      </c>
      <c r="P34" s="68" t="s">
        <v>617</v>
      </c>
      <c r="Q34" s="68" t="s">
        <v>618</v>
      </c>
      <c r="R34" s="68" t="s">
        <v>619</v>
      </c>
      <c r="S34" s="121"/>
      <c r="T34" s="120"/>
      <c r="U34" s="123"/>
      <c r="V34" s="74"/>
      <c r="W34" s="74"/>
      <c r="X34" s="74"/>
      <c r="Y34" s="74"/>
      <c r="Z34" s="74"/>
      <c r="AA34" s="73"/>
      <c r="AB34" s="151" t="s">
        <v>500</v>
      </c>
      <c r="AC34" s="151" t="s">
        <v>499</v>
      </c>
      <c r="AD34" s="151" t="s">
        <v>38</v>
      </c>
      <c r="AE34" s="151" t="s">
        <v>39</v>
      </c>
      <c r="AF34" s="151" t="s">
        <v>40</v>
      </c>
      <c r="AG34" s="151" t="s">
        <v>41</v>
      </c>
      <c r="AH34" s="73"/>
      <c r="AI34" s="296" t="s">
        <v>480</v>
      </c>
      <c r="AJ34" s="297"/>
      <c r="AK34" s="297"/>
      <c r="AL34" s="297"/>
      <c r="AM34" s="297"/>
      <c r="AN34" s="297"/>
      <c r="AO34" s="297"/>
      <c r="AP34" s="297"/>
      <c r="AQ34" s="297"/>
      <c r="AR34" s="297"/>
      <c r="AS34" s="297"/>
      <c r="AT34" s="297"/>
      <c r="AU34" s="297"/>
      <c r="AV34" s="297"/>
      <c r="AW34" s="297"/>
      <c r="AX34" s="297"/>
      <c r="AY34" s="297"/>
      <c r="AZ34" s="63"/>
      <c r="BA34" s="319">
        <f t="shared" si="65"/>
        <v>0</v>
      </c>
      <c r="BB34" s="201">
        <f t="shared" si="66"/>
        <v>0</v>
      </c>
      <c r="BC34" s="201">
        <f t="shared" si="67"/>
        <v>0</v>
      </c>
      <c r="BD34" s="201">
        <f t="shared" si="68"/>
        <v>0</v>
      </c>
      <c r="BE34" s="201">
        <f t="shared" si="69"/>
        <v>0</v>
      </c>
      <c r="BF34" s="202">
        <f>(BB34*初始化表!E$17+BC34*初始化表!F$17+BD34*初始化表!G$17+BE34*初始化表!H$17)/1300</f>
        <v>0</v>
      </c>
      <c r="BG34" s="207">
        <f t="shared" si="70"/>
        <v>0</v>
      </c>
      <c r="BH34" s="207">
        <f t="shared" si="71"/>
        <v>0</v>
      </c>
      <c r="BI34" s="321">
        <f>$BI$51+MAX(0,第6期!BI34)-BF34</f>
        <v>0</v>
      </c>
      <c r="BJ34" s="201" t="str">
        <f t="shared" si="72"/>
        <v/>
      </c>
      <c r="BK34" s="201" t="str">
        <f t="shared" si="73"/>
        <v/>
      </c>
      <c r="BL34" s="203"/>
      <c r="BM34" s="215" t="s">
        <v>466</v>
      </c>
      <c r="BN34" s="201">
        <f>COUNTIF(BJ7:BJ26,"&gt;0")</f>
        <v>0</v>
      </c>
      <c r="BO34" s="201">
        <f>COUNTIF(BK7:BK26,"&gt;0")</f>
        <v>0</v>
      </c>
      <c r="BP34" s="201">
        <f>COUNTIF(BL7:BL26,"&gt;0")</f>
        <v>0</v>
      </c>
      <c r="BQ34" s="201">
        <f>COUNTIF(BM7:BM26,"&gt;0")</f>
        <v>0</v>
      </c>
      <c r="BR34" s="211"/>
      <c r="BS34" s="196">
        <f t="shared" si="48"/>
        <v>0</v>
      </c>
      <c r="BT34" s="213" t="e">
        <f t="shared" si="49"/>
        <v>#DIV/0!</v>
      </c>
      <c r="BU34" s="213" t="e">
        <f t="shared" si="50"/>
        <v>#DIV/0!</v>
      </c>
      <c r="BV34" s="213" t="e">
        <f t="shared" si="51"/>
        <v>#DIV/0!</v>
      </c>
      <c r="BW34" s="213" t="e">
        <f t="shared" si="52"/>
        <v>#DIV/0!</v>
      </c>
      <c r="BX34" s="213" t="e">
        <f t="shared" si="53"/>
        <v>#DIV/0!</v>
      </c>
      <c r="BY34" s="213" t="e">
        <f t="shared" si="54"/>
        <v>#DIV/0!</v>
      </c>
      <c r="BZ34" s="213" t="e">
        <f t="shared" si="55"/>
        <v>#DIV/0!</v>
      </c>
      <c r="CA34" s="213" t="e">
        <f t="shared" si="56"/>
        <v>#DIV/0!</v>
      </c>
      <c r="CB34" s="213" t="e">
        <f t="shared" si="57"/>
        <v>#DIV/0!</v>
      </c>
      <c r="CC34" s="213" t="e">
        <f t="shared" si="58"/>
        <v>#DIV/0!</v>
      </c>
      <c r="CD34" s="213" t="e">
        <f t="shared" si="59"/>
        <v>#DIV/0!</v>
      </c>
      <c r="CE34" s="213" t="e">
        <f t="shared" si="60"/>
        <v>#DIV/0!</v>
      </c>
      <c r="CF34" s="213" t="e">
        <f t="shared" si="61"/>
        <v>#DIV/0!</v>
      </c>
      <c r="CG34" s="213" t="e">
        <f t="shared" si="62"/>
        <v>#DIV/0!</v>
      </c>
      <c r="CH34" s="213" t="e">
        <f t="shared" si="63"/>
        <v>#DIV/0!</v>
      </c>
      <c r="CI34" s="213" t="e">
        <f t="shared" si="64"/>
        <v>#DIV/0!</v>
      </c>
      <c r="CJ34" s="226"/>
      <c r="CK34" s="228"/>
      <c r="CL34" s="228"/>
      <c r="CM34" s="228"/>
      <c r="CN34" s="228"/>
      <c r="CO34" s="228"/>
      <c r="CP34" s="228"/>
      <c r="CQ34" s="228"/>
      <c r="CR34" s="228"/>
      <c r="CS34" s="228"/>
      <c r="CT34" s="228"/>
      <c r="CU34" s="228"/>
      <c r="CV34" s="228"/>
      <c r="CW34" s="228"/>
      <c r="CX34" s="228"/>
      <c r="CY34" s="228"/>
      <c r="CZ34" s="228"/>
      <c r="DA34" s="228"/>
      <c r="DB34" s="228"/>
      <c r="DC34" s="228"/>
      <c r="DD34" s="228"/>
      <c r="DE34" s="228"/>
      <c r="DF34" s="228"/>
      <c r="DG34" s="228"/>
      <c r="DH34" s="228"/>
      <c r="DI34" s="228"/>
      <c r="DJ34" s="228"/>
      <c r="DK34" s="228"/>
      <c r="DL34" s="228"/>
      <c r="DM34" s="228"/>
      <c r="DN34" s="228"/>
      <c r="DO34" s="228"/>
      <c r="DP34" s="228"/>
      <c r="DQ34" s="228"/>
    </row>
    <row r="35" s="61" customFormat="1" ht="16" customHeight="1" spans="1:121">
      <c r="A35" s="269" t="s">
        <v>367</v>
      </c>
      <c r="B35" s="270"/>
      <c r="C35" s="77">
        <f>-(H17-C22+B22*初始化表!H4)*初始化表!B15*520*F24</f>
        <v>0</v>
      </c>
      <c r="D35" s="79"/>
      <c r="E35" s="79">
        <f>E34-C35</f>
        <v>0</v>
      </c>
      <c r="F35" s="79" t="e">
        <f t="shared" si="47"/>
        <v>#DIV/0!</v>
      </c>
      <c r="G35" s="73"/>
      <c r="H35" s="269" t="s">
        <v>223</v>
      </c>
      <c r="I35" s="103">
        <f>-C33</f>
        <v>0</v>
      </c>
      <c r="J35" s="106" t="e">
        <f>INT(($N$49*1300-SUMPRODUCT($L$177:$L$180,$H$177:$H$180))/H177)</f>
        <v>#DIV/0!</v>
      </c>
      <c r="K35" s="273" t="s">
        <v>198</v>
      </c>
      <c r="L35" s="90"/>
      <c r="M35" s="85"/>
      <c r="N35" s="102">
        <f>第6期!C24+第6期!N35</f>
        <v>0</v>
      </c>
      <c r="O35" s="102">
        <f>第6期!O35+第6期!C31+第6期!C30</f>
        <v>0</v>
      </c>
      <c r="P35" s="83" t="e">
        <f>INT(Q35)</f>
        <v>#DIV/0!</v>
      </c>
      <c r="Q35" s="133" t="e">
        <f>0.5*第6期!B80-O35</f>
        <v>#DIV/0!</v>
      </c>
      <c r="R35" s="107"/>
      <c r="S35" s="131"/>
      <c r="T35" s="120"/>
      <c r="U35" s="68" t="s">
        <v>620</v>
      </c>
      <c r="V35" s="68" t="s">
        <v>459</v>
      </c>
      <c r="W35" s="68" t="s">
        <v>460</v>
      </c>
      <c r="X35" s="68" t="s">
        <v>461</v>
      </c>
      <c r="Y35" s="68" t="s">
        <v>462</v>
      </c>
      <c r="Z35" s="74"/>
      <c r="AA35" s="73"/>
      <c r="AB35" s="151" t="s">
        <v>198</v>
      </c>
      <c r="AC35" s="152" t="e">
        <f>初始化表!$E$22-AC5</f>
        <v>#DIV/0!</v>
      </c>
      <c r="AD35" s="152" t="e">
        <f>初始化表!$E$22-AD5</f>
        <v>#DIV/0!</v>
      </c>
      <c r="AE35" s="152" t="e">
        <f>初始化表!$E$22-AE5</f>
        <v>#DIV/0!</v>
      </c>
      <c r="AF35" s="152" t="e">
        <f>初始化表!$E$22-AF5</f>
        <v>#DIV/0!</v>
      </c>
      <c r="AG35" s="152" t="e">
        <f>初始化表!$E$22-AG5</f>
        <v>#DIV/0!</v>
      </c>
      <c r="AH35" s="73"/>
      <c r="AI35" s="296" t="s">
        <v>37</v>
      </c>
      <c r="AJ35" s="296" t="s">
        <v>35</v>
      </c>
      <c r="AK35" s="297"/>
      <c r="AL35" s="297"/>
      <c r="AM35" s="297"/>
      <c r="AN35" s="296" t="s">
        <v>780</v>
      </c>
      <c r="AO35" s="297"/>
      <c r="AP35" s="297"/>
      <c r="AQ35" s="297"/>
      <c r="AR35" s="296" t="s">
        <v>781</v>
      </c>
      <c r="AS35" s="297"/>
      <c r="AT35" s="297"/>
      <c r="AU35" s="297"/>
      <c r="AV35" s="296" t="s">
        <v>782</v>
      </c>
      <c r="AW35" s="297"/>
      <c r="AX35" s="297"/>
      <c r="AY35" s="297"/>
      <c r="AZ35" s="63"/>
      <c r="BA35" s="319">
        <f t="shared" si="65"/>
        <v>0</v>
      </c>
      <c r="BB35" s="201">
        <f t="shared" si="66"/>
        <v>0</v>
      </c>
      <c r="BC35" s="201">
        <f t="shared" si="67"/>
        <v>0</v>
      </c>
      <c r="BD35" s="201">
        <f t="shared" si="68"/>
        <v>0</v>
      </c>
      <c r="BE35" s="201">
        <f t="shared" si="69"/>
        <v>0</v>
      </c>
      <c r="BF35" s="202">
        <f>(BB35*初始化表!E$17+BC35*初始化表!F$17+BD35*初始化表!G$17+BE35*初始化表!H$17)/1300</f>
        <v>0</v>
      </c>
      <c r="BG35" s="207">
        <f t="shared" si="70"/>
        <v>0</v>
      </c>
      <c r="BH35" s="207">
        <f t="shared" si="71"/>
        <v>0</v>
      </c>
      <c r="BI35" s="321">
        <f>$BI$51+MAX(0,第6期!BI35)-BF35</f>
        <v>0</v>
      </c>
      <c r="BJ35" s="201" t="str">
        <f t="shared" si="72"/>
        <v/>
      </c>
      <c r="BK35" s="201" t="str">
        <f t="shared" si="73"/>
        <v/>
      </c>
      <c r="BL35" s="203"/>
      <c r="BM35" s="215" t="s">
        <v>468</v>
      </c>
      <c r="BN35" s="201">
        <f>COUNTIF(BN7:BN26,"&gt;0")</f>
        <v>0</v>
      </c>
      <c r="BO35" s="201">
        <f>COUNTIF(BO7:BO26,"&gt;0")</f>
        <v>0</v>
      </c>
      <c r="BP35" s="201">
        <f>COUNTIF(BP7:BP26,"&gt;0")</f>
        <v>0</v>
      </c>
      <c r="BQ35" s="201">
        <f>COUNTIF(BQ7:BQ26,"&gt;0")</f>
        <v>0</v>
      </c>
      <c r="BR35" s="211"/>
      <c r="BS35" s="196">
        <f t="shared" si="48"/>
        <v>0</v>
      </c>
      <c r="BT35" s="213" t="e">
        <f t="shared" si="49"/>
        <v>#DIV/0!</v>
      </c>
      <c r="BU35" s="213" t="e">
        <f t="shared" si="50"/>
        <v>#DIV/0!</v>
      </c>
      <c r="BV35" s="213" t="e">
        <f t="shared" si="51"/>
        <v>#DIV/0!</v>
      </c>
      <c r="BW35" s="213" t="e">
        <f t="shared" si="52"/>
        <v>#DIV/0!</v>
      </c>
      <c r="BX35" s="213" t="e">
        <f t="shared" si="53"/>
        <v>#DIV/0!</v>
      </c>
      <c r="BY35" s="213" t="e">
        <f t="shared" si="54"/>
        <v>#DIV/0!</v>
      </c>
      <c r="BZ35" s="213" t="e">
        <f t="shared" si="55"/>
        <v>#DIV/0!</v>
      </c>
      <c r="CA35" s="213" t="e">
        <f t="shared" si="56"/>
        <v>#DIV/0!</v>
      </c>
      <c r="CB35" s="213" t="e">
        <f t="shared" si="57"/>
        <v>#DIV/0!</v>
      </c>
      <c r="CC35" s="213" t="e">
        <f t="shared" si="58"/>
        <v>#DIV/0!</v>
      </c>
      <c r="CD35" s="213" t="e">
        <f t="shared" si="59"/>
        <v>#DIV/0!</v>
      </c>
      <c r="CE35" s="213" t="e">
        <f t="shared" si="60"/>
        <v>#DIV/0!</v>
      </c>
      <c r="CF35" s="213" t="e">
        <f t="shared" si="61"/>
        <v>#DIV/0!</v>
      </c>
      <c r="CG35" s="213" t="e">
        <f t="shared" si="62"/>
        <v>#DIV/0!</v>
      </c>
      <c r="CH35" s="213" t="e">
        <f t="shared" si="63"/>
        <v>#DIV/0!</v>
      </c>
      <c r="CI35" s="213" t="e">
        <f t="shared" si="64"/>
        <v>#DIV/0!</v>
      </c>
      <c r="CJ35" s="226"/>
      <c r="CK35" s="228"/>
      <c r="CL35" s="228"/>
      <c r="CM35" s="228"/>
      <c r="CN35" s="228"/>
      <c r="CO35" s="228"/>
      <c r="CP35" s="228"/>
      <c r="CQ35" s="228"/>
      <c r="CR35" s="228"/>
      <c r="CS35" s="228"/>
      <c r="CT35" s="228"/>
      <c r="CU35" s="228"/>
      <c r="CV35" s="228"/>
      <c r="CW35" s="228"/>
      <c r="CX35" s="228"/>
      <c r="CY35" s="228"/>
      <c r="CZ35" s="228"/>
      <c r="DA35" s="228"/>
      <c r="DB35" s="228"/>
      <c r="DC35" s="228"/>
      <c r="DD35" s="228"/>
      <c r="DE35" s="228"/>
      <c r="DF35" s="228"/>
      <c r="DG35" s="228"/>
      <c r="DH35" s="228"/>
      <c r="DI35" s="228"/>
      <c r="DJ35" s="228"/>
      <c r="DK35" s="228"/>
      <c r="DL35" s="228"/>
      <c r="DM35" s="228"/>
      <c r="DN35" s="228"/>
      <c r="DO35" s="228"/>
      <c r="DP35" s="228"/>
      <c r="DQ35" s="228"/>
    </row>
    <row r="36" s="61" customFormat="1" ht="16" customHeight="1" spans="1:121">
      <c r="A36" s="269" t="s">
        <v>368</v>
      </c>
      <c r="B36" s="270"/>
      <c r="C36" s="77" t="e">
        <f>-N49*初始化表!B12</f>
        <v>#DIV/0!</v>
      </c>
      <c r="D36" s="79"/>
      <c r="E36" s="79" t="e">
        <f>E35-C36</f>
        <v>#DIV/0!</v>
      </c>
      <c r="F36" s="79" t="e">
        <f t="shared" si="47"/>
        <v>#DIV/0!</v>
      </c>
      <c r="G36" s="73"/>
      <c r="H36" s="269" t="s">
        <v>621</v>
      </c>
      <c r="I36" s="103">
        <f>-C34</f>
        <v>0</v>
      </c>
      <c r="J36" s="106" t="e">
        <f>INT(($N$49*1300-SUMPRODUCT($L$177:$L$180,$H$177:$H$180))/H178)</f>
        <v>#DIV/0!</v>
      </c>
      <c r="K36" s="273" t="s">
        <v>202</v>
      </c>
      <c r="L36" s="90"/>
      <c r="M36" s="85"/>
      <c r="N36" s="68" t="s">
        <v>622</v>
      </c>
      <c r="O36" s="68" t="s">
        <v>623</v>
      </c>
      <c r="P36" s="68" t="s">
        <v>624</v>
      </c>
      <c r="Q36" s="68" t="s">
        <v>625</v>
      </c>
      <c r="R36" s="68" t="s">
        <v>626</v>
      </c>
      <c r="S36" s="269" t="s">
        <v>739</v>
      </c>
      <c r="T36" s="289" t="s">
        <v>740</v>
      </c>
      <c r="U36" s="68" t="s">
        <v>464</v>
      </c>
      <c r="V36" s="115" t="e">
        <f>第6期!BN42</f>
        <v>#DIV/0!</v>
      </c>
      <c r="W36" s="115" t="e">
        <f>第6期!BO42</f>
        <v>#DIV/0!</v>
      </c>
      <c r="X36" s="115" t="e">
        <f>第6期!BP42</f>
        <v>#DIV/0!</v>
      </c>
      <c r="Y36" s="115" t="e">
        <f>第6期!BQ42</f>
        <v>#DIV/0!</v>
      </c>
      <c r="Z36" s="74"/>
      <c r="AA36" s="73"/>
      <c r="AB36" s="151" t="s">
        <v>202</v>
      </c>
      <c r="AC36" s="152" t="e">
        <f>初始化表!$F$22-AC6</f>
        <v>#DIV/0!</v>
      </c>
      <c r="AD36" s="152" t="e">
        <f>初始化表!$F$22-AD6</f>
        <v>#DIV/0!</v>
      </c>
      <c r="AE36" s="152" t="e">
        <f>初始化表!$F$22-AE6</f>
        <v>#DIV/0!</v>
      </c>
      <c r="AF36" s="152" t="e">
        <f>初始化表!$F$22-AF6</f>
        <v>#DIV/0!</v>
      </c>
      <c r="AG36" s="152" t="e">
        <f>初始化表!$F$22-AG6</f>
        <v>#DIV/0!</v>
      </c>
      <c r="AH36" s="73"/>
      <c r="AI36" s="297"/>
      <c r="AJ36" s="296" t="s">
        <v>38</v>
      </c>
      <c r="AK36" s="296" t="s">
        <v>39</v>
      </c>
      <c r="AL36" s="296" t="s">
        <v>40</v>
      </c>
      <c r="AM36" s="296" t="s">
        <v>41</v>
      </c>
      <c r="AN36" s="296" t="s">
        <v>38</v>
      </c>
      <c r="AO36" s="296" t="s">
        <v>39</v>
      </c>
      <c r="AP36" s="296" t="s">
        <v>40</v>
      </c>
      <c r="AQ36" s="296" t="s">
        <v>41</v>
      </c>
      <c r="AR36" s="296" t="s">
        <v>38</v>
      </c>
      <c r="AS36" s="296" t="s">
        <v>39</v>
      </c>
      <c r="AT36" s="296" t="s">
        <v>40</v>
      </c>
      <c r="AU36" s="296" t="s">
        <v>41</v>
      </c>
      <c r="AV36" s="296" t="s">
        <v>38</v>
      </c>
      <c r="AW36" s="296" t="s">
        <v>39</v>
      </c>
      <c r="AX36" s="296" t="s">
        <v>40</v>
      </c>
      <c r="AY36" s="296" t="s">
        <v>41</v>
      </c>
      <c r="AZ36" s="63"/>
      <c r="BA36" s="319">
        <f t="shared" si="65"/>
        <v>0</v>
      </c>
      <c r="BB36" s="201">
        <f t="shared" si="66"/>
        <v>0</v>
      </c>
      <c r="BC36" s="201">
        <f t="shared" si="67"/>
        <v>0</v>
      </c>
      <c r="BD36" s="201">
        <f t="shared" si="68"/>
        <v>0</v>
      </c>
      <c r="BE36" s="201">
        <f t="shared" si="69"/>
        <v>0</v>
      </c>
      <c r="BF36" s="202">
        <f>(BB36*初始化表!E$17+BC36*初始化表!F$17+BD36*初始化表!G$17+BE36*初始化表!H$17)/1300</f>
        <v>0</v>
      </c>
      <c r="BG36" s="207">
        <f t="shared" si="70"/>
        <v>0</v>
      </c>
      <c r="BH36" s="207">
        <f t="shared" si="71"/>
        <v>0</v>
      </c>
      <c r="BI36" s="321">
        <f>$BI$51+MAX(0,第6期!BI36)-BF36</f>
        <v>0</v>
      </c>
      <c r="BJ36" s="201" t="str">
        <f t="shared" si="72"/>
        <v/>
      </c>
      <c r="BK36" s="201" t="str">
        <f t="shared" si="73"/>
        <v/>
      </c>
      <c r="BL36" s="203"/>
      <c r="BM36" s="318"/>
      <c r="BN36" s="215" t="s">
        <v>459</v>
      </c>
      <c r="BO36" s="215" t="s">
        <v>460</v>
      </c>
      <c r="BP36" s="215" t="s">
        <v>461</v>
      </c>
      <c r="BQ36" s="215" t="s">
        <v>462</v>
      </c>
      <c r="BR36" s="211"/>
      <c r="BS36" s="196">
        <f t="shared" si="48"/>
        <v>0</v>
      </c>
      <c r="BT36" s="213" t="e">
        <f t="shared" si="49"/>
        <v>#DIV/0!</v>
      </c>
      <c r="BU36" s="213" t="e">
        <f t="shared" si="50"/>
        <v>#DIV/0!</v>
      </c>
      <c r="BV36" s="213" t="e">
        <f t="shared" si="51"/>
        <v>#DIV/0!</v>
      </c>
      <c r="BW36" s="213" t="e">
        <f t="shared" si="52"/>
        <v>#DIV/0!</v>
      </c>
      <c r="BX36" s="213" t="e">
        <f t="shared" si="53"/>
        <v>#DIV/0!</v>
      </c>
      <c r="BY36" s="213" t="e">
        <f t="shared" si="54"/>
        <v>#DIV/0!</v>
      </c>
      <c r="BZ36" s="213" t="e">
        <f t="shared" si="55"/>
        <v>#DIV/0!</v>
      </c>
      <c r="CA36" s="213" t="e">
        <f t="shared" si="56"/>
        <v>#DIV/0!</v>
      </c>
      <c r="CB36" s="213" t="e">
        <f t="shared" si="57"/>
        <v>#DIV/0!</v>
      </c>
      <c r="CC36" s="213" t="e">
        <f t="shared" si="58"/>
        <v>#DIV/0!</v>
      </c>
      <c r="CD36" s="213" t="e">
        <f t="shared" si="59"/>
        <v>#DIV/0!</v>
      </c>
      <c r="CE36" s="213" t="e">
        <f t="shared" si="60"/>
        <v>#DIV/0!</v>
      </c>
      <c r="CF36" s="213" t="e">
        <f t="shared" si="61"/>
        <v>#DIV/0!</v>
      </c>
      <c r="CG36" s="213" t="e">
        <f t="shared" si="62"/>
        <v>#DIV/0!</v>
      </c>
      <c r="CH36" s="213" t="e">
        <f t="shared" si="63"/>
        <v>#DIV/0!</v>
      </c>
      <c r="CI36" s="213" t="e">
        <f t="shared" si="64"/>
        <v>#DIV/0!</v>
      </c>
      <c r="CJ36" s="226"/>
      <c r="CK36" s="228"/>
      <c r="CL36" s="228"/>
      <c r="CM36" s="228"/>
      <c r="CN36" s="228"/>
      <c r="CO36" s="228"/>
      <c r="CP36" s="228"/>
      <c r="CQ36" s="228"/>
      <c r="CR36" s="228"/>
      <c r="CS36" s="228"/>
      <c r="CT36" s="228"/>
      <c r="CU36" s="228"/>
      <c r="CV36" s="228"/>
      <c r="CW36" s="228"/>
      <c r="CX36" s="228"/>
      <c r="CY36" s="228"/>
      <c r="CZ36" s="228"/>
      <c r="DA36" s="228"/>
      <c r="DB36" s="228"/>
      <c r="DC36" s="228"/>
      <c r="DD36" s="228"/>
      <c r="DE36" s="228"/>
      <c r="DF36" s="228"/>
      <c r="DG36" s="228"/>
      <c r="DH36" s="228"/>
      <c r="DI36" s="228"/>
      <c r="DJ36" s="228"/>
      <c r="DK36" s="228"/>
      <c r="DL36" s="228"/>
      <c r="DM36" s="228"/>
      <c r="DN36" s="228"/>
      <c r="DO36" s="228"/>
      <c r="DP36" s="228"/>
      <c r="DQ36" s="228"/>
    </row>
    <row r="37" s="61" customFormat="1" ht="16" customHeight="1" spans="1:121">
      <c r="A37" s="269" t="s">
        <v>369</v>
      </c>
      <c r="B37" s="270"/>
      <c r="C37" s="77" t="e">
        <f>IF(F36&lt;0,INT(1-F36),0)</f>
        <v>#DIV/0!</v>
      </c>
      <c r="D37" s="79"/>
      <c r="E37" s="79"/>
      <c r="F37" s="79" t="e">
        <f t="shared" si="47"/>
        <v>#DIV/0!</v>
      </c>
      <c r="G37" s="73"/>
      <c r="H37" s="269" t="s">
        <v>225</v>
      </c>
      <c r="I37" s="103">
        <f>-C35</f>
        <v>0</v>
      </c>
      <c r="J37" s="106" t="e">
        <f>INT(($N$49*1300-SUMPRODUCT($L$177:$L$180,$H$177:$H$180))/H179)</f>
        <v>#DIV/0!</v>
      </c>
      <c r="K37" s="273" t="s">
        <v>206</v>
      </c>
      <c r="L37" s="90"/>
      <c r="M37" s="85"/>
      <c r="N37" s="102">
        <f>第6期!D24</f>
        <v>0</v>
      </c>
      <c r="O37" s="107"/>
      <c r="P37" s="102" t="e">
        <f>MAX(0,INT(MIN(D56-E60+C61,F62-初始化表!B21)))</f>
        <v>#DIV/0!</v>
      </c>
      <c r="Q37" s="102" t="e">
        <f>MAX(0,INT(MIN(F62-MAX(E60,C28),F62+第8期!Q35+第8期!P33-F30+F48,P37)))</f>
        <v>#DIV/0!</v>
      </c>
      <c r="R37" s="107"/>
      <c r="S37" s="290" t="str">
        <f>IF(第6期!BA7=0,"未定",IF(第6期!BY27*(1-初始化表!B34*1.2)-(1-初始化表!B36)*第6期!BZ27&gt;0,"分红","不分红"))</f>
        <v>未定</v>
      </c>
      <c r="T37" s="291" t="str">
        <f>IF(第6期!BA7=0,"未定",ABS(第6期!BY27-第6期!BZ27))</f>
        <v>未定</v>
      </c>
      <c r="U37" s="68" t="s">
        <v>465</v>
      </c>
      <c r="V37" s="115" t="e">
        <f>第6期!BN43</f>
        <v>#DIV/0!</v>
      </c>
      <c r="W37" s="115" t="e">
        <f>第6期!BO43</f>
        <v>#DIV/0!</v>
      </c>
      <c r="X37" s="115" t="e">
        <f>第6期!BP43</f>
        <v>#DIV/0!</v>
      </c>
      <c r="Y37" s="115" t="e">
        <f>第6期!BQ43</f>
        <v>#DIV/0!</v>
      </c>
      <c r="Z37" s="74"/>
      <c r="AA37" s="73"/>
      <c r="AB37" s="151" t="s">
        <v>206</v>
      </c>
      <c r="AC37" s="152" t="e">
        <f>初始化表!$G$22-AC7</f>
        <v>#DIV/0!</v>
      </c>
      <c r="AD37" s="152" t="e">
        <f>初始化表!$G$22-AD7</f>
        <v>#DIV/0!</v>
      </c>
      <c r="AE37" s="152" t="e">
        <f>初始化表!$G$22-AE7</f>
        <v>#DIV/0!</v>
      </c>
      <c r="AF37" s="152" t="e">
        <f>初始化表!$G$22-AF7</f>
        <v>#DIV/0!</v>
      </c>
      <c r="AG37" s="152" t="e">
        <f>初始化表!$G$22-AG7</f>
        <v>#DIV/0!</v>
      </c>
      <c r="AH37" s="73"/>
      <c r="AI37" s="312"/>
      <c r="AJ37" s="313"/>
      <c r="AK37" s="313"/>
      <c r="AL37" s="313"/>
      <c r="AM37" s="313"/>
      <c r="AN37" s="313"/>
      <c r="AO37" s="313"/>
      <c r="AP37" s="313"/>
      <c r="AQ37" s="313"/>
      <c r="AR37" s="313"/>
      <c r="AS37" s="313"/>
      <c r="AT37" s="313"/>
      <c r="AU37" s="313"/>
      <c r="AV37" s="313"/>
      <c r="AW37" s="313"/>
      <c r="AX37" s="313"/>
      <c r="AY37" s="313"/>
      <c r="AZ37" s="63"/>
      <c r="BA37" s="319">
        <f t="shared" si="65"/>
        <v>0</v>
      </c>
      <c r="BB37" s="201">
        <f t="shared" si="66"/>
        <v>0</v>
      </c>
      <c r="BC37" s="201">
        <f t="shared" si="67"/>
        <v>0</v>
      </c>
      <c r="BD37" s="201">
        <f t="shared" si="68"/>
        <v>0</v>
      </c>
      <c r="BE37" s="201">
        <f t="shared" si="69"/>
        <v>0</v>
      </c>
      <c r="BF37" s="202">
        <f>(BB37*初始化表!E$17+BC37*初始化表!F$17+BD37*初始化表!G$17+BE37*初始化表!H$17)/1300</f>
        <v>0</v>
      </c>
      <c r="BG37" s="207">
        <f t="shared" si="70"/>
        <v>0</v>
      </c>
      <c r="BH37" s="207">
        <f t="shared" si="71"/>
        <v>0</v>
      </c>
      <c r="BI37" s="321">
        <f>$BI$51+MAX(0,第6期!BI37)-BF37</f>
        <v>0</v>
      </c>
      <c r="BJ37" s="201" t="str">
        <f t="shared" si="72"/>
        <v/>
      </c>
      <c r="BK37" s="201" t="str">
        <f t="shared" si="73"/>
        <v/>
      </c>
      <c r="BL37" s="203"/>
      <c r="BM37" s="215" t="s">
        <v>464</v>
      </c>
      <c r="BN37" s="201">
        <f>BB28</f>
        <v>0</v>
      </c>
      <c r="BO37" s="201">
        <f>BC28</f>
        <v>0</v>
      </c>
      <c r="BP37" s="201">
        <f>BD28</f>
        <v>0</v>
      </c>
      <c r="BQ37" s="201">
        <f>BE28</f>
        <v>0</v>
      </c>
      <c r="BR37" s="211"/>
      <c r="BS37" s="196">
        <f t="shared" si="48"/>
        <v>0</v>
      </c>
      <c r="BT37" s="213" t="e">
        <f t="shared" si="49"/>
        <v>#DIV/0!</v>
      </c>
      <c r="BU37" s="213" t="e">
        <f t="shared" si="50"/>
        <v>#DIV/0!</v>
      </c>
      <c r="BV37" s="213" t="e">
        <f t="shared" si="51"/>
        <v>#DIV/0!</v>
      </c>
      <c r="BW37" s="213" t="e">
        <f t="shared" si="52"/>
        <v>#DIV/0!</v>
      </c>
      <c r="BX37" s="213" t="e">
        <f t="shared" si="53"/>
        <v>#DIV/0!</v>
      </c>
      <c r="BY37" s="213" t="e">
        <f t="shared" si="54"/>
        <v>#DIV/0!</v>
      </c>
      <c r="BZ37" s="213" t="e">
        <f t="shared" si="55"/>
        <v>#DIV/0!</v>
      </c>
      <c r="CA37" s="213" t="e">
        <f t="shared" si="56"/>
        <v>#DIV/0!</v>
      </c>
      <c r="CB37" s="213" t="e">
        <f t="shared" si="57"/>
        <v>#DIV/0!</v>
      </c>
      <c r="CC37" s="213" t="e">
        <f t="shared" si="58"/>
        <v>#DIV/0!</v>
      </c>
      <c r="CD37" s="213" t="e">
        <f t="shared" si="59"/>
        <v>#DIV/0!</v>
      </c>
      <c r="CE37" s="213" t="e">
        <f t="shared" si="60"/>
        <v>#DIV/0!</v>
      </c>
      <c r="CF37" s="213" t="e">
        <f t="shared" si="61"/>
        <v>#DIV/0!</v>
      </c>
      <c r="CG37" s="213" t="e">
        <f t="shared" si="62"/>
        <v>#DIV/0!</v>
      </c>
      <c r="CH37" s="213" t="e">
        <f t="shared" si="63"/>
        <v>#DIV/0!</v>
      </c>
      <c r="CI37" s="213" t="e">
        <f t="shared" si="64"/>
        <v>#DIV/0!</v>
      </c>
      <c r="CJ37" s="226"/>
      <c r="CK37" s="228"/>
      <c r="CL37" s="228"/>
      <c r="CM37" s="228"/>
      <c r="CN37" s="228"/>
      <c r="CO37" s="228"/>
      <c r="CP37" s="228"/>
      <c r="CQ37" s="228"/>
      <c r="CR37" s="228"/>
      <c r="CS37" s="228"/>
      <c r="CT37" s="228"/>
      <c r="CU37" s="228"/>
      <c r="CV37" s="228"/>
      <c r="CW37" s="228"/>
      <c r="CX37" s="228"/>
      <c r="CY37" s="228"/>
      <c r="CZ37" s="228"/>
      <c r="DA37" s="228"/>
      <c r="DB37" s="228"/>
      <c r="DC37" s="228"/>
      <c r="DD37" s="228"/>
      <c r="DE37" s="228"/>
      <c r="DF37" s="228"/>
      <c r="DG37" s="228"/>
      <c r="DH37" s="228"/>
      <c r="DI37" s="228"/>
      <c r="DJ37" s="228"/>
      <c r="DK37" s="228"/>
      <c r="DL37" s="228"/>
      <c r="DM37" s="228"/>
      <c r="DN37" s="228"/>
      <c r="DO37" s="228"/>
      <c r="DP37" s="228"/>
      <c r="DQ37" s="228"/>
    </row>
    <row r="38" s="61" customFormat="1" ht="16" customHeight="1" spans="1:121">
      <c r="A38" s="269" t="s">
        <v>370</v>
      </c>
      <c r="B38" s="270"/>
      <c r="C38" s="77">
        <f>-SUM(F17:F20)</f>
        <v>0</v>
      </c>
      <c r="D38" s="79"/>
      <c r="E38" s="79"/>
      <c r="F38" s="79" t="e">
        <f t="shared" si="47"/>
        <v>#DIV/0!</v>
      </c>
      <c r="G38" s="73"/>
      <c r="H38" s="269" t="s">
        <v>627</v>
      </c>
      <c r="I38" s="103">
        <f>-C44</f>
        <v>0</v>
      </c>
      <c r="J38" s="106" t="e">
        <f>INT(($N$49*1300-SUMPRODUCT($L$177:$L$180,$H$177:$H$180))/H180)</f>
        <v>#DIV/0!</v>
      </c>
      <c r="K38" s="273" t="s">
        <v>208</v>
      </c>
      <c r="L38" s="90"/>
      <c r="M38" s="85"/>
      <c r="N38" s="108" t="s">
        <v>628</v>
      </c>
      <c r="O38" s="108"/>
      <c r="P38" s="284" t="e">
        <f>F48</f>
        <v>#DIV/0!</v>
      </c>
      <c r="Q38" s="68" t="s">
        <v>629</v>
      </c>
      <c r="R38" s="292" t="e">
        <f>F64-MAX(E60,第6期!F64)</f>
        <v>#DIV/0!</v>
      </c>
      <c r="S38" s="137"/>
      <c r="T38" s="120"/>
      <c r="U38" s="68" t="s">
        <v>466</v>
      </c>
      <c r="V38" s="115" t="e">
        <f>第6期!BN44</f>
        <v>#DIV/0!</v>
      </c>
      <c r="W38" s="115" t="e">
        <f>第6期!BO44</f>
        <v>#DIV/0!</v>
      </c>
      <c r="X38" s="115" t="e">
        <f>第6期!BP44</f>
        <v>#DIV/0!</v>
      </c>
      <c r="Y38" s="115" t="e">
        <f>第6期!BQ44</f>
        <v>#DIV/0!</v>
      </c>
      <c r="Z38" s="74"/>
      <c r="AA38" s="73"/>
      <c r="AB38" s="151" t="s">
        <v>208</v>
      </c>
      <c r="AC38" s="152" t="e">
        <f>初始化表!$H$22-AC8</f>
        <v>#DIV/0!</v>
      </c>
      <c r="AD38" s="152" t="e">
        <f>初始化表!$H$22-AD8</f>
        <v>#DIV/0!</v>
      </c>
      <c r="AE38" s="152" t="e">
        <f>初始化表!$H$22-AE8</f>
        <v>#DIV/0!</v>
      </c>
      <c r="AF38" s="152" t="e">
        <f>初始化表!$H$22-AF8</f>
        <v>#DIV/0!</v>
      </c>
      <c r="AG38" s="152" t="e">
        <f>初始化表!$H$22-AG8</f>
        <v>#DIV/0!</v>
      </c>
      <c r="AH38" s="73"/>
      <c r="AI38" s="312"/>
      <c r="AJ38" s="313"/>
      <c r="AK38" s="313"/>
      <c r="AL38" s="313"/>
      <c r="AM38" s="313"/>
      <c r="AN38" s="313"/>
      <c r="AO38" s="313"/>
      <c r="AP38" s="313"/>
      <c r="AQ38" s="313"/>
      <c r="AR38" s="313"/>
      <c r="AS38" s="313"/>
      <c r="AT38" s="313"/>
      <c r="AU38" s="313"/>
      <c r="AV38" s="313"/>
      <c r="AW38" s="313"/>
      <c r="AX38" s="313"/>
      <c r="AY38" s="313"/>
      <c r="AZ38" s="63"/>
      <c r="BA38" s="319">
        <f t="shared" si="65"/>
        <v>0</v>
      </c>
      <c r="BB38" s="201">
        <f t="shared" si="66"/>
        <v>0</v>
      </c>
      <c r="BC38" s="201">
        <f t="shared" si="67"/>
        <v>0</v>
      </c>
      <c r="BD38" s="201">
        <f t="shared" si="68"/>
        <v>0</v>
      </c>
      <c r="BE38" s="201">
        <f t="shared" si="69"/>
        <v>0</v>
      </c>
      <c r="BF38" s="202">
        <f>(BB38*初始化表!E$17+BC38*初始化表!F$17+BD38*初始化表!G$17+BE38*初始化表!H$17)/1300</f>
        <v>0</v>
      </c>
      <c r="BG38" s="207">
        <f t="shared" si="70"/>
        <v>0</v>
      </c>
      <c r="BH38" s="207">
        <f t="shared" si="71"/>
        <v>0</v>
      </c>
      <c r="BI38" s="321">
        <f>$BI$51+MAX(0,第6期!BI38)-BF38</f>
        <v>0</v>
      </c>
      <c r="BJ38" s="201" t="str">
        <f t="shared" si="72"/>
        <v/>
      </c>
      <c r="BK38" s="201" t="str">
        <f t="shared" si="73"/>
        <v/>
      </c>
      <c r="BL38" s="203"/>
      <c r="BM38" s="215" t="s">
        <v>465</v>
      </c>
      <c r="BN38" s="201">
        <f>BF28</f>
        <v>0</v>
      </c>
      <c r="BO38" s="201">
        <f>BG28</f>
        <v>0</v>
      </c>
      <c r="BP38" s="201">
        <f>BH28</f>
        <v>0</v>
      </c>
      <c r="BQ38" s="201">
        <f>BI28</f>
        <v>0</v>
      </c>
      <c r="BR38" s="211"/>
      <c r="BS38" s="196">
        <f t="shared" si="48"/>
        <v>0</v>
      </c>
      <c r="BT38" s="213" t="e">
        <f t="shared" si="49"/>
        <v>#DIV/0!</v>
      </c>
      <c r="BU38" s="213" t="e">
        <f t="shared" si="50"/>
        <v>#DIV/0!</v>
      </c>
      <c r="BV38" s="213" t="e">
        <f t="shared" si="51"/>
        <v>#DIV/0!</v>
      </c>
      <c r="BW38" s="213" t="e">
        <f t="shared" si="52"/>
        <v>#DIV/0!</v>
      </c>
      <c r="BX38" s="213" t="e">
        <f t="shared" si="53"/>
        <v>#DIV/0!</v>
      </c>
      <c r="BY38" s="213" t="e">
        <f t="shared" si="54"/>
        <v>#DIV/0!</v>
      </c>
      <c r="BZ38" s="213" t="e">
        <f t="shared" si="55"/>
        <v>#DIV/0!</v>
      </c>
      <c r="CA38" s="213" t="e">
        <f t="shared" si="56"/>
        <v>#DIV/0!</v>
      </c>
      <c r="CB38" s="213" t="e">
        <f t="shared" si="57"/>
        <v>#DIV/0!</v>
      </c>
      <c r="CC38" s="213" t="e">
        <f t="shared" si="58"/>
        <v>#DIV/0!</v>
      </c>
      <c r="CD38" s="213" t="e">
        <f t="shared" si="59"/>
        <v>#DIV/0!</v>
      </c>
      <c r="CE38" s="213" t="e">
        <f t="shared" si="60"/>
        <v>#DIV/0!</v>
      </c>
      <c r="CF38" s="213" t="e">
        <f t="shared" si="61"/>
        <v>#DIV/0!</v>
      </c>
      <c r="CG38" s="213" t="e">
        <f t="shared" si="62"/>
        <v>#DIV/0!</v>
      </c>
      <c r="CH38" s="213" t="e">
        <f t="shared" si="63"/>
        <v>#DIV/0!</v>
      </c>
      <c r="CI38" s="213" t="e">
        <f t="shared" si="64"/>
        <v>#DIV/0!</v>
      </c>
      <c r="CJ38" s="226"/>
      <c r="CK38" s="228"/>
      <c r="CL38" s="228"/>
      <c r="CM38" s="228"/>
      <c r="CN38" s="228"/>
      <c r="CO38" s="228"/>
      <c r="CP38" s="228"/>
      <c r="CQ38" s="228"/>
      <c r="CR38" s="228"/>
      <c r="CS38" s="228"/>
      <c r="CT38" s="228"/>
      <c r="CU38" s="228"/>
      <c r="CV38" s="228"/>
      <c r="CW38" s="228"/>
      <c r="CX38" s="228"/>
      <c r="CY38" s="228"/>
      <c r="CZ38" s="228"/>
      <c r="DA38" s="228"/>
      <c r="DB38" s="228"/>
      <c r="DC38" s="228"/>
      <c r="DD38" s="228"/>
      <c r="DE38" s="228"/>
      <c r="DF38" s="228"/>
      <c r="DG38" s="228"/>
      <c r="DH38" s="228"/>
      <c r="DI38" s="228"/>
      <c r="DJ38" s="228"/>
      <c r="DK38" s="228"/>
      <c r="DL38" s="228"/>
      <c r="DM38" s="228"/>
      <c r="DN38" s="228"/>
      <c r="DO38" s="228"/>
      <c r="DP38" s="228"/>
      <c r="DQ38" s="228"/>
    </row>
    <row r="39" s="61" customFormat="1" ht="16" customHeight="1" spans="1:121">
      <c r="A39" s="269" t="s">
        <v>371</v>
      </c>
      <c r="B39" s="270"/>
      <c r="C39" s="77">
        <f>(C38+第6期!C38)/2</f>
        <v>0</v>
      </c>
      <c r="D39" s="79"/>
      <c r="E39" s="79" t="e">
        <f>E36-C39</f>
        <v>#DIV/0!</v>
      </c>
      <c r="F39" s="79"/>
      <c r="G39" s="73"/>
      <c r="H39" s="269" t="s">
        <v>241</v>
      </c>
      <c r="I39" s="103">
        <f>SUM(I34:I38)</f>
        <v>0</v>
      </c>
      <c r="J39" s="110"/>
      <c r="K39" s="110"/>
      <c r="L39" s="110"/>
      <c r="M39" s="85"/>
      <c r="N39" s="68" t="s">
        <v>631</v>
      </c>
      <c r="O39" s="69"/>
      <c r="P39" s="69"/>
      <c r="Q39" s="69"/>
      <c r="R39" s="69"/>
      <c r="S39" s="74"/>
      <c r="T39" s="120"/>
      <c r="U39" s="68" t="s">
        <v>468</v>
      </c>
      <c r="V39" s="115" t="e">
        <f>第6期!BN45</f>
        <v>#DIV/0!</v>
      </c>
      <c r="W39" s="115" t="e">
        <f>第6期!BO45</f>
        <v>#DIV/0!</v>
      </c>
      <c r="X39" s="115" t="e">
        <f>第6期!BP45</f>
        <v>#DIV/0!</v>
      </c>
      <c r="Y39" s="115" t="e">
        <f>第6期!BQ45</f>
        <v>#DIV/0!</v>
      </c>
      <c r="Z39" s="74"/>
      <c r="AA39" s="73"/>
      <c r="AB39" s="74"/>
      <c r="AC39" s="74"/>
      <c r="AD39" s="74"/>
      <c r="AE39" s="74"/>
      <c r="AF39" s="74"/>
      <c r="AG39" s="74"/>
      <c r="AH39" s="73"/>
      <c r="AI39" s="312"/>
      <c r="AJ39" s="313"/>
      <c r="AK39" s="313"/>
      <c r="AL39" s="313"/>
      <c r="AM39" s="313"/>
      <c r="AN39" s="313"/>
      <c r="AO39" s="313"/>
      <c r="AP39" s="313"/>
      <c r="AQ39" s="313"/>
      <c r="AR39" s="313"/>
      <c r="AS39" s="313"/>
      <c r="AT39" s="313"/>
      <c r="AU39" s="313"/>
      <c r="AV39" s="313"/>
      <c r="AW39" s="313"/>
      <c r="AX39" s="313"/>
      <c r="AY39" s="313"/>
      <c r="AZ39" s="63"/>
      <c r="BA39" s="319">
        <f t="shared" si="65"/>
        <v>0</v>
      </c>
      <c r="BB39" s="201">
        <f t="shared" si="66"/>
        <v>0</v>
      </c>
      <c r="BC39" s="201">
        <f t="shared" si="67"/>
        <v>0</v>
      </c>
      <c r="BD39" s="201">
        <f t="shared" si="68"/>
        <v>0</v>
      </c>
      <c r="BE39" s="201">
        <f t="shared" si="69"/>
        <v>0</v>
      </c>
      <c r="BF39" s="202">
        <f>(BB39*初始化表!E$17+BC39*初始化表!F$17+BD39*初始化表!G$17+BE39*初始化表!H$17)/1300</f>
        <v>0</v>
      </c>
      <c r="BG39" s="207">
        <f t="shared" si="70"/>
        <v>0</v>
      </c>
      <c r="BH39" s="207">
        <f t="shared" si="71"/>
        <v>0</v>
      </c>
      <c r="BI39" s="321">
        <f>$BI$51+MAX(0,第6期!BI39)-BF39</f>
        <v>0</v>
      </c>
      <c r="BJ39" s="201" t="str">
        <f t="shared" si="72"/>
        <v/>
      </c>
      <c r="BK39" s="201" t="str">
        <f t="shared" si="73"/>
        <v/>
      </c>
      <c r="BL39" s="203"/>
      <c r="BM39" s="215" t="s">
        <v>466</v>
      </c>
      <c r="BN39" s="201">
        <f>BJ28</f>
        <v>0</v>
      </c>
      <c r="BO39" s="201">
        <f>BK28</f>
        <v>0</v>
      </c>
      <c r="BP39" s="201">
        <f>BL28</f>
        <v>0</v>
      </c>
      <c r="BQ39" s="201">
        <f>BM28</f>
        <v>0</v>
      </c>
      <c r="BR39" s="211"/>
      <c r="BS39" s="196">
        <f t="shared" si="48"/>
        <v>0</v>
      </c>
      <c r="BT39" s="213" t="e">
        <f t="shared" si="49"/>
        <v>#DIV/0!</v>
      </c>
      <c r="BU39" s="213" t="e">
        <f t="shared" si="50"/>
        <v>#DIV/0!</v>
      </c>
      <c r="BV39" s="213" t="e">
        <f t="shared" si="51"/>
        <v>#DIV/0!</v>
      </c>
      <c r="BW39" s="213" t="e">
        <f t="shared" si="52"/>
        <v>#DIV/0!</v>
      </c>
      <c r="BX39" s="213" t="e">
        <f t="shared" si="53"/>
        <v>#DIV/0!</v>
      </c>
      <c r="BY39" s="213" t="e">
        <f t="shared" si="54"/>
        <v>#DIV/0!</v>
      </c>
      <c r="BZ39" s="213" t="e">
        <f t="shared" si="55"/>
        <v>#DIV/0!</v>
      </c>
      <c r="CA39" s="213" t="e">
        <f t="shared" si="56"/>
        <v>#DIV/0!</v>
      </c>
      <c r="CB39" s="213" t="e">
        <f t="shared" si="57"/>
        <v>#DIV/0!</v>
      </c>
      <c r="CC39" s="213" t="e">
        <f t="shared" si="58"/>
        <v>#DIV/0!</v>
      </c>
      <c r="CD39" s="213" t="e">
        <f t="shared" si="59"/>
        <v>#DIV/0!</v>
      </c>
      <c r="CE39" s="213" t="e">
        <f t="shared" si="60"/>
        <v>#DIV/0!</v>
      </c>
      <c r="CF39" s="213" t="e">
        <f t="shared" si="61"/>
        <v>#DIV/0!</v>
      </c>
      <c r="CG39" s="213" t="e">
        <f t="shared" si="62"/>
        <v>#DIV/0!</v>
      </c>
      <c r="CH39" s="213" t="e">
        <f t="shared" si="63"/>
        <v>#DIV/0!</v>
      </c>
      <c r="CI39" s="213" t="e">
        <f t="shared" si="64"/>
        <v>#DIV/0!</v>
      </c>
      <c r="CJ39" s="226"/>
      <c r="CK39" s="228"/>
      <c r="CL39" s="228"/>
      <c r="CM39" s="228"/>
      <c r="CN39" s="228"/>
      <c r="CO39" s="228"/>
      <c r="CP39" s="228"/>
      <c r="CQ39" s="228"/>
      <c r="CR39" s="228"/>
      <c r="CS39" s="228"/>
      <c r="CT39" s="228"/>
      <c r="CU39" s="228"/>
      <c r="CV39" s="228"/>
      <c r="CW39" s="228"/>
      <c r="CX39" s="228"/>
      <c r="CY39" s="228"/>
      <c r="CZ39" s="228"/>
      <c r="DA39" s="228"/>
      <c r="DB39" s="228"/>
      <c r="DC39" s="228"/>
      <c r="DD39" s="228"/>
      <c r="DE39" s="228"/>
      <c r="DF39" s="228"/>
      <c r="DG39" s="228"/>
      <c r="DH39" s="228"/>
      <c r="DI39" s="228"/>
      <c r="DJ39" s="228"/>
      <c r="DK39" s="228"/>
      <c r="DL39" s="228"/>
      <c r="DM39" s="228"/>
      <c r="DN39" s="228"/>
      <c r="DO39" s="228"/>
      <c r="DP39" s="228"/>
      <c r="DQ39" s="228"/>
    </row>
    <row r="40" s="61" customFormat="1" ht="16" customHeight="1" spans="1:121">
      <c r="A40" s="269" t="s">
        <v>372</v>
      </c>
      <c r="B40" s="270"/>
      <c r="C40" s="77">
        <f>-E22</f>
        <v>0</v>
      </c>
      <c r="D40" s="79"/>
      <c r="E40" s="79"/>
      <c r="F40" s="79" t="e">
        <f>F38+C40</f>
        <v>#DIV/0!</v>
      </c>
      <c r="G40" s="73"/>
      <c r="H40" s="74"/>
      <c r="I40" s="74"/>
      <c r="J40" s="74"/>
      <c r="K40" s="74"/>
      <c r="L40" s="74"/>
      <c r="M40" s="85"/>
      <c r="N40" s="68" t="s">
        <v>632</v>
      </c>
      <c r="O40" s="68" t="s">
        <v>464</v>
      </c>
      <c r="P40" s="68" t="s">
        <v>465</v>
      </c>
      <c r="Q40" s="68" t="s">
        <v>466</v>
      </c>
      <c r="R40" s="68" t="s">
        <v>468</v>
      </c>
      <c r="S40" s="121"/>
      <c r="T40" s="120"/>
      <c r="U40" s="123"/>
      <c r="V40" s="74"/>
      <c r="W40" s="74"/>
      <c r="X40" s="74"/>
      <c r="Y40" s="74"/>
      <c r="Z40" s="74"/>
      <c r="AA40" s="73"/>
      <c r="AB40" s="159" t="s">
        <v>633</v>
      </c>
      <c r="AC40" s="160"/>
      <c r="AD40" s="161" t="e">
        <f>F77/AD41</f>
        <v>#DIV/0!</v>
      </c>
      <c r="AE40" s="161"/>
      <c r="AF40" s="74"/>
      <c r="AG40" s="74"/>
      <c r="AH40" s="73"/>
      <c r="AI40" s="312"/>
      <c r="AJ40" s="313"/>
      <c r="AK40" s="313"/>
      <c r="AL40" s="313"/>
      <c r="AM40" s="313"/>
      <c r="AN40" s="313"/>
      <c r="AO40" s="313"/>
      <c r="AP40" s="313"/>
      <c r="AQ40" s="313"/>
      <c r="AR40" s="313"/>
      <c r="AS40" s="313"/>
      <c r="AT40" s="313"/>
      <c r="AU40" s="313"/>
      <c r="AV40" s="313"/>
      <c r="AW40" s="313"/>
      <c r="AX40" s="313"/>
      <c r="AY40" s="313"/>
      <c r="AZ40" s="63"/>
      <c r="BA40" s="319">
        <f t="shared" si="65"/>
        <v>0</v>
      </c>
      <c r="BB40" s="201">
        <f t="shared" si="66"/>
        <v>0</v>
      </c>
      <c r="BC40" s="201">
        <f t="shared" si="67"/>
        <v>0</v>
      </c>
      <c r="BD40" s="201">
        <f t="shared" si="68"/>
        <v>0</v>
      </c>
      <c r="BE40" s="201">
        <f t="shared" si="69"/>
        <v>0</v>
      </c>
      <c r="BF40" s="202">
        <f>(BB40*初始化表!E$17+BC40*初始化表!F$17+BD40*初始化表!G$17+BE40*初始化表!H$17)/1300</f>
        <v>0</v>
      </c>
      <c r="BG40" s="207">
        <f t="shared" si="70"/>
        <v>0</v>
      </c>
      <c r="BH40" s="207">
        <f t="shared" si="71"/>
        <v>0</v>
      </c>
      <c r="BI40" s="321">
        <f>$BI$51+MAX(0,第6期!BI40)-BF40</f>
        <v>0</v>
      </c>
      <c r="BJ40" s="201" t="str">
        <f t="shared" si="72"/>
        <v/>
      </c>
      <c r="BK40" s="201" t="str">
        <f t="shared" si="73"/>
        <v/>
      </c>
      <c r="BL40" s="203"/>
      <c r="BM40" s="215" t="s">
        <v>468</v>
      </c>
      <c r="BN40" s="201">
        <f>BN28</f>
        <v>0</v>
      </c>
      <c r="BO40" s="201">
        <f>BO28</f>
        <v>0</v>
      </c>
      <c r="BP40" s="201">
        <f>BP28</f>
        <v>0</v>
      </c>
      <c r="BQ40" s="201">
        <f>BQ28</f>
        <v>0</v>
      </c>
      <c r="BR40" s="211"/>
      <c r="BS40" s="196">
        <f t="shared" si="48"/>
        <v>0</v>
      </c>
      <c r="BT40" s="213" t="e">
        <f t="shared" si="49"/>
        <v>#DIV/0!</v>
      </c>
      <c r="BU40" s="213" t="e">
        <f t="shared" si="50"/>
        <v>#DIV/0!</v>
      </c>
      <c r="BV40" s="213" t="e">
        <f t="shared" si="51"/>
        <v>#DIV/0!</v>
      </c>
      <c r="BW40" s="213" t="e">
        <f t="shared" si="52"/>
        <v>#DIV/0!</v>
      </c>
      <c r="BX40" s="213" t="e">
        <f t="shared" si="53"/>
        <v>#DIV/0!</v>
      </c>
      <c r="BY40" s="213" t="e">
        <f t="shared" si="54"/>
        <v>#DIV/0!</v>
      </c>
      <c r="BZ40" s="213" t="e">
        <f t="shared" si="55"/>
        <v>#DIV/0!</v>
      </c>
      <c r="CA40" s="213" t="e">
        <f t="shared" si="56"/>
        <v>#DIV/0!</v>
      </c>
      <c r="CB40" s="213" t="e">
        <f t="shared" si="57"/>
        <v>#DIV/0!</v>
      </c>
      <c r="CC40" s="213" t="e">
        <f t="shared" si="58"/>
        <v>#DIV/0!</v>
      </c>
      <c r="CD40" s="213" t="e">
        <f t="shared" si="59"/>
        <v>#DIV/0!</v>
      </c>
      <c r="CE40" s="213" t="e">
        <f t="shared" si="60"/>
        <v>#DIV/0!</v>
      </c>
      <c r="CF40" s="213" t="e">
        <f t="shared" si="61"/>
        <v>#DIV/0!</v>
      </c>
      <c r="CG40" s="213" t="e">
        <f t="shared" si="62"/>
        <v>#DIV/0!</v>
      </c>
      <c r="CH40" s="213" t="e">
        <f t="shared" si="63"/>
        <v>#DIV/0!</v>
      </c>
      <c r="CI40" s="213" t="e">
        <f t="shared" si="64"/>
        <v>#DIV/0!</v>
      </c>
      <c r="CJ40" s="226"/>
      <c r="CK40" s="228"/>
      <c r="CL40" s="228"/>
      <c r="CM40" s="228"/>
      <c r="CN40" s="228"/>
      <c r="CO40" s="228"/>
      <c r="CP40" s="228"/>
      <c r="CQ40" s="228"/>
      <c r="CR40" s="228"/>
      <c r="CS40" s="228"/>
      <c r="CT40" s="228"/>
      <c r="CU40" s="228"/>
      <c r="CV40" s="228"/>
      <c r="CW40" s="228"/>
      <c r="CX40" s="228"/>
      <c r="CY40" s="228"/>
      <c r="CZ40" s="228"/>
      <c r="DA40" s="228"/>
      <c r="DB40" s="228"/>
      <c r="DC40" s="228"/>
      <c r="DD40" s="228"/>
      <c r="DE40" s="228"/>
      <c r="DF40" s="228"/>
      <c r="DG40" s="228"/>
      <c r="DH40" s="228"/>
      <c r="DI40" s="228"/>
      <c r="DJ40" s="228"/>
      <c r="DK40" s="228"/>
      <c r="DL40" s="228"/>
      <c r="DM40" s="228"/>
      <c r="DN40" s="228"/>
      <c r="DO40" s="228"/>
      <c r="DP40" s="228"/>
      <c r="DQ40" s="228"/>
    </row>
    <row r="41" s="61" customFormat="1" ht="16" customHeight="1" spans="1:121">
      <c r="A41" s="269" t="s">
        <v>373</v>
      </c>
      <c r="B41" s="270"/>
      <c r="C41" s="77">
        <f>IF(E22&gt;=初始化表!K30,E22*(1-初始化表!L30),IF(E22&gt;=初始化表!K31,E22*(1-初始化表!L31),IF(E22&gt;=初始化表!K32,E22*(1-初始化表!L32),0)))</f>
        <v>0</v>
      </c>
      <c r="D41" s="79">
        <f>C41</f>
        <v>0</v>
      </c>
      <c r="E41" s="79"/>
      <c r="F41" s="79" t="e">
        <f>F40+C41</f>
        <v>#DIV/0!</v>
      </c>
      <c r="G41" s="73"/>
      <c r="H41" s="273" t="s">
        <v>634</v>
      </c>
      <c r="I41" s="275"/>
      <c r="J41" s="275"/>
      <c r="K41" s="275"/>
      <c r="L41" s="275"/>
      <c r="M41" s="85"/>
      <c r="N41" s="68" t="s">
        <v>635</v>
      </c>
      <c r="O41" s="111">
        <f>第6期!AN26</f>
        <v>0.95</v>
      </c>
      <c r="P41" s="111">
        <f>第6期!AN27</f>
        <v>0.95</v>
      </c>
      <c r="Q41" s="111">
        <f>第6期!AN28</f>
        <v>0.95</v>
      </c>
      <c r="R41" s="111">
        <f>第6期!AN29</f>
        <v>0.95</v>
      </c>
      <c r="S41" s="138"/>
      <c r="T41" s="120"/>
      <c r="U41" s="68" t="s">
        <v>636</v>
      </c>
      <c r="V41" s="68" t="s">
        <v>459</v>
      </c>
      <c r="W41" s="68" t="s">
        <v>460</v>
      </c>
      <c r="X41" s="68" t="s">
        <v>461</v>
      </c>
      <c r="Y41" s="68" t="s">
        <v>462</v>
      </c>
      <c r="Z41" s="68" t="s">
        <v>563</v>
      </c>
      <c r="AA41" s="73"/>
      <c r="AB41" s="159" t="s">
        <v>637</v>
      </c>
      <c r="AC41" s="160"/>
      <c r="AD41" s="162">
        <f>((SUM(V42:Y42,V11:Y11))*初始化表!E17+(SUM(V43:Y43,V12:Y12))*初始化表!F17+(SUM(V44:Y44,V13:Y13))*初始化表!G17+(SUM(V45:Y45,V14:Y14))*初始化表!H17)/1300</f>
        <v>0</v>
      </c>
      <c r="AE41" s="162"/>
      <c r="AF41" s="74"/>
      <c r="AG41" s="74"/>
      <c r="AH41" s="73"/>
      <c r="AI41" s="312"/>
      <c r="AJ41" s="313"/>
      <c r="AK41" s="313"/>
      <c r="AL41" s="313"/>
      <c r="AM41" s="313"/>
      <c r="AN41" s="313"/>
      <c r="AO41" s="313"/>
      <c r="AP41" s="313"/>
      <c r="AQ41" s="313"/>
      <c r="AR41" s="313"/>
      <c r="AS41" s="313"/>
      <c r="AT41" s="313"/>
      <c r="AU41" s="313"/>
      <c r="AV41" s="313"/>
      <c r="AW41" s="313"/>
      <c r="AX41" s="313"/>
      <c r="AY41" s="313"/>
      <c r="AZ41" s="63"/>
      <c r="BA41" s="319">
        <f t="shared" si="65"/>
        <v>0</v>
      </c>
      <c r="BB41" s="201">
        <f t="shared" si="66"/>
        <v>0</v>
      </c>
      <c r="BC41" s="201">
        <f t="shared" si="67"/>
        <v>0</v>
      </c>
      <c r="BD41" s="201">
        <f t="shared" si="68"/>
        <v>0</v>
      </c>
      <c r="BE41" s="201">
        <f t="shared" si="69"/>
        <v>0</v>
      </c>
      <c r="BF41" s="202">
        <f>(BB41*初始化表!E$17+BC41*初始化表!F$17+BD41*初始化表!G$17+BE41*初始化表!H$17)/1300</f>
        <v>0</v>
      </c>
      <c r="BG41" s="207">
        <f t="shared" si="70"/>
        <v>0</v>
      </c>
      <c r="BH41" s="207">
        <f t="shared" si="71"/>
        <v>0</v>
      </c>
      <c r="BI41" s="321">
        <f>$BI$51+MAX(0,第6期!BI41)-BF41</f>
        <v>0</v>
      </c>
      <c r="BJ41" s="201" t="str">
        <f t="shared" si="72"/>
        <v/>
      </c>
      <c r="BK41" s="201" t="str">
        <f t="shared" si="73"/>
        <v/>
      </c>
      <c r="BL41" s="203"/>
      <c r="BM41" s="217" t="s">
        <v>783</v>
      </c>
      <c r="BN41" s="215" t="s">
        <v>459</v>
      </c>
      <c r="BO41" s="215" t="s">
        <v>460</v>
      </c>
      <c r="BP41" s="215" t="s">
        <v>461</v>
      </c>
      <c r="BQ41" s="215" t="s">
        <v>462</v>
      </c>
      <c r="BR41" s="211"/>
      <c r="BS41" s="196">
        <f t="shared" si="48"/>
        <v>0</v>
      </c>
      <c r="BT41" s="213" t="e">
        <f t="shared" si="49"/>
        <v>#DIV/0!</v>
      </c>
      <c r="BU41" s="213" t="e">
        <f t="shared" si="50"/>
        <v>#DIV/0!</v>
      </c>
      <c r="BV41" s="213" t="e">
        <f t="shared" si="51"/>
        <v>#DIV/0!</v>
      </c>
      <c r="BW41" s="213" t="e">
        <f t="shared" si="52"/>
        <v>#DIV/0!</v>
      </c>
      <c r="BX41" s="213" t="e">
        <f t="shared" si="53"/>
        <v>#DIV/0!</v>
      </c>
      <c r="BY41" s="213" t="e">
        <f t="shared" si="54"/>
        <v>#DIV/0!</v>
      </c>
      <c r="BZ41" s="213" t="e">
        <f t="shared" si="55"/>
        <v>#DIV/0!</v>
      </c>
      <c r="CA41" s="213" t="e">
        <f t="shared" si="56"/>
        <v>#DIV/0!</v>
      </c>
      <c r="CB41" s="213" t="e">
        <f t="shared" si="57"/>
        <v>#DIV/0!</v>
      </c>
      <c r="CC41" s="213" t="e">
        <f t="shared" si="58"/>
        <v>#DIV/0!</v>
      </c>
      <c r="CD41" s="213" t="e">
        <f t="shared" si="59"/>
        <v>#DIV/0!</v>
      </c>
      <c r="CE41" s="213" t="e">
        <f t="shared" si="60"/>
        <v>#DIV/0!</v>
      </c>
      <c r="CF41" s="213" t="e">
        <f t="shared" si="61"/>
        <v>#DIV/0!</v>
      </c>
      <c r="CG41" s="213" t="e">
        <f t="shared" si="62"/>
        <v>#DIV/0!</v>
      </c>
      <c r="CH41" s="213" t="e">
        <f t="shared" si="63"/>
        <v>#DIV/0!</v>
      </c>
      <c r="CI41" s="213" t="e">
        <f t="shared" si="64"/>
        <v>#DIV/0!</v>
      </c>
      <c r="CJ41" s="226"/>
      <c r="CK41" s="228"/>
      <c r="CL41" s="228"/>
      <c r="CM41" s="228"/>
      <c r="CN41" s="228"/>
      <c r="CO41" s="228"/>
      <c r="CP41" s="228"/>
      <c r="CQ41" s="228"/>
      <c r="CR41" s="228"/>
      <c r="CS41" s="228"/>
      <c r="CT41" s="228"/>
      <c r="CU41" s="228"/>
      <c r="CV41" s="228"/>
      <c r="CW41" s="228"/>
      <c r="CX41" s="228"/>
      <c r="CY41" s="228"/>
      <c r="CZ41" s="228"/>
      <c r="DA41" s="228"/>
      <c r="DB41" s="228"/>
      <c r="DC41" s="228"/>
      <c r="DD41" s="228"/>
      <c r="DE41" s="228"/>
      <c r="DF41" s="228"/>
      <c r="DG41" s="228"/>
      <c r="DH41" s="228"/>
      <c r="DI41" s="228"/>
      <c r="DJ41" s="228"/>
      <c r="DK41" s="228"/>
      <c r="DL41" s="228"/>
      <c r="DM41" s="228"/>
      <c r="DN41" s="228"/>
      <c r="DO41" s="228"/>
      <c r="DP41" s="228"/>
      <c r="DQ41" s="228"/>
    </row>
    <row r="42" s="61" customFormat="1" ht="16" customHeight="1" spans="1:121">
      <c r="A42" s="269" t="s">
        <v>374</v>
      </c>
      <c r="B42" s="270"/>
      <c r="C42" s="77">
        <f>IF(E22&gt;0,-初始化表!B9-初始化表!B10*E22,0)</f>
        <v>0</v>
      </c>
      <c r="D42" s="79"/>
      <c r="E42" s="79" t="e">
        <f>E39-C42</f>
        <v>#DIV/0!</v>
      </c>
      <c r="F42" s="79" t="e">
        <f>F41+C42</f>
        <v>#DIV/0!</v>
      </c>
      <c r="G42" s="73"/>
      <c r="H42" s="273" t="s">
        <v>639</v>
      </c>
      <c r="I42" s="273" t="s">
        <v>640</v>
      </c>
      <c r="J42" s="273" t="s">
        <v>641</v>
      </c>
      <c r="K42" s="273" t="s">
        <v>642</v>
      </c>
      <c r="L42" s="273" t="s">
        <v>643</v>
      </c>
      <c r="M42" s="85"/>
      <c r="N42" s="68" t="s">
        <v>644</v>
      </c>
      <c r="O42" s="112" t="e">
        <f>1-0.5/MAX(B12:E12)</f>
        <v>#DIV/0!</v>
      </c>
      <c r="P42" s="112" t="e">
        <f>1-0.5/MAX(B13:E13)</f>
        <v>#DIV/0!</v>
      </c>
      <c r="Q42" s="112" t="e">
        <f>1-0.5/MAX(B14:E14)</f>
        <v>#DIV/0!</v>
      </c>
      <c r="R42" s="112" t="e">
        <f>1-0.5/MAX(B15:E15)</f>
        <v>#DIV/0!</v>
      </c>
      <c r="S42" s="139"/>
      <c r="T42" s="120"/>
      <c r="U42" s="68" t="s">
        <v>464</v>
      </c>
      <c r="V42" s="77">
        <f t="shared" ref="V42:Y45" si="74">MAX(B12+V5-V11-V85,0)</f>
        <v>0</v>
      </c>
      <c r="W42" s="77">
        <f t="shared" si="74"/>
        <v>0</v>
      </c>
      <c r="X42" s="77">
        <f t="shared" si="74"/>
        <v>0</v>
      </c>
      <c r="Y42" s="77">
        <f t="shared" si="74"/>
        <v>0</v>
      </c>
      <c r="Z42" s="77">
        <f>SUM(V42:Y42)</f>
        <v>0</v>
      </c>
      <c r="AA42" s="73"/>
      <c r="AB42" s="68" t="s">
        <v>645</v>
      </c>
      <c r="AC42" s="69"/>
      <c r="AD42" s="71" t="e">
        <f>C49/AD41</f>
        <v>#DIV/0!</v>
      </c>
      <c r="AE42" s="71"/>
      <c r="AF42" s="74"/>
      <c r="AG42" s="74"/>
      <c r="AH42" s="73"/>
      <c r="AI42" s="312"/>
      <c r="AJ42" s="313"/>
      <c r="AK42" s="313"/>
      <c r="AL42" s="313"/>
      <c r="AM42" s="313"/>
      <c r="AN42" s="313"/>
      <c r="AO42" s="313"/>
      <c r="AP42" s="313"/>
      <c r="AQ42" s="313"/>
      <c r="AR42" s="313"/>
      <c r="AS42" s="313"/>
      <c r="AT42" s="313"/>
      <c r="AU42" s="313"/>
      <c r="AV42" s="313"/>
      <c r="AW42" s="313"/>
      <c r="AX42" s="313"/>
      <c r="AY42" s="313"/>
      <c r="AZ42" s="63"/>
      <c r="BA42" s="319">
        <f t="shared" si="65"/>
        <v>0</v>
      </c>
      <c r="BB42" s="201">
        <f t="shared" si="66"/>
        <v>0</v>
      </c>
      <c r="BC42" s="201">
        <f t="shared" si="67"/>
        <v>0</v>
      </c>
      <c r="BD42" s="201">
        <f t="shared" si="68"/>
        <v>0</v>
      </c>
      <c r="BE42" s="201">
        <f t="shared" si="69"/>
        <v>0</v>
      </c>
      <c r="BF42" s="202">
        <f>(BB42*初始化表!E$17+BC42*初始化表!F$17+BD42*初始化表!G$17+BE42*初始化表!H$17)/1300</f>
        <v>0</v>
      </c>
      <c r="BG42" s="207">
        <f t="shared" si="70"/>
        <v>0</v>
      </c>
      <c r="BH42" s="207">
        <f t="shared" si="71"/>
        <v>0</v>
      </c>
      <c r="BI42" s="321">
        <f>$BI$51+MAX(0,第6期!BI42)-BF42</f>
        <v>0</v>
      </c>
      <c r="BJ42" s="201" t="str">
        <f t="shared" si="72"/>
        <v/>
      </c>
      <c r="BK42" s="201" t="str">
        <f t="shared" si="73"/>
        <v/>
      </c>
      <c r="BL42" s="203"/>
      <c r="BM42" s="215" t="s">
        <v>464</v>
      </c>
      <c r="BN42" s="201" t="e">
        <f t="shared" ref="BN42:BQ45" si="75">INT(1/BN32*BN37)</f>
        <v>#DIV/0!</v>
      </c>
      <c r="BO42" s="201" t="e">
        <f t="shared" si="75"/>
        <v>#DIV/0!</v>
      </c>
      <c r="BP42" s="201" t="e">
        <f t="shared" si="75"/>
        <v>#DIV/0!</v>
      </c>
      <c r="BQ42" s="201" t="e">
        <f t="shared" si="75"/>
        <v>#DIV/0!</v>
      </c>
      <c r="BR42" s="211"/>
      <c r="BS42" s="196">
        <f t="shared" si="48"/>
        <v>0</v>
      </c>
      <c r="BT42" s="213" t="e">
        <f t="shared" si="49"/>
        <v>#DIV/0!</v>
      </c>
      <c r="BU42" s="213" t="e">
        <f t="shared" si="50"/>
        <v>#DIV/0!</v>
      </c>
      <c r="BV42" s="213" t="e">
        <f t="shared" si="51"/>
        <v>#DIV/0!</v>
      </c>
      <c r="BW42" s="213" t="e">
        <f t="shared" si="52"/>
        <v>#DIV/0!</v>
      </c>
      <c r="BX42" s="213" t="e">
        <f t="shared" si="53"/>
        <v>#DIV/0!</v>
      </c>
      <c r="BY42" s="213" t="e">
        <f t="shared" si="54"/>
        <v>#DIV/0!</v>
      </c>
      <c r="BZ42" s="213" t="e">
        <f t="shared" si="55"/>
        <v>#DIV/0!</v>
      </c>
      <c r="CA42" s="213" t="e">
        <f t="shared" si="56"/>
        <v>#DIV/0!</v>
      </c>
      <c r="CB42" s="213" t="e">
        <f t="shared" si="57"/>
        <v>#DIV/0!</v>
      </c>
      <c r="CC42" s="213" t="e">
        <f t="shared" si="58"/>
        <v>#DIV/0!</v>
      </c>
      <c r="CD42" s="213" t="e">
        <f t="shared" si="59"/>
        <v>#DIV/0!</v>
      </c>
      <c r="CE42" s="213" t="e">
        <f t="shared" si="60"/>
        <v>#DIV/0!</v>
      </c>
      <c r="CF42" s="213" t="e">
        <f t="shared" si="61"/>
        <v>#DIV/0!</v>
      </c>
      <c r="CG42" s="213" t="e">
        <f t="shared" si="62"/>
        <v>#DIV/0!</v>
      </c>
      <c r="CH42" s="213" t="e">
        <f t="shared" si="63"/>
        <v>#DIV/0!</v>
      </c>
      <c r="CI42" s="213" t="e">
        <f t="shared" si="64"/>
        <v>#DIV/0!</v>
      </c>
      <c r="CJ42" s="226"/>
      <c r="CK42" s="228"/>
      <c r="CL42" s="228"/>
      <c r="CM42" s="228"/>
      <c r="CN42" s="228"/>
      <c r="CO42" s="228"/>
      <c r="CP42" s="228"/>
      <c r="CQ42" s="228"/>
      <c r="CR42" s="228"/>
      <c r="CS42" s="228"/>
      <c r="CT42" s="228"/>
      <c r="CU42" s="228"/>
      <c r="CV42" s="228"/>
      <c r="CW42" s="228"/>
      <c r="CX42" s="228"/>
      <c r="CY42" s="228"/>
      <c r="CZ42" s="228"/>
      <c r="DA42" s="228"/>
      <c r="DB42" s="228"/>
      <c r="DC42" s="228"/>
      <c r="DD42" s="228"/>
      <c r="DE42" s="228"/>
      <c r="DF42" s="228"/>
      <c r="DG42" s="228"/>
      <c r="DH42" s="228"/>
      <c r="DI42" s="228"/>
      <c r="DJ42" s="228"/>
      <c r="DK42" s="228"/>
      <c r="DL42" s="228"/>
      <c r="DM42" s="228"/>
      <c r="DN42" s="228"/>
      <c r="DO42" s="228"/>
      <c r="DP42" s="228"/>
      <c r="DQ42" s="228"/>
    </row>
    <row r="43" s="61" customFormat="1" ht="16" customHeight="1" spans="1:121">
      <c r="A43" s="269" t="s">
        <v>244</v>
      </c>
      <c r="B43" s="270"/>
      <c r="C43" s="77">
        <f>-(IF(SUM(B17:C17)=0,0,初始化表!H25)+IF(SUM(B18:C18)=0,0,初始化表!H26)+IF(SUM(B19:C19)=0,0,初始化表!H27)+IF(SUM(B20:C20)=0,0,初始化表!H28)+IF(SUM(D17:E17)=0,0,初始化表!I25)+IF(SUM(D18:E18)=0,0,初始化表!I26)+IF(SUM(D19:E19)=0,0,初始化表!I27)+IF(SUM(D20:E20)=0,0,初始化表!I28))</f>
        <v>0</v>
      </c>
      <c r="D43" s="79"/>
      <c r="E43" s="79" t="e">
        <f t="shared" ref="E43:E48" si="76">E42-C43</f>
        <v>#DIV/0!</v>
      </c>
      <c r="F43" s="79" t="e">
        <f>F42+C43</f>
        <v>#DIV/0!</v>
      </c>
      <c r="G43" s="73"/>
      <c r="H43" s="83">
        <f>第6期!F70</f>
        <v>0</v>
      </c>
      <c r="I43" s="83" t="e">
        <f>ROUNDUP(MAX(-K29/初始化表!B11,0),0)</f>
        <v>#DIV/0!</v>
      </c>
      <c r="J43" s="83" t="e">
        <f>ROUNDUP(IF(I43&lt;=0,0,IF(I43&lt;初始化表!K32,初始化表!K32,IF(I43&lt;初始化表!K31,初始化表!K31,IF(I43&lt;初始化表!K30,初始化表!K30,I43)))),0)</f>
        <v>#DIV/0!</v>
      </c>
      <c r="K43" s="107"/>
      <c r="L43" s="83">
        <f>E22+H43-(SUM(B17:E17)*初始化表!E19+SUM(B18:E18)*初始化表!F19+SUM(B19:E19)*初始化表!G19+SUM(B20:E20)*初始化表!H19)</f>
        <v>0</v>
      </c>
      <c r="M43" s="85"/>
      <c r="N43" s="68" t="s">
        <v>646</v>
      </c>
      <c r="O43" s="111">
        <f>工资系数初始化!D25</f>
        <v>0.95</v>
      </c>
      <c r="P43" s="111">
        <f>工资系数初始化!E25</f>
        <v>0.95</v>
      </c>
      <c r="Q43" s="111">
        <f>工资系数初始化!F25</f>
        <v>0.95</v>
      </c>
      <c r="R43" s="111">
        <f>工资系数初始化!G25</f>
        <v>0.95</v>
      </c>
      <c r="S43" s="138"/>
      <c r="T43" s="120"/>
      <c r="U43" s="68" t="s">
        <v>465</v>
      </c>
      <c r="V43" s="77">
        <f t="shared" si="74"/>
        <v>0</v>
      </c>
      <c r="W43" s="77">
        <f t="shared" si="74"/>
        <v>0</v>
      </c>
      <c r="X43" s="77">
        <f t="shared" si="74"/>
        <v>0</v>
      </c>
      <c r="Y43" s="77">
        <f t="shared" si="74"/>
        <v>0</v>
      </c>
      <c r="Z43" s="77">
        <f>SUM(V43:Y43)</f>
        <v>0</v>
      </c>
      <c r="AA43" s="73"/>
      <c r="AB43" s="74"/>
      <c r="AC43" s="74"/>
      <c r="AD43" s="74"/>
      <c r="AE43" s="74"/>
      <c r="AF43" s="74"/>
      <c r="AG43" s="74"/>
      <c r="AH43" s="73"/>
      <c r="AI43" s="312"/>
      <c r="AJ43" s="313"/>
      <c r="AK43" s="313"/>
      <c r="AL43" s="313"/>
      <c r="AM43" s="313"/>
      <c r="AN43" s="313"/>
      <c r="AO43" s="313"/>
      <c r="AP43" s="313"/>
      <c r="AQ43" s="313"/>
      <c r="AR43" s="313"/>
      <c r="AS43" s="313"/>
      <c r="AT43" s="313"/>
      <c r="AU43" s="313"/>
      <c r="AV43" s="313"/>
      <c r="AW43" s="313"/>
      <c r="AX43" s="313"/>
      <c r="AY43" s="313"/>
      <c r="AZ43" s="63"/>
      <c r="BA43" s="319">
        <f t="shared" si="65"/>
        <v>0</v>
      </c>
      <c r="BB43" s="201">
        <f t="shared" si="66"/>
        <v>0</v>
      </c>
      <c r="BC43" s="201">
        <f t="shared" si="67"/>
        <v>0</v>
      </c>
      <c r="BD43" s="201">
        <f t="shared" si="68"/>
        <v>0</v>
      </c>
      <c r="BE43" s="201">
        <f t="shared" si="69"/>
        <v>0</v>
      </c>
      <c r="BF43" s="202">
        <f>(BB43*初始化表!E$17+BC43*初始化表!F$17+BD43*初始化表!G$17+BE43*初始化表!H$17)/1300</f>
        <v>0</v>
      </c>
      <c r="BG43" s="207">
        <f t="shared" si="70"/>
        <v>0</v>
      </c>
      <c r="BH43" s="207">
        <f t="shared" si="71"/>
        <v>0</v>
      </c>
      <c r="BI43" s="321">
        <f>$BI$51+MAX(0,第6期!BI43)-BF43</f>
        <v>0</v>
      </c>
      <c r="BJ43" s="201" t="str">
        <f t="shared" si="72"/>
        <v/>
      </c>
      <c r="BK43" s="201" t="str">
        <f t="shared" si="73"/>
        <v/>
      </c>
      <c r="BL43" s="203"/>
      <c r="BM43" s="215" t="s">
        <v>465</v>
      </c>
      <c r="BN43" s="201" t="e">
        <f t="shared" si="75"/>
        <v>#DIV/0!</v>
      </c>
      <c r="BO43" s="201" t="e">
        <f t="shared" si="75"/>
        <v>#DIV/0!</v>
      </c>
      <c r="BP43" s="201" t="e">
        <f t="shared" si="75"/>
        <v>#DIV/0!</v>
      </c>
      <c r="BQ43" s="201" t="e">
        <f t="shared" si="75"/>
        <v>#DIV/0!</v>
      </c>
      <c r="BR43" s="211"/>
      <c r="BS43" s="196">
        <f t="shared" si="48"/>
        <v>0</v>
      </c>
      <c r="BT43" s="213" t="e">
        <f t="shared" si="49"/>
        <v>#DIV/0!</v>
      </c>
      <c r="BU43" s="213" t="e">
        <f t="shared" si="50"/>
        <v>#DIV/0!</v>
      </c>
      <c r="BV43" s="213" t="e">
        <f t="shared" si="51"/>
        <v>#DIV/0!</v>
      </c>
      <c r="BW43" s="213" t="e">
        <f t="shared" si="52"/>
        <v>#DIV/0!</v>
      </c>
      <c r="BX43" s="213" t="e">
        <f t="shared" si="53"/>
        <v>#DIV/0!</v>
      </c>
      <c r="BY43" s="213" t="e">
        <f t="shared" si="54"/>
        <v>#DIV/0!</v>
      </c>
      <c r="BZ43" s="213" t="e">
        <f t="shared" si="55"/>
        <v>#DIV/0!</v>
      </c>
      <c r="CA43" s="213" t="e">
        <f t="shared" si="56"/>
        <v>#DIV/0!</v>
      </c>
      <c r="CB43" s="213" t="e">
        <f t="shared" si="57"/>
        <v>#DIV/0!</v>
      </c>
      <c r="CC43" s="213" t="e">
        <f t="shared" si="58"/>
        <v>#DIV/0!</v>
      </c>
      <c r="CD43" s="213" t="e">
        <f t="shared" si="59"/>
        <v>#DIV/0!</v>
      </c>
      <c r="CE43" s="213" t="e">
        <f t="shared" si="60"/>
        <v>#DIV/0!</v>
      </c>
      <c r="CF43" s="213" t="e">
        <f t="shared" si="61"/>
        <v>#DIV/0!</v>
      </c>
      <c r="CG43" s="213" t="e">
        <f t="shared" si="62"/>
        <v>#DIV/0!</v>
      </c>
      <c r="CH43" s="213" t="e">
        <f t="shared" si="63"/>
        <v>#DIV/0!</v>
      </c>
      <c r="CI43" s="213" t="e">
        <f t="shared" si="64"/>
        <v>#DIV/0!</v>
      </c>
      <c r="CJ43" s="226"/>
      <c r="CK43" s="228"/>
      <c r="CL43" s="228"/>
      <c r="CM43" s="228"/>
      <c r="CN43" s="228"/>
      <c r="CO43" s="228"/>
      <c r="CP43" s="228"/>
      <c r="CQ43" s="228"/>
      <c r="CR43" s="228"/>
      <c r="CS43" s="228"/>
      <c r="CT43" s="228"/>
      <c r="CU43" s="228"/>
      <c r="CV43" s="228"/>
      <c r="CW43" s="228"/>
      <c r="CX43" s="228"/>
      <c r="CY43" s="228"/>
      <c r="CZ43" s="228"/>
      <c r="DA43" s="228"/>
      <c r="DB43" s="228"/>
      <c r="DC43" s="228"/>
      <c r="DD43" s="228"/>
      <c r="DE43" s="228"/>
      <c r="DF43" s="228"/>
      <c r="DG43" s="228"/>
      <c r="DH43" s="228"/>
      <c r="DI43" s="228"/>
      <c r="DJ43" s="228"/>
      <c r="DK43" s="228"/>
      <c r="DL43" s="228"/>
      <c r="DM43" s="228"/>
      <c r="DN43" s="228"/>
      <c r="DO43" s="228"/>
      <c r="DP43" s="228"/>
      <c r="DQ43" s="228"/>
    </row>
    <row r="44" s="61" customFormat="1" ht="16" customHeight="1" spans="1:121">
      <c r="A44" s="269" t="s">
        <v>375</v>
      </c>
      <c r="B44" s="270"/>
      <c r="C44" s="77">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0</v>
      </c>
      <c r="D44" s="79"/>
      <c r="E44" s="79" t="e">
        <f t="shared" si="76"/>
        <v>#DIV/0!</v>
      </c>
      <c r="F44" s="79" t="e">
        <f>F43+C44</f>
        <v>#DIV/0!</v>
      </c>
      <c r="G44" s="73"/>
      <c r="H44" s="74"/>
      <c r="I44" s="74"/>
      <c r="J44" s="74"/>
      <c r="K44" s="116" t="s">
        <v>255</v>
      </c>
      <c r="L44" s="285" t="e">
        <f>F77</f>
        <v>#DIV/0!</v>
      </c>
      <c r="M44" s="85"/>
      <c r="N44" s="68" t="s">
        <v>647</v>
      </c>
      <c r="O44" s="68" t="s">
        <v>648</v>
      </c>
      <c r="P44" s="68" t="s">
        <v>649</v>
      </c>
      <c r="Q44" s="68" t="s">
        <v>650</v>
      </c>
      <c r="R44" s="68" t="s">
        <v>313</v>
      </c>
      <c r="S44" s="121"/>
      <c r="T44" s="120"/>
      <c r="U44" s="68" t="s">
        <v>466</v>
      </c>
      <c r="V44" s="77">
        <f t="shared" si="74"/>
        <v>0</v>
      </c>
      <c r="W44" s="77">
        <f t="shared" si="74"/>
        <v>0</v>
      </c>
      <c r="X44" s="77">
        <f t="shared" si="74"/>
        <v>0</v>
      </c>
      <c r="Y44" s="77">
        <f t="shared" si="74"/>
        <v>0</v>
      </c>
      <c r="Z44" s="77">
        <f>SUM(V44:Y44)</f>
        <v>0</v>
      </c>
      <c r="AA44" s="73"/>
      <c r="AB44" s="74"/>
      <c r="AC44" s="74"/>
      <c r="AD44" s="74"/>
      <c r="AE44" s="74"/>
      <c r="AF44" s="74"/>
      <c r="AG44" s="74"/>
      <c r="AH44" s="73"/>
      <c r="AI44" s="312"/>
      <c r="AJ44" s="313"/>
      <c r="AK44" s="313"/>
      <c r="AL44" s="313"/>
      <c r="AM44" s="313"/>
      <c r="AN44" s="313"/>
      <c r="AO44" s="313"/>
      <c r="AP44" s="313"/>
      <c r="AQ44" s="313"/>
      <c r="AR44" s="313"/>
      <c r="AS44" s="313"/>
      <c r="AT44" s="313"/>
      <c r="AU44" s="313"/>
      <c r="AV44" s="313"/>
      <c r="AW44" s="313"/>
      <c r="AX44" s="313"/>
      <c r="AY44" s="313"/>
      <c r="AZ44" s="63"/>
      <c r="BA44" s="319">
        <f t="shared" si="65"/>
        <v>0</v>
      </c>
      <c r="BB44" s="201">
        <f t="shared" si="66"/>
        <v>0</v>
      </c>
      <c r="BC44" s="201">
        <f t="shared" si="67"/>
        <v>0</v>
      </c>
      <c r="BD44" s="201">
        <f t="shared" si="68"/>
        <v>0</v>
      </c>
      <c r="BE44" s="201">
        <f t="shared" si="69"/>
        <v>0</v>
      </c>
      <c r="BF44" s="202">
        <f>(BB44*初始化表!E$17+BC44*初始化表!F$17+BD44*初始化表!G$17+BE44*初始化表!H$17)/1300</f>
        <v>0</v>
      </c>
      <c r="BG44" s="207">
        <f t="shared" si="70"/>
        <v>0</v>
      </c>
      <c r="BH44" s="207">
        <f t="shared" si="71"/>
        <v>0</v>
      </c>
      <c r="BI44" s="321">
        <f>$BI$51+MAX(0,第6期!BI44)-BF44</f>
        <v>0</v>
      </c>
      <c r="BJ44" s="201" t="str">
        <f t="shared" si="72"/>
        <v/>
      </c>
      <c r="BK44" s="201" t="str">
        <f t="shared" si="73"/>
        <v/>
      </c>
      <c r="BL44" s="203"/>
      <c r="BM44" s="215" t="s">
        <v>466</v>
      </c>
      <c r="BN44" s="201" t="e">
        <f t="shared" si="75"/>
        <v>#DIV/0!</v>
      </c>
      <c r="BO44" s="201" t="e">
        <f t="shared" si="75"/>
        <v>#DIV/0!</v>
      </c>
      <c r="BP44" s="201" t="e">
        <f t="shared" si="75"/>
        <v>#DIV/0!</v>
      </c>
      <c r="BQ44" s="201" t="e">
        <f t="shared" si="75"/>
        <v>#DIV/0!</v>
      </c>
      <c r="BR44" s="211"/>
      <c r="BS44" s="196">
        <f t="shared" si="48"/>
        <v>0</v>
      </c>
      <c r="BT44" s="213" t="e">
        <f t="shared" si="49"/>
        <v>#DIV/0!</v>
      </c>
      <c r="BU44" s="213" t="e">
        <f t="shared" si="50"/>
        <v>#DIV/0!</v>
      </c>
      <c r="BV44" s="213" t="e">
        <f t="shared" si="51"/>
        <v>#DIV/0!</v>
      </c>
      <c r="BW44" s="213" t="e">
        <f t="shared" si="52"/>
        <v>#DIV/0!</v>
      </c>
      <c r="BX44" s="213" t="e">
        <f t="shared" si="53"/>
        <v>#DIV/0!</v>
      </c>
      <c r="BY44" s="213" t="e">
        <f t="shared" si="54"/>
        <v>#DIV/0!</v>
      </c>
      <c r="BZ44" s="213" t="e">
        <f t="shared" si="55"/>
        <v>#DIV/0!</v>
      </c>
      <c r="CA44" s="213" t="e">
        <f t="shared" si="56"/>
        <v>#DIV/0!</v>
      </c>
      <c r="CB44" s="213" t="e">
        <f t="shared" si="57"/>
        <v>#DIV/0!</v>
      </c>
      <c r="CC44" s="213" t="e">
        <f t="shared" si="58"/>
        <v>#DIV/0!</v>
      </c>
      <c r="CD44" s="213" t="e">
        <f t="shared" si="59"/>
        <v>#DIV/0!</v>
      </c>
      <c r="CE44" s="213" t="e">
        <f t="shared" si="60"/>
        <v>#DIV/0!</v>
      </c>
      <c r="CF44" s="213" t="e">
        <f t="shared" si="61"/>
        <v>#DIV/0!</v>
      </c>
      <c r="CG44" s="213" t="e">
        <f t="shared" si="62"/>
        <v>#DIV/0!</v>
      </c>
      <c r="CH44" s="213" t="e">
        <f t="shared" si="63"/>
        <v>#DIV/0!</v>
      </c>
      <c r="CI44" s="213" t="e">
        <f t="shared" si="64"/>
        <v>#DIV/0!</v>
      </c>
      <c r="CJ44" s="226"/>
      <c r="CK44" s="228"/>
      <c r="CL44" s="228"/>
      <c r="CM44" s="228"/>
      <c r="CN44" s="228"/>
      <c r="CO44" s="228"/>
      <c r="CP44" s="228"/>
      <c r="CQ44" s="228"/>
      <c r="CR44" s="228"/>
      <c r="CS44" s="228"/>
      <c r="CT44" s="228"/>
      <c r="CU44" s="228"/>
      <c r="CV44" s="228"/>
      <c r="CW44" s="228"/>
      <c r="CX44" s="228"/>
      <c r="CY44" s="228"/>
      <c r="CZ44" s="228"/>
      <c r="DA44" s="228"/>
      <c r="DB44" s="228"/>
      <c r="DC44" s="228"/>
      <c r="DD44" s="228"/>
      <c r="DE44" s="228"/>
      <c r="DF44" s="228"/>
      <c r="DG44" s="228"/>
      <c r="DH44" s="228"/>
      <c r="DI44" s="228"/>
      <c r="DJ44" s="228"/>
      <c r="DK44" s="228"/>
      <c r="DL44" s="228"/>
      <c r="DM44" s="228"/>
      <c r="DN44" s="228"/>
      <c r="DO44" s="228"/>
      <c r="DP44" s="228"/>
      <c r="DQ44" s="228"/>
    </row>
    <row r="45" s="61" customFormat="1" ht="16" customHeight="1" spans="1:121">
      <c r="A45" s="269" t="s">
        <v>376</v>
      </c>
      <c r="B45" s="270"/>
      <c r="C45" s="77">
        <f>-SUM(B17:E17)*初始化表!E19-SUM(B18:E18)*初始化表!F19-SUM(B19:E19)*初始化表!G19-SUM(B20:E20)*初始化表!H19</f>
        <v>0</v>
      </c>
      <c r="D45" s="79"/>
      <c r="E45" s="79" t="e">
        <f t="shared" si="76"/>
        <v>#DIV/0!</v>
      </c>
      <c r="F45" s="79"/>
      <c r="G45" s="73"/>
      <c r="H45" s="273" t="s">
        <v>282</v>
      </c>
      <c r="I45" s="275"/>
      <c r="J45" s="275"/>
      <c r="K45" s="275"/>
      <c r="L45" s="275"/>
      <c r="M45" s="85"/>
      <c r="N45" s="115">
        <f>第6期!F24</f>
        <v>1</v>
      </c>
      <c r="O45" s="77">
        <f>IF(0.99*LOG(F24,初始化表!B20)&lt;0.99,0.99*LOG(F24,初始化表!B20),0.99)</f>
        <v>0</v>
      </c>
      <c r="P45" s="77" t="e">
        <f>INT(((R42-0.95-(R41-0.95)*0.2)/0.8*10/初始化表!B19+1)*1000+0.5)/1000</f>
        <v>#DIV/0!</v>
      </c>
      <c r="Q45" s="77">
        <f>INT(((0.05-(R41-0.95)*0.2)/0.8*10/初始化表!B19+1)*1000+0.5)/1000</f>
        <v>1.625</v>
      </c>
      <c r="R45" s="140">
        <f>第6期!R45</f>
        <v>1</v>
      </c>
      <c r="S45" s="141" t="s">
        <v>651</v>
      </c>
      <c r="T45" s="293"/>
      <c r="U45" s="68" t="s">
        <v>468</v>
      </c>
      <c r="V45" s="77">
        <f t="shared" si="74"/>
        <v>0</v>
      </c>
      <c r="W45" s="77">
        <f t="shared" si="74"/>
        <v>0</v>
      </c>
      <c r="X45" s="77">
        <f t="shared" si="74"/>
        <v>0</v>
      </c>
      <c r="Y45" s="77">
        <f t="shared" si="74"/>
        <v>0</v>
      </c>
      <c r="Z45" s="77">
        <f>SUM(V45:Y45)</f>
        <v>0</v>
      </c>
      <c r="AA45" s="73"/>
      <c r="AB45" s="74"/>
      <c r="AC45" s="74"/>
      <c r="AD45" s="74"/>
      <c r="AE45" s="74"/>
      <c r="AF45" s="74"/>
      <c r="AG45" s="74"/>
      <c r="AH45" s="73"/>
      <c r="AI45" s="312"/>
      <c r="AJ45" s="313"/>
      <c r="AK45" s="313"/>
      <c r="AL45" s="313"/>
      <c r="AM45" s="313"/>
      <c r="AN45" s="313"/>
      <c r="AO45" s="313"/>
      <c r="AP45" s="313"/>
      <c r="AQ45" s="313"/>
      <c r="AR45" s="313"/>
      <c r="AS45" s="313"/>
      <c r="AT45" s="313"/>
      <c r="AU45" s="313"/>
      <c r="AV45" s="313"/>
      <c r="AW45" s="313"/>
      <c r="AX45" s="313"/>
      <c r="AY45" s="313"/>
      <c r="AZ45" s="63"/>
      <c r="BA45" s="319">
        <f t="shared" si="65"/>
        <v>0</v>
      </c>
      <c r="BB45" s="201">
        <f t="shared" si="66"/>
        <v>0</v>
      </c>
      <c r="BC45" s="201">
        <f t="shared" si="67"/>
        <v>0</v>
      </c>
      <c r="BD45" s="201">
        <f t="shared" si="68"/>
        <v>0</v>
      </c>
      <c r="BE45" s="201">
        <f t="shared" si="69"/>
        <v>0</v>
      </c>
      <c r="BF45" s="202">
        <f>(BB45*初始化表!E$17+BC45*初始化表!F$17+BD45*初始化表!G$17+BE45*初始化表!H$17)/1300</f>
        <v>0</v>
      </c>
      <c r="BG45" s="207">
        <f t="shared" si="70"/>
        <v>0</v>
      </c>
      <c r="BH45" s="207">
        <f t="shared" si="71"/>
        <v>0</v>
      </c>
      <c r="BI45" s="321">
        <f>$BI$51+MAX(0,第6期!BI45)-BF45</f>
        <v>0</v>
      </c>
      <c r="BJ45" s="201" t="str">
        <f t="shared" si="72"/>
        <v/>
      </c>
      <c r="BK45" s="201" t="str">
        <f t="shared" si="73"/>
        <v/>
      </c>
      <c r="BL45" s="203"/>
      <c r="BM45" s="215" t="s">
        <v>468</v>
      </c>
      <c r="BN45" s="201" t="e">
        <f t="shared" si="75"/>
        <v>#DIV/0!</v>
      </c>
      <c r="BO45" s="201" t="e">
        <f t="shared" si="75"/>
        <v>#DIV/0!</v>
      </c>
      <c r="BP45" s="201" t="e">
        <f t="shared" si="75"/>
        <v>#DIV/0!</v>
      </c>
      <c r="BQ45" s="201" t="e">
        <f t="shared" si="75"/>
        <v>#DIV/0!</v>
      </c>
      <c r="BR45" s="211"/>
      <c r="BS45" s="196">
        <f t="shared" si="48"/>
        <v>0</v>
      </c>
      <c r="BT45" s="213" t="e">
        <f t="shared" si="49"/>
        <v>#DIV/0!</v>
      </c>
      <c r="BU45" s="213" t="e">
        <f t="shared" si="50"/>
        <v>#DIV/0!</v>
      </c>
      <c r="BV45" s="213" t="e">
        <f t="shared" si="51"/>
        <v>#DIV/0!</v>
      </c>
      <c r="BW45" s="213" t="e">
        <f t="shared" si="52"/>
        <v>#DIV/0!</v>
      </c>
      <c r="BX45" s="213" t="e">
        <f t="shared" si="53"/>
        <v>#DIV/0!</v>
      </c>
      <c r="BY45" s="213" t="e">
        <f t="shared" si="54"/>
        <v>#DIV/0!</v>
      </c>
      <c r="BZ45" s="213" t="e">
        <f t="shared" si="55"/>
        <v>#DIV/0!</v>
      </c>
      <c r="CA45" s="213" t="e">
        <f t="shared" si="56"/>
        <v>#DIV/0!</v>
      </c>
      <c r="CB45" s="213" t="e">
        <f t="shared" si="57"/>
        <v>#DIV/0!</v>
      </c>
      <c r="CC45" s="213" t="e">
        <f t="shared" si="58"/>
        <v>#DIV/0!</v>
      </c>
      <c r="CD45" s="213" t="e">
        <f t="shared" si="59"/>
        <v>#DIV/0!</v>
      </c>
      <c r="CE45" s="213" t="e">
        <f t="shared" si="60"/>
        <v>#DIV/0!</v>
      </c>
      <c r="CF45" s="213" t="e">
        <f t="shared" si="61"/>
        <v>#DIV/0!</v>
      </c>
      <c r="CG45" s="213" t="e">
        <f t="shared" si="62"/>
        <v>#DIV/0!</v>
      </c>
      <c r="CH45" s="213" t="e">
        <f t="shared" si="63"/>
        <v>#DIV/0!</v>
      </c>
      <c r="CI45" s="213" t="e">
        <f t="shared" si="64"/>
        <v>#DIV/0!</v>
      </c>
      <c r="CJ45" s="226"/>
      <c r="CK45" s="228"/>
      <c r="CL45" s="228"/>
      <c r="CM45" s="228"/>
      <c r="CN45" s="228"/>
      <c r="CO45" s="228"/>
      <c r="CP45" s="228"/>
      <c r="CQ45" s="228"/>
      <c r="CR45" s="228"/>
      <c r="CS45" s="228"/>
      <c r="CT45" s="228"/>
      <c r="CU45" s="228"/>
      <c r="CV45" s="228"/>
      <c r="CW45" s="228"/>
      <c r="CX45" s="228"/>
      <c r="CY45" s="228"/>
      <c r="CZ45" s="228"/>
      <c r="DA45" s="228"/>
      <c r="DB45" s="228"/>
      <c r="DC45" s="228"/>
      <c r="DD45" s="228"/>
      <c r="DE45" s="228"/>
      <c r="DF45" s="228"/>
      <c r="DG45" s="228"/>
      <c r="DH45" s="228"/>
      <c r="DI45" s="228"/>
      <c r="DJ45" s="228"/>
      <c r="DK45" s="228"/>
      <c r="DL45" s="228"/>
      <c r="DM45" s="228"/>
      <c r="DN45" s="228"/>
      <c r="DO45" s="228"/>
      <c r="DP45" s="228"/>
      <c r="DQ45" s="228"/>
    </row>
    <row r="46" s="61" customFormat="1" ht="16" customHeight="1" spans="1:121">
      <c r="A46" s="269" t="s">
        <v>377</v>
      </c>
      <c r="B46" s="270"/>
      <c r="C46" s="77">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0</v>
      </c>
      <c r="D46" s="79"/>
      <c r="E46" s="79" t="e">
        <f t="shared" si="76"/>
        <v>#DIV/0!</v>
      </c>
      <c r="F46" s="79" t="e">
        <f>F44+C46</f>
        <v>#DIV/0!</v>
      </c>
      <c r="G46" s="73"/>
      <c r="H46" s="273" t="s">
        <v>652</v>
      </c>
      <c r="I46" s="273" t="s">
        <v>784</v>
      </c>
      <c r="J46" s="273" t="s">
        <v>785</v>
      </c>
      <c r="K46" s="273" t="s">
        <v>786</v>
      </c>
      <c r="L46" s="273" t="s">
        <v>787</v>
      </c>
      <c r="M46" s="85"/>
      <c r="N46" s="90"/>
      <c r="O46" s="90"/>
      <c r="P46" s="90"/>
      <c r="Q46" s="68" t="s">
        <v>255</v>
      </c>
      <c r="R46" s="143" t="e">
        <f>F77</f>
        <v>#DIV/0!</v>
      </c>
      <c r="S46" s="141" t="s">
        <v>653</v>
      </c>
      <c r="T46" s="144"/>
      <c r="U46" s="123"/>
      <c r="V46" s="74"/>
      <c r="W46" s="74"/>
      <c r="X46" s="74"/>
      <c r="Y46" s="74"/>
      <c r="Z46" s="158"/>
      <c r="AA46" s="73"/>
      <c r="AB46" s="74"/>
      <c r="AC46" s="74"/>
      <c r="AD46" s="74"/>
      <c r="AE46" s="74"/>
      <c r="AF46" s="74"/>
      <c r="AG46" s="74"/>
      <c r="AH46" s="73"/>
      <c r="AI46" s="312"/>
      <c r="AJ46" s="313"/>
      <c r="AK46" s="313"/>
      <c r="AL46" s="313"/>
      <c r="AM46" s="313"/>
      <c r="AN46" s="313"/>
      <c r="AO46" s="313"/>
      <c r="AP46" s="313"/>
      <c r="AQ46" s="313"/>
      <c r="AR46" s="313"/>
      <c r="AS46" s="313"/>
      <c r="AT46" s="313"/>
      <c r="AU46" s="313"/>
      <c r="AV46" s="313"/>
      <c r="AW46" s="313"/>
      <c r="AX46" s="313"/>
      <c r="AY46" s="313"/>
      <c r="AZ46" s="63"/>
      <c r="BA46" s="319">
        <f t="shared" si="65"/>
        <v>0</v>
      </c>
      <c r="BB46" s="201">
        <f t="shared" si="66"/>
        <v>0</v>
      </c>
      <c r="BC46" s="201">
        <f t="shared" si="67"/>
        <v>0</v>
      </c>
      <c r="BD46" s="201">
        <f t="shared" si="68"/>
        <v>0</v>
      </c>
      <c r="BE46" s="201">
        <f t="shared" si="69"/>
        <v>0</v>
      </c>
      <c r="BF46" s="202">
        <f>(BB46*初始化表!E$17+BC46*初始化表!F$17+BD46*初始化表!G$17+BE46*初始化表!H$17)/1300</f>
        <v>0</v>
      </c>
      <c r="BG46" s="207">
        <f t="shared" si="70"/>
        <v>0</v>
      </c>
      <c r="BH46" s="207">
        <f t="shared" si="71"/>
        <v>0</v>
      </c>
      <c r="BI46" s="321">
        <f>$BI$51+MAX(0,第6期!BI46)-BF46</f>
        <v>0</v>
      </c>
      <c r="BJ46" s="201" t="str">
        <f t="shared" si="72"/>
        <v/>
      </c>
      <c r="BK46" s="201" t="str">
        <f t="shared" si="73"/>
        <v/>
      </c>
      <c r="BL46" s="203"/>
      <c r="BM46" s="218"/>
      <c r="BN46" s="218"/>
      <c r="BO46" s="218"/>
      <c r="BP46" s="218"/>
      <c r="BQ46" s="218"/>
      <c r="BR46" s="211"/>
      <c r="BS46" s="196">
        <f t="shared" si="48"/>
        <v>0</v>
      </c>
      <c r="BT46" s="213" t="e">
        <f t="shared" si="49"/>
        <v>#DIV/0!</v>
      </c>
      <c r="BU46" s="213" t="e">
        <f t="shared" si="50"/>
        <v>#DIV/0!</v>
      </c>
      <c r="BV46" s="213" t="e">
        <f t="shared" si="51"/>
        <v>#DIV/0!</v>
      </c>
      <c r="BW46" s="213" t="e">
        <f t="shared" si="52"/>
        <v>#DIV/0!</v>
      </c>
      <c r="BX46" s="213" t="e">
        <f t="shared" si="53"/>
        <v>#DIV/0!</v>
      </c>
      <c r="BY46" s="213" t="e">
        <f t="shared" si="54"/>
        <v>#DIV/0!</v>
      </c>
      <c r="BZ46" s="213" t="e">
        <f t="shared" si="55"/>
        <v>#DIV/0!</v>
      </c>
      <c r="CA46" s="213" t="e">
        <f t="shared" si="56"/>
        <v>#DIV/0!</v>
      </c>
      <c r="CB46" s="213" t="e">
        <f t="shared" si="57"/>
        <v>#DIV/0!</v>
      </c>
      <c r="CC46" s="213" t="e">
        <f t="shared" si="58"/>
        <v>#DIV/0!</v>
      </c>
      <c r="CD46" s="213" t="e">
        <f t="shared" si="59"/>
        <v>#DIV/0!</v>
      </c>
      <c r="CE46" s="213" t="e">
        <f t="shared" si="60"/>
        <v>#DIV/0!</v>
      </c>
      <c r="CF46" s="213" t="e">
        <f t="shared" si="61"/>
        <v>#DIV/0!</v>
      </c>
      <c r="CG46" s="213" t="e">
        <f t="shared" si="62"/>
        <v>#DIV/0!</v>
      </c>
      <c r="CH46" s="213" t="e">
        <f t="shared" si="63"/>
        <v>#DIV/0!</v>
      </c>
      <c r="CI46" s="213" t="e">
        <f t="shared" si="64"/>
        <v>#DIV/0!</v>
      </c>
      <c r="CJ46" s="226"/>
      <c r="CK46" s="228"/>
      <c r="CL46" s="228"/>
      <c r="CM46" s="228"/>
      <c r="CN46" s="228"/>
      <c r="CO46" s="228"/>
      <c r="CP46" s="228"/>
      <c r="CQ46" s="228"/>
      <c r="CR46" s="228"/>
      <c r="CS46" s="228"/>
      <c r="CT46" s="228"/>
      <c r="CU46" s="228"/>
      <c r="CV46" s="228"/>
      <c r="CW46" s="228"/>
      <c r="CX46" s="228"/>
      <c r="CY46" s="228"/>
      <c r="CZ46" s="228"/>
      <c r="DA46" s="228"/>
      <c r="DB46" s="228"/>
      <c r="DC46" s="228"/>
      <c r="DD46" s="228"/>
      <c r="DE46" s="228"/>
      <c r="DF46" s="228"/>
      <c r="DG46" s="228"/>
      <c r="DH46" s="228"/>
      <c r="DI46" s="228"/>
      <c r="DJ46" s="228"/>
      <c r="DK46" s="228"/>
      <c r="DL46" s="228"/>
      <c r="DM46" s="228"/>
      <c r="DN46" s="228"/>
      <c r="DO46" s="228"/>
      <c r="DP46" s="228"/>
      <c r="DQ46" s="228"/>
    </row>
    <row r="47" s="61" customFormat="1" ht="16" customHeight="1" spans="1:121">
      <c r="A47" s="269" t="s">
        <v>276</v>
      </c>
      <c r="B47" s="270"/>
      <c r="C47" s="77" t="e">
        <f>-SUM(F6:F9)</f>
        <v>#DIV/0!</v>
      </c>
      <c r="D47" s="79"/>
      <c r="E47" s="79" t="e">
        <f t="shared" si="76"/>
        <v>#DIV/0!</v>
      </c>
      <c r="F47" s="79" t="e">
        <f>F46+C47</f>
        <v>#DIV/0!</v>
      </c>
      <c r="G47" s="73"/>
      <c r="H47" s="273" t="s">
        <v>776</v>
      </c>
      <c r="I47" s="90">
        <v>2</v>
      </c>
      <c r="J47" s="90">
        <v>2</v>
      </c>
      <c r="K47" s="90">
        <v>3</v>
      </c>
      <c r="L47" s="90">
        <v>3</v>
      </c>
      <c r="M47" s="85"/>
      <c r="N47" s="68" t="s">
        <v>654</v>
      </c>
      <c r="O47" s="69"/>
      <c r="P47" s="69"/>
      <c r="Q47" s="69"/>
      <c r="R47" s="145"/>
      <c r="S47" s="141" t="s">
        <v>655</v>
      </c>
      <c r="T47" s="294" t="e">
        <f>R46-T46</f>
        <v>#DIV/0!</v>
      </c>
      <c r="U47" s="68" t="s">
        <v>742</v>
      </c>
      <c r="V47" s="68" t="s">
        <v>459</v>
      </c>
      <c r="W47" s="68" t="s">
        <v>460</v>
      </c>
      <c r="X47" s="68" t="s">
        <v>461</v>
      </c>
      <c r="Y47" s="68" t="s">
        <v>462</v>
      </c>
      <c r="Z47" s="74"/>
      <c r="AA47" s="73"/>
      <c r="AB47" s="74"/>
      <c r="AC47" s="74"/>
      <c r="AD47" s="74"/>
      <c r="AE47" s="74"/>
      <c r="AF47" s="74"/>
      <c r="AG47" s="74"/>
      <c r="AH47" s="73"/>
      <c r="AI47" s="312"/>
      <c r="AJ47" s="313"/>
      <c r="AK47" s="313"/>
      <c r="AL47" s="313"/>
      <c r="AM47" s="313"/>
      <c r="AN47" s="313"/>
      <c r="AO47" s="313"/>
      <c r="AP47" s="313"/>
      <c r="AQ47" s="313"/>
      <c r="AR47" s="313"/>
      <c r="AS47" s="313"/>
      <c r="AT47" s="313"/>
      <c r="AU47" s="313"/>
      <c r="AV47" s="313"/>
      <c r="AW47" s="313"/>
      <c r="AX47" s="313"/>
      <c r="AY47" s="313"/>
      <c r="AZ47" s="63"/>
      <c r="BA47" s="319">
        <f t="shared" si="65"/>
        <v>0</v>
      </c>
      <c r="BB47" s="201">
        <f t="shared" si="66"/>
        <v>0</v>
      </c>
      <c r="BC47" s="201">
        <f t="shared" si="67"/>
        <v>0</v>
      </c>
      <c r="BD47" s="201">
        <f t="shared" si="68"/>
        <v>0</v>
      </c>
      <c r="BE47" s="201">
        <f t="shared" si="69"/>
        <v>0</v>
      </c>
      <c r="BF47" s="202">
        <f>(BB47*初始化表!E$17+BC47*初始化表!F$17+BD47*初始化表!G$17+BE47*初始化表!H$17)/1300</f>
        <v>0</v>
      </c>
      <c r="BG47" s="207">
        <f t="shared" si="70"/>
        <v>0</v>
      </c>
      <c r="BH47" s="207">
        <f t="shared" si="71"/>
        <v>0</v>
      </c>
      <c r="BI47" s="321">
        <f>$BI$51+MAX(0,第6期!BI47)-BF47</f>
        <v>0</v>
      </c>
      <c r="BJ47" s="201" t="str">
        <f t="shared" si="72"/>
        <v/>
      </c>
      <c r="BK47" s="201" t="str">
        <f t="shared" si="73"/>
        <v/>
      </c>
      <c r="BL47" s="203"/>
      <c r="BM47" s="203"/>
      <c r="BN47" s="203"/>
      <c r="BO47" s="203"/>
      <c r="BP47" s="203"/>
      <c r="BQ47" s="203"/>
      <c r="BR47" s="211"/>
      <c r="BS47" s="196">
        <f t="shared" si="48"/>
        <v>0</v>
      </c>
      <c r="BT47" s="213" t="e">
        <f t="shared" si="49"/>
        <v>#DIV/0!</v>
      </c>
      <c r="BU47" s="213" t="e">
        <f t="shared" si="50"/>
        <v>#DIV/0!</v>
      </c>
      <c r="BV47" s="213" t="e">
        <f t="shared" si="51"/>
        <v>#DIV/0!</v>
      </c>
      <c r="BW47" s="213" t="e">
        <f t="shared" si="52"/>
        <v>#DIV/0!</v>
      </c>
      <c r="BX47" s="213" t="e">
        <f t="shared" si="53"/>
        <v>#DIV/0!</v>
      </c>
      <c r="BY47" s="213" t="e">
        <f t="shared" si="54"/>
        <v>#DIV/0!</v>
      </c>
      <c r="BZ47" s="213" t="e">
        <f t="shared" si="55"/>
        <v>#DIV/0!</v>
      </c>
      <c r="CA47" s="213" t="e">
        <f t="shared" si="56"/>
        <v>#DIV/0!</v>
      </c>
      <c r="CB47" s="213" t="e">
        <f t="shared" si="57"/>
        <v>#DIV/0!</v>
      </c>
      <c r="CC47" s="213" t="e">
        <f t="shared" si="58"/>
        <v>#DIV/0!</v>
      </c>
      <c r="CD47" s="213" t="e">
        <f t="shared" si="59"/>
        <v>#DIV/0!</v>
      </c>
      <c r="CE47" s="213" t="e">
        <f t="shared" si="60"/>
        <v>#DIV/0!</v>
      </c>
      <c r="CF47" s="213" t="e">
        <f t="shared" si="61"/>
        <v>#DIV/0!</v>
      </c>
      <c r="CG47" s="213" t="e">
        <f t="shared" si="62"/>
        <v>#DIV/0!</v>
      </c>
      <c r="CH47" s="213" t="e">
        <f t="shared" si="63"/>
        <v>#DIV/0!</v>
      </c>
      <c r="CI47" s="213" t="e">
        <f t="shared" si="64"/>
        <v>#DIV/0!</v>
      </c>
      <c r="CJ47" s="226"/>
      <c r="CK47" s="228"/>
      <c r="CL47" s="228"/>
      <c r="CM47" s="228"/>
      <c r="CN47" s="228"/>
      <c r="CO47" s="228"/>
      <c r="CP47" s="228"/>
      <c r="CQ47" s="228"/>
      <c r="CR47" s="228"/>
      <c r="CS47" s="228"/>
      <c r="CT47" s="228"/>
      <c r="CU47" s="228"/>
      <c r="CV47" s="228"/>
      <c r="CW47" s="228"/>
      <c r="CX47" s="228"/>
      <c r="CY47" s="228"/>
      <c r="CZ47" s="228"/>
      <c r="DA47" s="228"/>
      <c r="DB47" s="228"/>
      <c r="DC47" s="228"/>
      <c r="DD47" s="228"/>
      <c r="DE47" s="228"/>
      <c r="DF47" s="228"/>
      <c r="DG47" s="228"/>
      <c r="DH47" s="228"/>
      <c r="DI47" s="228"/>
      <c r="DJ47" s="228"/>
      <c r="DK47" s="228"/>
      <c r="DL47" s="228"/>
      <c r="DM47" s="228"/>
      <c r="DN47" s="228"/>
      <c r="DO47" s="228"/>
      <c r="DP47" s="228"/>
      <c r="DQ47" s="228"/>
    </row>
    <row r="48" s="61" customFormat="1" ht="16" customHeight="1" spans="1:121">
      <c r="A48" s="269" t="s">
        <v>280</v>
      </c>
      <c r="B48" s="270"/>
      <c r="C48" s="77" t="e">
        <f>-SUM(B10:E10)</f>
        <v>#DIV/0!</v>
      </c>
      <c r="D48" s="79"/>
      <c r="E48" s="79" t="e">
        <f t="shared" si="76"/>
        <v>#DIV/0!</v>
      </c>
      <c r="F48" s="79" t="e">
        <f>F47+C48</f>
        <v>#DIV/0!</v>
      </c>
      <c r="G48" s="73"/>
      <c r="H48" s="273" t="s">
        <v>777</v>
      </c>
      <c r="I48" s="90">
        <v>2</v>
      </c>
      <c r="J48" s="90">
        <v>2</v>
      </c>
      <c r="K48" s="90">
        <v>3</v>
      </c>
      <c r="L48" s="90">
        <v>3</v>
      </c>
      <c r="M48" s="85"/>
      <c r="N48" s="68" t="s">
        <v>657</v>
      </c>
      <c r="O48" s="68" t="s">
        <v>658</v>
      </c>
      <c r="P48" s="68" t="s">
        <v>659</v>
      </c>
      <c r="Q48" s="68" t="s">
        <v>727</v>
      </c>
      <c r="R48" s="68" t="s">
        <v>642</v>
      </c>
      <c r="S48" s="121"/>
      <c r="T48" s="120"/>
      <c r="U48" s="68" t="s">
        <v>464</v>
      </c>
      <c r="V48" s="146">
        <f>IF(第5期!BB27=0,0,第6期!BB27/第5期!BB27)</f>
        <v>0</v>
      </c>
      <c r="W48" s="146">
        <f>IF(第5期!BC27=0,0,第6期!BC27/第5期!BC27)</f>
        <v>0</v>
      </c>
      <c r="X48" s="146">
        <f>IF(第5期!BD27=0,0,第6期!BD27/第5期!BD27)</f>
        <v>0</v>
      </c>
      <c r="Y48" s="146">
        <f>IF(第5期!BE27=0,0,第6期!BE27/第5期!BE27)</f>
        <v>0</v>
      </c>
      <c r="Z48" s="74"/>
      <c r="AA48" s="73"/>
      <c r="AB48" s="74"/>
      <c r="AC48" s="74"/>
      <c r="AD48" s="74"/>
      <c r="AE48" s="74"/>
      <c r="AF48" s="74"/>
      <c r="AG48" s="74"/>
      <c r="AH48" s="73"/>
      <c r="AI48" s="312"/>
      <c r="AJ48" s="313"/>
      <c r="AK48" s="313"/>
      <c r="AL48" s="313"/>
      <c r="AM48" s="313"/>
      <c r="AN48" s="313"/>
      <c r="AO48" s="313"/>
      <c r="AP48" s="313"/>
      <c r="AQ48" s="313"/>
      <c r="AR48" s="313"/>
      <c r="AS48" s="313"/>
      <c r="AT48" s="313"/>
      <c r="AU48" s="313"/>
      <c r="AV48" s="313"/>
      <c r="AW48" s="313"/>
      <c r="AX48" s="313"/>
      <c r="AY48" s="313"/>
      <c r="AZ48" s="63"/>
      <c r="BA48" s="319">
        <f t="shared" si="65"/>
        <v>0</v>
      </c>
      <c r="BB48" s="201">
        <f t="shared" si="66"/>
        <v>0</v>
      </c>
      <c r="BC48" s="201">
        <f t="shared" si="67"/>
        <v>0</v>
      </c>
      <c r="BD48" s="201">
        <f t="shared" si="68"/>
        <v>0</v>
      </c>
      <c r="BE48" s="201">
        <f t="shared" si="69"/>
        <v>0</v>
      </c>
      <c r="BF48" s="202">
        <f>(BB48*初始化表!E$17+BC48*初始化表!F$17+BD48*初始化表!G$17+BE48*初始化表!H$17)/1300</f>
        <v>0</v>
      </c>
      <c r="BG48" s="207">
        <f t="shared" si="70"/>
        <v>0</v>
      </c>
      <c r="BH48" s="207">
        <f t="shared" si="71"/>
        <v>0</v>
      </c>
      <c r="BI48" s="321">
        <f>$BI$51+MAX(0,第6期!BI48)-BF48</f>
        <v>0</v>
      </c>
      <c r="BJ48" s="201" t="str">
        <f t="shared" si="72"/>
        <v/>
      </c>
      <c r="BK48" s="201" t="str">
        <f t="shared" si="73"/>
        <v/>
      </c>
      <c r="BL48" s="203"/>
      <c r="BM48" s="203"/>
      <c r="BN48" s="203"/>
      <c r="BO48" s="203"/>
      <c r="BP48" s="203"/>
      <c r="BQ48" s="203"/>
      <c r="BR48" s="211"/>
      <c r="BS48" s="196">
        <f t="shared" si="48"/>
        <v>0</v>
      </c>
      <c r="BT48" s="213" t="e">
        <f t="shared" si="49"/>
        <v>#DIV/0!</v>
      </c>
      <c r="BU48" s="213" t="e">
        <f t="shared" si="50"/>
        <v>#DIV/0!</v>
      </c>
      <c r="BV48" s="213" t="e">
        <f t="shared" si="51"/>
        <v>#DIV/0!</v>
      </c>
      <c r="BW48" s="213" t="e">
        <f t="shared" si="52"/>
        <v>#DIV/0!</v>
      </c>
      <c r="BX48" s="213" t="e">
        <f t="shared" si="53"/>
        <v>#DIV/0!</v>
      </c>
      <c r="BY48" s="213" t="e">
        <f t="shared" si="54"/>
        <v>#DIV/0!</v>
      </c>
      <c r="BZ48" s="213" t="e">
        <f t="shared" si="55"/>
        <v>#DIV/0!</v>
      </c>
      <c r="CA48" s="213" t="e">
        <f t="shared" si="56"/>
        <v>#DIV/0!</v>
      </c>
      <c r="CB48" s="213" t="e">
        <f t="shared" si="57"/>
        <v>#DIV/0!</v>
      </c>
      <c r="CC48" s="213" t="e">
        <f t="shared" si="58"/>
        <v>#DIV/0!</v>
      </c>
      <c r="CD48" s="213" t="e">
        <f t="shared" si="59"/>
        <v>#DIV/0!</v>
      </c>
      <c r="CE48" s="213" t="e">
        <f t="shared" si="60"/>
        <v>#DIV/0!</v>
      </c>
      <c r="CF48" s="213" t="e">
        <f t="shared" si="61"/>
        <v>#DIV/0!</v>
      </c>
      <c r="CG48" s="213" t="e">
        <f t="shared" si="62"/>
        <v>#DIV/0!</v>
      </c>
      <c r="CH48" s="213" t="e">
        <f t="shared" si="63"/>
        <v>#DIV/0!</v>
      </c>
      <c r="CI48" s="213" t="e">
        <f t="shared" si="64"/>
        <v>#DIV/0!</v>
      </c>
      <c r="CJ48" s="226"/>
      <c r="CK48" s="228"/>
      <c r="CL48" s="228"/>
      <c r="CM48" s="228"/>
      <c r="CN48" s="228"/>
      <c r="CO48" s="228"/>
      <c r="CP48" s="228"/>
      <c r="CQ48" s="228"/>
      <c r="CR48" s="228"/>
      <c r="CS48" s="228"/>
      <c r="CT48" s="228"/>
      <c r="CU48" s="228"/>
      <c r="CV48" s="228"/>
      <c r="CW48" s="228"/>
      <c r="CX48" s="228"/>
      <c r="CY48" s="228"/>
      <c r="CZ48" s="228"/>
      <c r="DA48" s="228"/>
      <c r="DB48" s="228"/>
      <c r="DC48" s="228"/>
      <c r="DD48" s="228"/>
      <c r="DE48" s="228"/>
      <c r="DF48" s="228"/>
      <c r="DG48" s="228"/>
      <c r="DH48" s="228"/>
      <c r="DI48" s="228"/>
      <c r="DJ48" s="228"/>
      <c r="DK48" s="228"/>
      <c r="DL48" s="228"/>
      <c r="DM48" s="228"/>
      <c r="DN48" s="228"/>
      <c r="DO48" s="228"/>
      <c r="DP48" s="228"/>
      <c r="DQ48" s="228"/>
    </row>
    <row r="49" s="61" customFormat="1" ht="16" customHeight="1" spans="1:121">
      <c r="A49" s="269" t="s">
        <v>378</v>
      </c>
      <c r="B49" s="270"/>
      <c r="C49" s="77" t="e">
        <f>IF(AJ24="",SUMPRODUCT(B6:E9,V42:Y45),B6*MAX(0,AM9-AK9)+MAX(0,AM10-AK10)*C6+MAX(0,AM11-AK11)*D6+MAX(0,AM12-AK12)*E6+MAX(0,AM13-AK13)*B7+MAX(0,AM14-AK14)*C7+MAX(0,AM15-AK15)*D7+MAX(0,AM16-AK16)*E7+MAX(0,AM17-AK17)*B8+MAX(0,AM18-AK18)*C8+MAX(0,AM19-AK19)*D8+MAX(0,AM20-AK20)*E8+MAX(0,AM21-AK21)*B9+MAX(0,AM22-AK22)*C9+MAX(0,AM23-AK23)*D9+MAX(0,AM24-AK24)*E9)+MIN(B6,V23)*MIN(V11,B12-V85)+MIN(W11,C12-W85)*MIN(C6,W23)+MIN(X11,D12-X85)*MIN(D6,X23)+MIN(Y11,E12-Y85)*MIN(E6,Y23)+MIN(B7,V24)*MIN(V12,B13-V86)+MIN(W12,C13-W86)*MIN(C7,W24)+MIN(X12,D13-X86)*MIN(D7,X24)+MIN(Y12,E13-Y86)*MIN(E7,Y24)+MIN(B8,V25)*MIN(V13,B14-V87)+MIN(W13,C14-W87)*MIN(C8,W25)+MIN(X13,D14-X87)*MIN(D8,X25)+MIN(Y13,E14-Y87)*MIN(E8,Y25)+MIN(B9,V26)*MIN(V14,B15-V88)+MIN(W14,C15-W88)*MIN(C9,W26)+MIN(X14,D15-X88)*MIN(D9,X26)+MIN(Y14,E15-Y88)*MIN(E9,Y26)</f>
        <v>#DIV/0!</v>
      </c>
      <c r="D49" s="79" t="e">
        <f>D41+C49</f>
        <v>#DIV/0!</v>
      </c>
      <c r="E49" s="79"/>
      <c r="F49" s="79" t="e">
        <f>F48+C49</f>
        <v>#DIV/0!</v>
      </c>
      <c r="G49" s="73"/>
      <c r="H49" s="273" t="s">
        <v>778</v>
      </c>
      <c r="I49" s="90">
        <v>2</v>
      </c>
      <c r="J49" s="90">
        <v>2</v>
      </c>
      <c r="K49" s="90">
        <v>3</v>
      </c>
      <c r="L49" s="90">
        <v>3</v>
      </c>
      <c r="M49" s="85"/>
      <c r="N49" s="77" t="e">
        <f>第6期!F69</f>
        <v>#DIV/0!</v>
      </c>
      <c r="O49" s="77" t="e">
        <f>N49+第6期!R49</f>
        <v>#DIV/0!</v>
      </c>
      <c r="P49" s="77" t="e">
        <f>INT((F61-0.05*C49+0-(F30-F48)*O49/N49)/初始化表!B8)</f>
        <v>#DIV/0!</v>
      </c>
      <c r="Q49" s="77" t="e">
        <f>INT((F61+第8期!P33+第8期!Q35-F30+F48)/初始化表!B8)</f>
        <v>#DIV/0!</v>
      </c>
      <c r="R49" s="90"/>
      <c r="S49" s="74"/>
      <c r="T49" s="120"/>
      <c r="U49" s="68" t="s">
        <v>465</v>
      </c>
      <c r="V49" s="146">
        <f>IF(第5期!BF27=0,0,第6期!BF27/第5期!BF27)</f>
        <v>0</v>
      </c>
      <c r="W49" s="146">
        <f>IF(第5期!BG27=0,0,第6期!BG27/第5期!BG27)</f>
        <v>0</v>
      </c>
      <c r="X49" s="146">
        <f>IF(第5期!BH27=0,0,第6期!BH27/第5期!BH27)</f>
        <v>0</v>
      </c>
      <c r="Y49" s="146">
        <f>IF(第5期!BI27=0,0,第6期!BI27/第5期!BI27)</f>
        <v>0</v>
      </c>
      <c r="Z49" s="74"/>
      <c r="AA49" s="73"/>
      <c r="AB49" s="74"/>
      <c r="AC49" s="74"/>
      <c r="AD49" s="74"/>
      <c r="AE49" s="74"/>
      <c r="AF49" s="74"/>
      <c r="AG49" s="74"/>
      <c r="AH49" s="73"/>
      <c r="AI49" s="312"/>
      <c r="AJ49" s="313"/>
      <c r="AK49" s="313"/>
      <c r="AL49" s="313"/>
      <c r="AM49" s="313"/>
      <c r="AN49" s="313"/>
      <c r="AO49" s="313"/>
      <c r="AP49" s="313"/>
      <c r="AQ49" s="313"/>
      <c r="AR49" s="313"/>
      <c r="AS49" s="313"/>
      <c r="AT49" s="313"/>
      <c r="AU49" s="313"/>
      <c r="AV49" s="313"/>
      <c r="AW49" s="313"/>
      <c r="AX49" s="313"/>
      <c r="AY49" s="313"/>
      <c r="AZ49" s="63"/>
      <c r="BA49" s="319">
        <f t="shared" si="65"/>
        <v>0</v>
      </c>
      <c r="BB49" s="201">
        <f t="shared" si="66"/>
        <v>0</v>
      </c>
      <c r="BC49" s="201">
        <f t="shared" si="67"/>
        <v>0</v>
      </c>
      <c r="BD49" s="201">
        <f t="shared" si="68"/>
        <v>0</v>
      </c>
      <c r="BE49" s="201">
        <f t="shared" si="69"/>
        <v>0</v>
      </c>
      <c r="BF49" s="202">
        <f>(BB49*初始化表!E$17+BC49*初始化表!F$17+BD49*初始化表!G$17+BE49*初始化表!H$17)/1300</f>
        <v>0</v>
      </c>
      <c r="BG49" s="207">
        <f t="shared" si="70"/>
        <v>0</v>
      </c>
      <c r="BH49" s="207">
        <f t="shared" si="71"/>
        <v>0</v>
      </c>
      <c r="BI49" s="321">
        <f>$BI$51+MAX(0,第6期!BI49)-BF49</f>
        <v>0</v>
      </c>
      <c r="BJ49" s="201" t="str">
        <f t="shared" si="72"/>
        <v/>
      </c>
      <c r="BK49" s="201" t="str">
        <f t="shared" si="73"/>
        <v/>
      </c>
      <c r="BL49" s="203"/>
      <c r="BM49" s="203"/>
      <c r="BN49" s="203"/>
      <c r="BO49" s="203"/>
      <c r="BP49" s="203"/>
      <c r="BQ49" s="203"/>
      <c r="BR49" s="211"/>
      <c r="BS49" s="196">
        <f t="shared" si="48"/>
        <v>0</v>
      </c>
      <c r="BT49" s="213" t="e">
        <f t="shared" si="49"/>
        <v>#DIV/0!</v>
      </c>
      <c r="BU49" s="213" t="e">
        <f t="shared" si="50"/>
        <v>#DIV/0!</v>
      </c>
      <c r="BV49" s="213" t="e">
        <f t="shared" si="51"/>
        <v>#DIV/0!</v>
      </c>
      <c r="BW49" s="213" t="e">
        <f t="shared" si="52"/>
        <v>#DIV/0!</v>
      </c>
      <c r="BX49" s="213" t="e">
        <f t="shared" si="53"/>
        <v>#DIV/0!</v>
      </c>
      <c r="BY49" s="213" t="e">
        <f t="shared" si="54"/>
        <v>#DIV/0!</v>
      </c>
      <c r="BZ49" s="213" t="e">
        <f t="shared" si="55"/>
        <v>#DIV/0!</v>
      </c>
      <c r="CA49" s="213" t="e">
        <f t="shared" si="56"/>
        <v>#DIV/0!</v>
      </c>
      <c r="CB49" s="213" t="e">
        <f t="shared" si="57"/>
        <v>#DIV/0!</v>
      </c>
      <c r="CC49" s="213" t="e">
        <f t="shared" si="58"/>
        <v>#DIV/0!</v>
      </c>
      <c r="CD49" s="213" t="e">
        <f t="shared" si="59"/>
        <v>#DIV/0!</v>
      </c>
      <c r="CE49" s="213" t="e">
        <f t="shared" si="60"/>
        <v>#DIV/0!</v>
      </c>
      <c r="CF49" s="213" t="e">
        <f t="shared" si="61"/>
        <v>#DIV/0!</v>
      </c>
      <c r="CG49" s="213" t="e">
        <f t="shared" si="62"/>
        <v>#DIV/0!</v>
      </c>
      <c r="CH49" s="213" t="e">
        <f t="shared" si="63"/>
        <v>#DIV/0!</v>
      </c>
      <c r="CI49" s="213" t="e">
        <f t="shared" si="64"/>
        <v>#DIV/0!</v>
      </c>
      <c r="CJ49" s="226"/>
      <c r="CK49" s="228"/>
      <c r="CL49" s="228"/>
      <c r="CM49" s="228"/>
      <c r="CN49" s="228"/>
      <c r="CO49" s="228"/>
      <c r="CP49" s="228"/>
      <c r="CQ49" s="228"/>
      <c r="CR49" s="228"/>
      <c r="CS49" s="228"/>
      <c r="CT49" s="228"/>
      <c r="CU49" s="228"/>
      <c r="CV49" s="228"/>
      <c r="CW49" s="228"/>
      <c r="CX49" s="228"/>
      <c r="CY49" s="228"/>
      <c r="CZ49" s="228"/>
      <c r="DA49" s="228"/>
      <c r="DB49" s="228"/>
      <c r="DC49" s="228"/>
      <c r="DD49" s="228"/>
      <c r="DE49" s="228"/>
      <c r="DF49" s="228"/>
      <c r="DG49" s="228"/>
      <c r="DH49" s="228"/>
      <c r="DI49" s="228"/>
      <c r="DJ49" s="228"/>
      <c r="DK49" s="228"/>
      <c r="DL49" s="228"/>
      <c r="DM49" s="228"/>
      <c r="DN49" s="228"/>
      <c r="DO49" s="228"/>
      <c r="DP49" s="228"/>
      <c r="DQ49" s="228"/>
    </row>
    <row r="50" s="61" customFormat="1" ht="16" customHeight="1" spans="1:121">
      <c r="A50" s="269" t="s">
        <v>379</v>
      </c>
      <c r="B50" s="270"/>
      <c r="C50" s="77" t="e">
        <f>-IF(AJ24="",0.4*SUMPRODUCT(B6:E9,V85:Y88),0.4*(AQ9*B6+AQ10*C6+AQ11*D6+AQ12*E6+AQ13*B7+AQ14*C7+AQ15*D7+AQ16*E7+AQ17*B8+AQ18*C8+AQ19*D8+AQ20*E8+AQ21*B9+AQ22*C9+AQ23*D9+AQ24*E9))</f>
        <v>#DIV/0!</v>
      </c>
      <c r="D50" s="79"/>
      <c r="E50" s="79" t="e">
        <f>E48-C50</f>
        <v>#DIV/0!</v>
      </c>
      <c r="F50" s="79" t="e">
        <f>F49+C50</f>
        <v>#DIV/0!</v>
      </c>
      <c r="G50" s="73"/>
      <c r="H50" s="273" t="s">
        <v>779</v>
      </c>
      <c r="I50" s="90">
        <v>2</v>
      </c>
      <c r="J50" s="90">
        <v>2</v>
      </c>
      <c r="K50" s="90">
        <v>3</v>
      </c>
      <c r="L50" s="90">
        <v>3</v>
      </c>
      <c r="M50" s="85"/>
      <c r="N50" s="74"/>
      <c r="O50" s="68" t="s">
        <v>574</v>
      </c>
      <c r="P50" s="79" t="e">
        <f>E60</f>
        <v>#DIV/0!</v>
      </c>
      <c r="Q50" s="147"/>
      <c r="R50" s="74"/>
      <c r="S50" s="74"/>
      <c r="T50" s="120"/>
      <c r="U50" s="68" t="s">
        <v>466</v>
      </c>
      <c r="V50" s="146">
        <f>IF(第5期!BJ27=0,0,第6期!BJ27/第5期!BJ27)</f>
        <v>0</v>
      </c>
      <c r="W50" s="146">
        <f>IF(第5期!BK27=0,0,第6期!BK27/第5期!BK27)</f>
        <v>0</v>
      </c>
      <c r="X50" s="146">
        <f>IF(第5期!BL27=0,0,第6期!BL27/第5期!BL27)</f>
        <v>0</v>
      </c>
      <c r="Y50" s="146">
        <f>IF(第5期!BM27=0,0,第6期!BM27/第5期!BM27)</f>
        <v>0</v>
      </c>
      <c r="Z50" s="74"/>
      <c r="AA50" s="73"/>
      <c r="AB50" s="74"/>
      <c r="AC50" s="74"/>
      <c r="AD50" s="74"/>
      <c r="AE50" s="74"/>
      <c r="AF50" s="74"/>
      <c r="AG50" s="74"/>
      <c r="AH50" s="73"/>
      <c r="AI50" s="312"/>
      <c r="AJ50" s="313"/>
      <c r="AK50" s="313"/>
      <c r="AL50" s="313"/>
      <c r="AM50" s="313"/>
      <c r="AN50" s="313"/>
      <c r="AO50" s="313"/>
      <c r="AP50" s="313"/>
      <c r="AQ50" s="313"/>
      <c r="AR50" s="313"/>
      <c r="AS50" s="313"/>
      <c r="AT50" s="313"/>
      <c r="AU50" s="313"/>
      <c r="AV50" s="313"/>
      <c r="AW50" s="313"/>
      <c r="AX50" s="313"/>
      <c r="AY50" s="313"/>
      <c r="AZ50" s="63"/>
      <c r="BA50" s="319">
        <f t="shared" si="65"/>
        <v>0</v>
      </c>
      <c r="BB50" s="201">
        <f t="shared" si="66"/>
        <v>0</v>
      </c>
      <c r="BC50" s="201">
        <f t="shared" si="67"/>
        <v>0</v>
      </c>
      <c r="BD50" s="201">
        <f t="shared" si="68"/>
        <v>0</v>
      </c>
      <c r="BE50" s="201">
        <f t="shared" si="69"/>
        <v>0</v>
      </c>
      <c r="BF50" s="202">
        <f>(BB50*初始化表!E$17+BC50*初始化表!F$17+BD50*初始化表!G$17+BE50*初始化表!H$17)/1300</f>
        <v>0</v>
      </c>
      <c r="BG50" s="207">
        <f t="shared" si="70"/>
        <v>0</v>
      </c>
      <c r="BH50" s="207">
        <f t="shared" si="71"/>
        <v>0</v>
      </c>
      <c r="BI50" s="321">
        <f>$BI$51+MAX(0,第6期!BI50)-BF50</f>
        <v>0</v>
      </c>
      <c r="BJ50" s="201" t="str">
        <f t="shared" si="72"/>
        <v/>
      </c>
      <c r="BK50" s="201" t="str">
        <f t="shared" si="73"/>
        <v/>
      </c>
      <c r="BL50" s="203"/>
      <c r="BM50" s="203"/>
      <c r="BN50" s="203"/>
      <c r="BO50" s="203"/>
      <c r="BP50" s="203"/>
      <c r="BQ50" s="203"/>
      <c r="BR50" s="211"/>
      <c r="BS50" s="194" t="s">
        <v>569</v>
      </c>
      <c r="BT50" s="219" t="e">
        <f>SUM(AJ61:AJ80)/初始化表!$B5</f>
        <v>#DIV/0!</v>
      </c>
      <c r="BU50" s="219" t="e">
        <f>SUM(AK61:AK80)/初始化表!$B5</f>
        <v>#DIV/0!</v>
      </c>
      <c r="BV50" s="219" t="e">
        <f>SUM(AL61:AL80)/初始化表!$B5</f>
        <v>#DIV/0!</v>
      </c>
      <c r="BW50" s="219" t="e">
        <f>SUM(AM61:AM80)/初始化表!$B5</f>
        <v>#DIV/0!</v>
      </c>
      <c r="BX50" s="219" t="e">
        <f>SUM(AN61:AN80)/初始化表!$B5</f>
        <v>#DIV/0!</v>
      </c>
      <c r="BY50" s="219" t="e">
        <f>SUM(AO61:AO80)/初始化表!$B5</f>
        <v>#DIV/0!</v>
      </c>
      <c r="BZ50" s="219" t="e">
        <f>SUM(AP61:AP80)/初始化表!$B5</f>
        <v>#DIV/0!</v>
      </c>
      <c r="CA50" s="219" t="e">
        <f>SUM(AQ61:AQ80)/初始化表!$B5</f>
        <v>#DIV/0!</v>
      </c>
      <c r="CB50" s="219" t="e">
        <f>SUM(AR61:AR80)/初始化表!$B5</f>
        <v>#DIV/0!</v>
      </c>
      <c r="CC50" s="219" t="e">
        <f>SUM(AS61:AS80)/初始化表!$B5</f>
        <v>#DIV/0!</v>
      </c>
      <c r="CD50" s="219" t="e">
        <f>SUM(AT61:AT80)/初始化表!$B5</f>
        <v>#DIV/0!</v>
      </c>
      <c r="CE50" s="219" t="e">
        <f>SUM(AU61:AU80)/初始化表!$B5</f>
        <v>#DIV/0!</v>
      </c>
      <c r="CF50" s="219" t="e">
        <f>SUM(AV61:AV80)/初始化表!$B5</f>
        <v>#DIV/0!</v>
      </c>
      <c r="CG50" s="219" t="e">
        <f>SUM(AW61:AW80)/初始化表!$B5</f>
        <v>#DIV/0!</v>
      </c>
      <c r="CH50" s="219" t="e">
        <f>SUM(AX61:AX80)/初始化表!$B5</f>
        <v>#DIV/0!</v>
      </c>
      <c r="CI50" s="219" t="e">
        <f>SUM(AY61:AY80)/初始化表!$B5</f>
        <v>#DIV/0!</v>
      </c>
      <c r="CJ50" s="226"/>
      <c r="CK50" s="228"/>
      <c r="CL50" s="228"/>
      <c r="CM50" s="228"/>
      <c r="CN50" s="228"/>
      <c r="CO50" s="228"/>
      <c r="CP50" s="228"/>
      <c r="CQ50" s="228"/>
      <c r="CR50" s="228"/>
      <c r="CS50" s="228"/>
      <c r="CT50" s="228"/>
      <c r="CU50" s="228"/>
      <c r="CV50" s="228"/>
      <c r="CW50" s="228"/>
      <c r="CX50" s="228"/>
      <c r="CY50" s="228"/>
      <c r="CZ50" s="228"/>
      <c r="DA50" s="228"/>
      <c r="DB50" s="228"/>
      <c r="DC50" s="228"/>
      <c r="DD50" s="228"/>
      <c r="DE50" s="228"/>
      <c r="DF50" s="228"/>
      <c r="DG50" s="228"/>
      <c r="DH50" s="228"/>
      <c r="DI50" s="228"/>
      <c r="DJ50" s="228"/>
      <c r="DK50" s="228"/>
      <c r="DL50" s="228"/>
      <c r="DM50" s="228"/>
      <c r="DN50" s="228"/>
      <c r="DO50" s="228"/>
      <c r="DP50" s="228"/>
      <c r="DQ50" s="228"/>
    </row>
    <row r="51" s="61" customFormat="1" ht="16" customHeight="1" spans="1:121">
      <c r="A51" s="269" t="s">
        <v>380</v>
      </c>
      <c r="B51" s="270"/>
      <c r="C51" s="77" t="e">
        <f>-初始化表!H5*N49*初始化表!B8</f>
        <v>#DIV/0!</v>
      </c>
      <c r="D51" s="79"/>
      <c r="E51" s="79" t="e">
        <f>E50-C51</f>
        <v>#DIV/0!</v>
      </c>
      <c r="F51" s="79"/>
      <c r="G51" s="73"/>
      <c r="H51" s="273" t="s">
        <v>662</v>
      </c>
      <c r="I51" s="273" t="s">
        <v>776</v>
      </c>
      <c r="J51" s="273" t="s">
        <v>777</v>
      </c>
      <c r="K51" s="273" t="s">
        <v>778</v>
      </c>
      <c r="L51" s="273" t="s">
        <v>779</v>
      </c>
      <c r="M51" s="85"/>
      <c r="N51" s="74"/>
      <c r="O51" s="116" t="s">
        <v>296</v>
      </c>
      <c r="P51" s="79" t="e">
        <f>F64</f>
        <v>#DIV/0!</v>
      </c>
      <c r="Q51" s="147"/>
      <c r="R51" s="74"/>
      <c r="S51" s="74"/>
      <c r="T51" s="120"/>
      <c r="U51" s="68" t="s">
        <v>468</v>
      </c>
      <c r="V51" s="146">
        <f>IF(第5期!BN27=0,0,第6期!BN27/第5期!BN27)</f>
        <v>0</v>
      </c>
      <c r="W51" s="146">
        <f>IF(第5期!BO27=0,0,第6期!BO27/第5期!BO27)</f>
        <v>0</v>
      </c>
      <c r="X51" s="146">
        <f>IF(第5期!BP27=0,0,第6期!BP27/第5期!BP27)</f>
        <v>0</v>
      </c>
      <c r="Y51" s="146">
        <f>IF(第5期!BQ27=0,0,第6期!BQ27/第5期!BQ27)</f>
        <v>0</v>
      </c>
      <c r="Z51" s="74"/>
      <c r="AA51" s="73"/>
      <c r="AB51" s="74"/>
      <c r="AC51" s="74"/>
      <c r="AD51" s="74"/>
      <c r="AE51" s="74"/>
      <c r="AF51" s="74"/>
      <c r="AG51" s="74"/>
      <c r="AH51" s="73"/>
      <c r="AI51" s="312"/>
      <c r="AJ51" s="313"/>
      <c r="AK51" s="313"/>
      <c r="AL51" s="313"/>
      <c r="AM51" s="313"/>
      <c r="AN51" s="313"/>
      <c r="AO51" s="313"/>
      <c r="AP51" s="313"/>
      <c r="AQ51" s="313"/>
      <c r="AR51" s="313"/>
      <c r="AS51" s="313"/>
      <c r="AT51" s="313"/>
      <c r="AU51" s="313"/>
      <c r="AV51" s="313"/>
      <c r="AW51" s="313"/>
      <c r="AX51" s="313"/>
      <c r="AY51" s="313"/>
      <c r="AZ51" s="63"/>
      <c r="BA51" s="215" t="s">
        <v>664</v>
      </c>
      <c r="BB51" s="202" t="e">
        <f>SUM(BB31:BB50)/初始化表!$B$5</f>
        <v>#DIV/0!</v>
      </c>
      <c r="BC51" s="202" t="e">
        <f>SUM(BC31:BC50)/初始化表!$B$5</f>
        <v>#DIV/0!</v>
      </c>
      <c r="BD51" s="202" t="e">
        <f>SUM(BD31:BD50)/初始化表!$B$5</f>
        <v>#DIV/0!</v>
      </c>
      <c r="BE51" s="202" t="e">
        <f>SUM(BE31:BE50)/初始化表!$B$5</f>
        <v>#DIV/0!</v>
      </c>
      <c r="BF51" s="202" t="e">
        <f>SUM(BF31:BF50)/初始化表!$B$5</f>
        <v>#DIV/0!</v>
      </c>
      <c r="BG51" s="202" t="e">
        <f>SUM(BG31:BG50)/初始化表!$B$5</f>
        <v>#DIV/0!</v>
      </c>
      <c r="BH51" s="202" t="e">
        <f>SUM(AJ107:AJ126)/SUM(BF31:BF50)</f>
        <v>#DIV/0!</v>
      </c>
      <c r="BI51" s="208">
        <f>((INT(I52)-SUM(AQ9:AQ12))*初始化表!E17+(INT(J52)-SUM(AQ13:AQ16))*初始化表!F17+(INT(K52)-SUM(AQ17:AQ20))*初始化表!G17+(INT(L52)-SUM(AQ21:AQ24))*初始化表!H17)/1300</f>
        <v>0</v>
      </c>
      <c r="BJ51" s="201"/>
      <c r="BK51" s="201"/>
      <c r="BL51" s="203"/>
      <c r="BM51" s="203"/>
      <c r="BN51" s="203"/>
      <c r="BO51" s="203"/>
      <c r="BP51" s="203"/>
      <c r="BQ51" s="203"/>
      <c r="BR51" s="211"/>
      <c r="BS51" s="194" t="s">
        <v>570</v>
      </c>
      <c r="BT51" s="220" t="e">
        <f t="shared" ref="BT51:CI51" si="77">STDEV.P(AJ61:AJ80)</f>
        <v>#DIV/0!</v>
      </c>
      <c r="BU51" s="220" t="e">
        <f t="shared" si="77"/>
        <v>#DIV/0!</v>
      </c>
      <c r="BV51" s="220" t="e">
        <f t="shared" si="77"/>
        <v>#DIV/0!</v>
      </c>
      <c r="BW51" s="220" t="e">
        <f t="shared" si="77"/>
        <v>#DIV/0!</v>
      </c>
      <c r="BX51" s="220" t="e">
        <f t="shared" si="77"/>
        <v>#DIV/0!</v>
      </c>
      <c r="BY51" s="220" t="e">
        <f t="shared" si="77"/>
        <v>#DIV/0!</v>
      </c>
      <c r="BZ51" s="220" t="e">
        <f t="shared" si="77"/>
        <v>#DIV/0!</v>
      </c>
      <c r="CA51" s="220" t="e">
        <f t="shared" si="77"/>
        <v>#DIV/0!</v>
      </c>
      <c r="CB51" s="220" t="e">
        <f t="shared" si="77"/>
        <v>#DIV/0!</v>
      </c>
      <c r="CC51" s="220" t="e">
        <f t="shared" si="77"/>
        <v>#DIV/0!</v>
      </c>
      <c r="CD51" s="220" t="e">
        <f t="shared" si="77"/>
        <v>#DIV/0!</v>
      </c>
      <c r="CE51" s="220" t="e">
        <f t="shared" si="77"/>
        <v>#DIV/0!</v>
      </c>
      <c r="CF51" s="220" t="e">
        <f t="shared" si="77"/>
        <v>#DIV/0!</v>
      </c>
      <c r="CG51" s="220" t="e">
        <f t="shared" si="77"/>
        <v>#DIV/0!</v>
      </c>
      <c r="CH51" s="220" t="e">
        <f t="shared" si="77"/>
        <v>#DIV/0!</v>
      </c>
      <c r="CI51" s="220" t="e">
        <f t="shared" si="77"/>
        <v>#DIV/0!</v>
      </c>
      <c r="CJ51" s="226"/>
      <c r="CK51" s="228"/>
      <c r="CL51" s="228"/>
      <c r="CM51" s="228"/>
      <c r="CN51" s="228"/>
      <c r="CO51" s="228"/>
      <c r="CP51" s="228"/>
      <c r="CQ51" s="228"/>
      <c r="CR51" s="228"/>
      <c r="CS51" s="228"/>
      <c r="CT51" s="228"/>
      <c r="CU51" s="228"/>
      <c r="CV51" s="228"/>
      <c r="CW51" s="228"/>
      <c r="CX51" s="228"/>
      <c r="CY51" s="228"/>
      <c r="CZ51" s="228"/>
      <c r="DA51" s="228"/>
      <c r="DB51" s="228"/>
      <c r="DC51" s="228"/>
      <c r="DD51" s="228"/>
      <c r="DE51" s="228"/>
      <c r="DF51" s="228"/>
      <c r="DG51" s="228"/>
      <c r="DH51" s="228"/>
      <c r="DI51" s="228"/>
      <c r="DJ51" s="228"/>
      <c r="DK51" s="228"/>
      <c r="DL51" s="228"/>
      <c r="DM51" s="228"/>
      <c r="DN51" s="228"/>
      <c r="DO51" s="228"/>
      <c r="DP51" s="228"/>
      <c r="DQ51" s="228"/>
    </row>
    <row r="52" s="61" customFormat="1" ht="16" customHeight="1" spans="1:88">
      <c r="A52" s="269" t="s">
        <v>381</v>
      </c>
      <c r="B52" s="270"/>
      <c r="C52" s="77">
        <f>IF(AJ24="",0,SUM(AP9:AP12)*初始化表!E22+SUM(AP13:AP16)*初始化表!F22+SUM(AP17:AP20)*初始化表!G22+SUM(AP21:AP24)*初始化表!H22)-(SUM(V5:Z5,-I56)*初始化表!E22+SUM(V6:Z6,-J56)*初始化表!F22+SUM(V7:Z7,-K56)*初始化表!G22+SUM(V8:Z8,-L56)*初始化表!H22)</f>
        <v>0</v>
      </c>
      <c r="D52" s="79"/>
      <c r="E52" s="79" t="e">
        <f>E51-C52</f>
        <v>#DIV/0!</v>
      </c>
      <c r="F52" s="79"/>
      <c r="G52" s="73"/>
      <c r="H52" s="273" t="s">
        <v>665</v>
      </c>
      <c r="I52" s="77">
        <f>Z5+初始化表!B4*SUM(B17:E17)</f>
        <v>0</v>
      </c>
      <c r="J52" s="77">
        <f>Z6+初始化表!B4*SUM(B18:E18)</f>
        <v>0</v>
      </c>
      <c r="K52" s="77">
        <f>Z7+初始化表!B4*SUM(B19:E19)</f>
        <v>0</v>
      </c>
      <c r="L52" s="77">
        <f>Z8+初始化表!B4*SUM(B20:E20)</f>
        <v>0</v>
      </c>
      <c r="M52" s="85"/>
      <c r="N52" s="74"/>
      <c r="O52" s="74"/>
      <c r="P52" s="74"/>
      <c r="Q52" s="74"/>
      <c r="R52" s="74"/>
      <c r="S52" s="74"/>
      <c r="T52" s="120"/>
      <c r="U52" s="123"/>
      <c r="V52" s="148"/>
      <c r="W52" s="148"/>
      <c r="X52" s="148"/>
      <c r="Y52" s="148"/>
      <c r="Z52" s="74"/>
      <c r="AA52" s="73"/>
      <c r="AB52" s="74"/>
      <c r="AC52" s="74"/>
      <c r="AD52" s="74"/>
      <c r="AE52" s="74"/>
      <c r="AF52" s="74"/>
      <c r="AG52" s="74"/>
      <c r="AH52" s="73"/>
      <c r="AI52" s="312"/>
      <c r="AJ52" s="313"/>
      <c r="AK52" s="313"/>
      <c r="AL52" s="313"/>
      <c r="AM52" s="313"/>
      <c r="AN52" s="313"/>
      <c r="AO52" s="313"/>
      <c r="AP52" s="313"/>
      <c r="AQ52" s="313"/>
      <c r="AR52" s="313"/>
      <c r="AS52" s="313"/>
      <c r="AT52" s="313"/>
      <c r="AU52" s="313"/>
      <c r="AV52" s="313"/>
      <c r="AW52" s="313"/>
      <c r="AX52" s="313"/>
      <c r="AY52" s="313"/>
      <c r="AZ52" s="63"/>
      <c r="BA52" s="203"/>
      <c r="BB52" s="203"/>
      <c r="BC52" s="203"/>
      <c r="BD52" s="203"/>
      <c r="BE52" s="203"/>
      <c r="BF52" s="203"/>
      <c r="BG52" s="203"/>
      <c r="BH52" s="203"/>
      <c r="BI52" s="203"/>
      <c r="BJ52" s="203"/>
      <c r="BK52" s="203"/>
      <c r="BL52" s="203"/>
      <c r="BM52" s="203"/>
      <c r="BN52" s="203"/>
      <c r="BO52" s="203"/>
      <c r="BP52" s="203"/>
      <c r="BQ52" s="203"/>
      <c r="BR52" s="211"/>
      <c r="BS52" s="211"/>
      <c r="BT52" s="211"/>
      <c r="BU52" s="211"/>
      <c r="BV52" s="211"/>
      <c r="BW52" s="211"/>
      <c r="BX52" s="211"/>
      <c r="BY52" s="211"/>
      <c r="BZ52" s="211"/>
      <c r="CA52" s="211"/>
      <c r="CB52" s="211"/>
      <c r="CC52" s="211"/>
      <c r="CD52" s="211"/>
      <c r="CE52" s="211"/>
      <c r="CF52" s="211"/>
      <c r="CG52" s="211"/>
      <c r="CH52" s="211"/>
      <c r="CI52" s="211"/>
      <c r="CJ52" s="62"/>
    </row>
    <row r="53" s="61" customFormat="1" ht="16" customHeight="1" spans="1:88">
      <c r="A53" s="269" t="s">
        <v>382</v>
      </c>
      <c r="B53" s="270"/>
      <c r="C53" s="77">
        <f>-(H43+L43)/2*初始化表!B7</f>
        <v>0</v>
      </c>
      <c r="D53" s="79"/>
      <c r="E53" s="79" t="e">
        <f>E52-C53</f>
        <v>#DIV/0!</v>
      </c>
      <c r="F53" s="79" t="e">
        <f>F50+C53</f>
        <v>#DIV/0!</v>
      </c>
      <c r="G53" s="73"/>
      <c r="H53" s="273" t="s">
        <v>671</v>
      </c>
      <c r="I53" s="273" t="s">
        <v>776</v>
      </c>
      <c r="J53" s="273" t="s">
        <v>777</v>
      </c>
      <c r="K53" s="273" t="s">
        <v>778</v>
      </c>
      <c r="L53" s="273" t="s">
        <v>779</v>
      </c>
      <c r="M53" s="85"/>
      <c r="N53" s="74"/>
      <c r="O53" s="74"/>
      <c r="P53" s="74"/>
      <c r="Q53" s="74"/>
      <c r="R53" s="74"/>
      <c r="S53" s="74"/>
      <c r="T53" s="120"/>
      <c r="U53" s="68" t="s">
        <v>731</v>
      </c>
      <c r="V53" s="149" t="s">
        <v>459</v>
      </c>
      <c r="W53" s="149" t="s">
        <v>460</v>
      </c>
      <c r="X53" s="149" t="s">
        <v>461</v>
      </c>
      <c r="Y53" s="149" t="s">
        <v>462</v>
      </c>
      <c r="Z53" s="74"/>
      <c r="AA53" s="68" t="s">
        <v>743</v>
      </c>
      <c r="AB53" s="149" t="s">
        <v>459</v>
      </c>
      <c r="AC53" s="149" t="s">
        <v>460</v>
      </c>
      <c r="AD53" s="149" t="s">
        <v>461</v>
      </c>
      <c r="AE53" s="149" t="s">
        <v>462</v>
      </c>
      <c r="AF53" s="74"/>
      <c r="AG53" s="74"/>
      <c r="AH53" s="73"/>
      <c r="AI53" s="312"/>
      <c r="AJ53" s="313"/>
      <c r="AK53" s="313"/>
      <c r="AL53" s="313"/>
      <c r="AM53" s="313"/>
      <c r="AN53" s="313"/>
      <c r="AO53" s="313"/>
      <c r="AP53" s="313"/>
      <c r="AQ53" s="313"/>
      <c r="AR53" s="313"/>
      <c r="AS53" s="313"/>
      <c r="AT53" s="313"/>
      <c r="AU53" s="313"/>
      <c r="AV53" s="313"/>
      <c r="AW53" s="313"/>
      <c r="AX53" s="313"/>
      <c r="AY53" s="313"/>
      <c r="AZ53" s="63"/>
      <c r="BA53" s="215" t="s">
        <v>37</v>
      </c>
      <c r="BB53" s="215" t="s">
        <v>674</v>
      </c>
      <c r="BC53" s="204"/>
      <c r="BD53" s="215" t="s">
        <v>675</v>
      </c>
      <c r="BE53" s="215" t="s">
        <v>198</v>
      </c>
      <c r="BF53" s="215" t="s">
        <v>202</v>
      </c>
      <c r="BG53" s="215" t="s">
        <v>206</v>
      </c>
      <c r="BH53" s="215" t="s">
        <v>208</v>
      </c>
      <c r="BI53" s="203"/>
      <c r="BJ53" s="203"/>
      <c r="BK53" s="203"/>
      <c r="BL53" s="203"/>
      <c r="BM53" s="203"/>
      <c r="BN53" s="203"/>
      <c r="BO53" s="203"/>
      <c r="BP53" s="203"/>
      <c r="BQ53" s="203"/>
      <c r="BR53" s="211"/>
      <c r="BS53" s="211"/>
      <c r="BT53" s="211"/>
      <c r="BU53" s="211"/>
      <c r="BV53" s="211"/>
      <c r="BW53" s="211"/>
      <c r="BX53" s="211"/>
      <c r="BY53" s="211"/>
      <c r="BZ53" s="211"/>
      <c r="CA53" s="211"/>
      <c r="CB53" s="211"/>
      <c r="CC53" s="211"/>
      <c r="CD53" s="211"/>
      <c r="CE53" s="211"/>
      <c r="CF53" s="211"/>
      <c r="CG53" s="211"/>
      <c r="CH53" s="211"/>
      <c r="CI53" s="211"/>
      <c r="CJ53" s="62"/>
    </row>
    <row r="54" s="61" customFormat="1" ht="16" customHeight="1" spans="1:88">
      <c r="A54" s="269" t="s">
        <v>383</v>
      </c>
      <c r="B54" s="270"/>
      <c r="C54" s="77">
        <f>-(SUM(V5:Z5,I56)/2*初始化表!E5+SUM(V6:Z6,J56)/2*初始化表!E6+SUM(V7:Z7,K56)/2*初始化表!E7+SUM(V8:Z8,L56)/2*初始化表!E8+IF(AJ24="",0,(SUM(AP9:AP12)*初始化表!E5+SUM(AP13:AP16)*初始化表!E6+SUM(AP17:AP20)*初始化表!E7+SUM(AP21:AP24)*初始化表!E8)/2))</f>
        <v>0</v>
      </c>
      <c r="D54" s="79"/>
      <c r="E54" s="79" t="e">
        <f>E53-C54</f>
        <v>#DIV/0!</v>
      </c>
      <c r="F54" s="79" t="e">
        <f t="shared" ref="F54:F64" si="78">F53+C54</f>
        <v>#DIV/0!</v>
      </c>
      <c r="G54" s="73"/>
      <c r="H54" s="273" t="s">
        <v>665</v>
      </c>
      <c r="I54" s="82">
        <f>INT(I52)-SUM(B12:E12)</f>
        <v>0</v>
      </c>
      <c r="J54" s="82">
        <f>INT(J52)-SUM(B13:E13)</f>
        <v>0</v>
      </c>
      <c r="K54" s="82">
        <f>INT(K52)-SUM(B14:E14)</f>
        <v>0</v>
      </c>
      <c r="L54" s="82">
        <f>INT(L52)-SUM(B15:E15)</f>
        <v>0</v>
      </c>
      <c r="M54" s="85"/>
      <c r="N54" s="74"/>
      <c r="O54" s="74"/>
      <c r="P54" s="74"/>
      <c r="Q54" s="74"/>
      <c r="R54" s="74"/>
      <c r="S54" s="74"/>
      <c r="T54" s="120"/>
      <c r="U54" s="68" t="s">
        <v>464</v>
      </c>
      <c r="V54" s="146">
        <f>IF(第5期!BB28=0,0,第6期!BB28/第5期!BB28)</f>
        <v>0</v>
      </c>
      <c r="W54" s="146">
        <f>IF(第5期!BC28=0,0,第6期!BC28/第5期!BC28)</f>
        <v>0</v>
      </c>
      <c r="X54" s="146">
        <f>IF(第5期!BD28=0,0,第6期!BD28/第5期!BD28)</f>
        <v>0</v>
      </c>
      <c r="Y54" s="146">
        <f>IF(第5期!BE28=0,0,第6期!BE28/第5期!BE28)</f>
        <v>0</v>
      </c>
      <c r="Z54" s="74"/>
      <c r="AA54" s="68" t="s">
        <v>464</v>
      </c>
      <c r="AB54" s="150">
        <f>IF(第5期!BB28=0,0,(第6期!BB28-第5期!BB28)/20)</f>
        <v>0</v>
      </c>
      <c r="AC54" s="150">
        <f>IF(第5期!BC28=0,0,(第6期!BC28-第5期!BC28)/20)</f>
        <v>0</v>
      </c>
      <c r="AD54" s="150">
        <f>IF(第5期!BD28=0,0,(第6期!BD28-第5期!BD28)/20)</f>
        <v>0</v>
      </c>
      <c r="AE54" s="150">
        <f>IF(第5期!BE28=0,0,(第6期!BE28-第5期!BE28)/20)</f>
        <v>0</v>
      </c>
      <c r="AF54" s="74"/>
      <c r="AG54" s="74"/>
      <c r="AH54" s="73"/>
      <c r="AI54" s="312"/>
      <c r="AJ54" s="313"/>
      <c r="AK54" s="313"/>
      <c r="AL54" s="313"/>
      <c r="AM54" s="313"/>
      <c r="AN54" s="313"/>
      <c r="AO54" s="313"/>
      <c r="AP54" s="313"/>
      <c r="AQ54" s="313"/>
      <c r="AR54" s="313"/>
      <c r="AS54" s="313"/>
      <c r="AT54" s="313"/>
      <c r="AU54" s="313"/>
      <c r="AV54" s="313"/>
      <c r="AW54" s="313"/>
      <c r="AX54" s="313"/>
      <c r="AY54" s="313"/>
      <c r="AZ54" s="63"/>
      <c r="BA54" s="318">
        <f t="shared" ref="BA54:BA73" si="79">BA31</f>
        <v>0</v>
      </c>
      <c r="BB54" s="205">
        <f>IF(BT5=1,AL107/(第6期!AP107/2+AP107),0)</f>
        <v>0</v>
      </c>
      <c r="BC54" s="203"/>
      <c r="BD54" s="215">
        <f>BA54</f>
        <v>0</v>
      </c>
      <c r="BE54" s="209" t="e">
        <f>BB31/$BE$31</f>
        <v>#DIV/0!</v>
      </c>
      <c r="BF54" s="209" t="e">
        <f>BC31/$BE$31</f>
        <v>#DIV/0!</v>
      </c>
      <c r="BG54" s="209" t="e">
        <f>BD31/$BE$31</f>
        <v>#DIV/0!</v>
      </c>
      <c r="BH54" s="209">
        <v>1</v>
      </c>
      <c r="BI54" s="203"/>
      <c r="BJ54" s="203"/>
      <c r="BK54" s="203"/>
      <c r="BL54" s="203"/>
      <c r="BM54" s="203"/>
      <c r="BN54" s="203"/>
      <c r="BO54" s="203"/>
      <c r="BP54" s="203"/>
      <c r="BQ54" s="203"/>
      <c r="BR54" s="211"/>
      <c r="BS54" s="211"/>
      <c r="BT54" s="211"/>
      <c r="BU54" s="211"/>
      <c r="BV54" s="211"/>
      <c r="BW54" s="211"/>
      <c r="BX54" s="211"/>
      <c r="BY54" s="211"/>
      <c r="BZ54" s="211"/>
      <c r="CA54" s="211"/>
      <c r="CB54" s="211"/>
      <c r="CC54" s="211"/>
      <c r="CD54" s="211"/>
      <c r="CE54" s="211"/>
      <c r="CF54" s="211"/>
      <c r="CG54" s="211"/>
      <c r="CH54" s="211"/>
      <c r="CI54" s="211"/>
      <c r="CJ54" s="62"/>
    </row>
    <row r="55" s="61" customFormat="1" ht="16" customHeight="1" spans="1:88">
      <c r="A55" s="269" t="s">
        <v>384</v>
      </c>
      <c r="B55" s="270"/>
      <c r="C55" s="77">
        <f>N37</f>
        <v>0</v>
      </c>
      <c r="D55" s="79"/>
      <c r="E55" s="79"/>
      <c r="F55" s="79" t="e">
        <f t="shared" si="78"/>
        <v>#DIV/0!</v>
      </c>
      <c r="G55" s="73"/>
      <c r="H55" s="273" t="s">
        <v>677</v>
      </c>
      <c r="I55" s="273" t="s">
        <v>776</v>
      </c>
      <c r="J55" s="273" t="s">
        <v>777</v>
      </c>
      <c r="K55" s="273" t="s">
        <v>778</v>
      </c>
      <c r="L55" s="273" t="s">
        <v>779</v>
      </c>
      <c r="M55" s="85"/>
      <c r="N55" s="74"/>
      <c r="O55" s="74"/>
      <c r="P55" s="74"/>
      <c r="Q55" s="74"/>
      <c r="R55" s="74"/>
      <c r="S55" s="74"/>
      <c r="T55" s="120"/>
      <c r="U55" s="68" t="s">
        <v>465</v>
      </c>
      <c r="V55" s="146">
        <f>IF(第5期!BF28=0,0,第6期!BF28/第5期!BF28)</f>
        <v>0</v>
      </c>
      <c r="W55" s="146">
        <f>IF(第5期!BG28=0,0,第6期!BG28/第5期!BG28)</f>
        <v>0</v>
      </c>
      <c r="X55" s="146">
        <f>IF(第5期!BH28=0,0,第6期!BH28/第5期!BH28)</f>
        <v>0</v>
      </c>
      <c r="Y55" s="146">
        <f>IF(第5期!BI28=0,0,第6期!BI28/第5期!BI28)</f>
        <v>0</v>
      </c>
      <c r="Z55" s="74"/>
      <c r="AA55" s="68" t="s">
        <v>465</v>
      </c>
      <c r="AB55" s="150">
        <f>IF(第5期!BF28=0,0,(第6期!BF28-第5期!BF28)/20)</f>
        <v>0</v>
      </c>
      <c r="AC55" s="150">
        <f>IF(第5期!BG28=0,0,(第6期!BG28-第5期!BG28)/20)</f>
        <v>0</v>
      </c>
      <c r="AD55" s="150">
        <f>IF(第5期!BH28=0,0,(第6期!BH28-第5期!BH28)/20)</f>
        <v>0</v>
      </c>
      <c r="AE55" s="150">
        <f>IF(第5期!BI28=0,0,(第6期!BI28-第5期!BI28)/20)</f>
        <v>0</v>
      </c>
      <c r="AF55" s="74"/>
      <c r="AG55" s="74"/>
      <c r="AH55" s="73"/>
      <c r="AI55" s="312"/>
      <c r="AJ55" s="313"/>
      <c r="AK55" s="313"/>
      <c r="AL55" s="313"/>
      <c r="AM55" s="313"/>
      <c r="AN55" s="313"/>
      <c r="AO55" s="313"/>
      <c r="AP55" s="313"/>
      <c r="AQ55" s="313"/>
      <c r="AR55" s="313"/>
      <c r="AS55" s="313"/>
      <c r="AT55" s="313"/>
      <c r="AU55" s="313"/>
      <c r="AV55" s="313"/>
      <c r="AW55" s="313"/>
      <c r="AX55" s="313"/>
      <c r="AY55" s="313"/>
      <c r="AZ55" s="63"/>
      <c r="BA55" s="318">
        <f t="shared" si="79"/>
        <v>0</v>
      </c>
      <c r="BB55" s="205">
        <f>IF(BT6=1,AL108/(第6期!AP108/2+AP108),0)</f>
        <v>0</v>
      </c>
      <c r="BC55" s="203"/>
      <c r="BD55" s="215">
        <f t="shared" ref="BD55:BD73" si="80">BA55</f>
        <v>0</v>
      </c>
      <c r="BE55" s="209" t="e">
        <f t="shared" ref="BE55:BH70" si="81">BB32/$BE$31</f>
        <v>#DIV/0!</v>
      </c>
      <c r="BF55" s="209" t="e">
        <f t="shared" si="81"/>
        <v>#DIV/0!</v>
      </c>
      <c r="BG55" s="209" t="e">
        <f t="shared" si="81"/>
        <v>#DIV/0!</v>
      </c>
      <c r="BH55" s="209" t="e">
        <f t="shared" ref="BH55:BH60" si="82">BE32/$BE$31</f>
        <v>#DIV/0!</v>
      </c>
      <c r="BI55" s="203"/>
      <c r="BJ55" s="203"/>
      <c r="BK55" s="203"/>
      <c r="BL55" s="203"/>
      <c r="BM55" s="203"/>
      <c r="BN55" s="203"/>
      <c r="BO55" s="203"/>
      <c r="BP55" s="203"/>
      <c r="BQ55" s="203"/>
      <c r="BR55" s="211"/>
      <c r="BS55" s="211"/>
      <c r="BT55" s="211"/>
      <c r="BU55" s="211"/>
      <c r="BV55" s="211"/>
      <c r="BW55" s="211"/>
      <c r="BX55" s="211"/>
      <c r="BY55" s="211"/>
      <c r="BZ55" s="211"/>
      <c r="CA55" s="211"/>
      <c r="CB55" s="211"/>
      <c r="CC55" s="211"/>
      <c r="CD55" s="211"/>
      <c r="CE55" s="211"/>
      <c r="CF55" s="211"/>
      <c r="CG55" s="211"/>
      <c r="CH55" s="211"/>
      <c r="CI55" s="211"/>
      <c r="CJ55" s="62"/>
    </row>
    <row r="56" s="61" customFormat="1" ht="16" customHeight="1" spans="1:88">
      <c r="A56" s="269" t="s">
        <v>385</v>
      </c>
      <c r="B56" s="270"/>
      <c r="C56" s="77">
        <f>N37*初始化表!B23/4</f>
        <v>0</v>
      </c>
      <c r="D56" s="79" t="e">
        <f>D49+C56</f>
        <v>#DIV/0!</v>
      </c>
      <c r="E56" s="79"/>
      <c r="F56" s="79" t="e">
        <f t="shared" si="78"/>
        <v>#DIV/0!</v>
      </c>
      <c r="G56" s="73"/>
      <c r="H56" s="273" t="s">
        <v>665</v>
      </c>
      <c r="I56" s="77">
        <f>SUM(B17:E17)+Z5-SUM(B12:E12)</f>
        <v>0</v>
      </c>
      <c r="J56" s="77">
        <f>SUM(B18:E18)+Z6-SUM(B13:E13)</f>
        <v>0</v>
      </c>
      <c r="K56" s="77">
        <f>SUM(B19:E19)+Z7-SUM(B14:E14)</f>
        <v>0</v>
      </c>
      <c r="L56" s="77">
        <f>SUM(B20:E20)+Z8-SUM(B15:E15)</f>
        <v>0</v>
      </c>
      <c r="M56" s="85"/>
      <c r="N56" s="74"/>
      <c r="O56" s="74"/>
      <c r="P56" s="74"/>
      <c r="Q56" s="74"/>
      <c r="R56" s="74"/>
      <c r="S56" s="74"/>
      <c r="T56" s="120"/>
      <c r="U56" s="68" t="s">
        <v>466</v>
      </c>
      <c r="V56" s="146">
        <f>IF(第5期!BJ28=0,0,第6期!BJ28/第5期!BJ28)</f>
        <v>0</v>
      </c>
      <c r="W56" s="146">
        <f>IF(第5期!BK28=0,0,第6期!BK28/第5期!BK28)</f>
        <v>0</v>
      </c>
      <c r="X56" s="146">
        <f>IF(第5期!BL28=0,0,第6期!BL28/第5期!BL28)</f>
        <v>0</v>
      </c>
      <c r="Y56" s="146">
        <f>IF(第5期!BM28=0,0,第6期!BM28/第5期!BM28)</f>
        <v>0</v>
      </c>
      <c r="Z56" s="74"/>
      <c r="AA56" s="68" t="s">
        <v>466</v>
      </c>
      <c r="AB56" s="150">
        <f>IF(第5期!BJ28=0,0,(第6期!BJ28-第5期!BJ28)/20)</f>
        <v>0</v>
      </c>
      <c r="AC56" s="150">
        <f>IF(第5期!BK28=0,0,(第6期!BK28-第5期!BK28)/20)</f>
        <v>0</v>
      </c>
      <c r="AD56" s="150">
        <f>IF(第5期!BL28=0,0,(第6期!BL28-第5期!BL28)/20)</f>
        <v>0</v>
      </c>
      <c r="AE56" s="150">
        <f>IF(第5期!BM28=0,0,(第6期!BM28-第5期!BM28)/20)</f>
        <v>0</v>
      </c>
      <c r="AF56" s="74"/>
      <c r="AG56" s="74"/>
      <c r="AH56" s="73"/>
      <c r="AI56" s="312"/>
      <c r="AJ56" s="313"/>
      <c r="AK56" s="313"/>
      <c r="AL56" s="313"/>
      <c r="AM56" s="313"/>
      <c r="AN56" s="313"/>
      <c r="AO56" s="313"/>
      <c r="AP56" s="313"/>
      <c r="AQ56" s="313"/>
      <c r="AR56" s="313"/>
      <c r="AS56" s="313"/>
      <c r="AT56" s="313"/>
      <c r="AU56" s="313"/>
      <c r="AV56" s="313"/>
      <c r="AW56" s="313"/>
      <c r="AX56" s="313"/>
      <c r="AY56" s="313"/>
      <c r="AZ56" s="63"/>
      <c r="BA56" s="318">
        <f t="shared" si="79"/>
        <v>0</v>
      </c>
      <c r="BB56" s="205">
        <f>IF(BT7=1,AL109/(第6期!AP109/2+AP109),0)</f>
        <v>0</v>
      </c>
      <c r="BC56" s="203"/>
      <c r="BD56" s="215">
        <f t="shared" si="80"/>
        <v>0</v>
      </c>
      <c r="BE56" s="209" t="e">
        <f t="shared" si="81"/>
        <v>#DIV/0!</v>
      </c>
      <c r="BF56" s="209" t="e">
        <f t="shared" si="81"/>
        <v>#DIV/0!</v>
      </c>
      <c r="BG56" s="209" t="e">
        <f t="shared" si="81"/>
        <v>#DIV/0!</v>
      </c>
      <c r="BH56" s="209" t="e">
        <f t="shared" si="82"/>
        <v>#DIV/0!</v>
      </c>
      <c r="BI56" s="203"/>
      <c r="BJ56" s="203"/>
      <c r="BK56" s="203"/>
      <c r="BL56" s="203"/>
      <c r="BM56" s="203"/>
      <c r="BN56" s="203"/>
      <c r="BO56" s="203"/>
      <c r="BP56" s="203"/>
      <c r="BQ56" s="203"/>
      <c r="BR56" s="211"/>
      <c r="BS56" s="211"/>
      <c r="BT56" s="211"/>
      <c r="BU56" s="211"/>
      <c r="BV56" s="211"/>
      <c r="BW56" s="211"/>
      <c r="BX56" s="211"/>
      <c r="BY56" s="211"/>
      <c r="BZ56" s="211"/>
      <c r="CA56" s="211"/>
      <c r="CB56" s="211"/>
      <c r="CC56" s="211"/>
      <c r="CD56" s="211"/>
      <c r="CE56" s="211"/>
      <c r="CF56" s="211"/>
      <c r="CG56" s="211"/>
      <c r="CH56" s="211"/>
      <c r="CI56" s="211"/>
      <c r="CJ56" s="62"/>
    </row>
    <row r="57" s="61" customFormat="1" ht="16" customHeight="1" spans="1:88">
      <c r="A57" s="269" t="s">
        <v>386</v>
      </c>
      <c r="B57" s="270"/>
      <c r="C57" s="77">
        <f>-B24</f>
        <v>0</v>
      </c>
      <c r="D57" s="79"/>
      <c r="E57" s="79"/>
      <c r="F57" s="79" t="e">
        <f t="shared" si="78"/>
        <v>#DIV/0!</v>
      </c>
      <c r="G57" s="73"/>
      <c r="H57" s="273" t="s">
        <v>680</v>
      </c>
      <c r="I57" s="273" t="s">
        <v>784</v>
      </c>
      <c r="J57" s="273" t="s">
        <v>785</v>
      </c>
      <c r="K57" s="273" t="s">
        <v>786</v>
      </c>
      <c r="L57" s="273" t="s">
        <v>787</v>
      </c>
      <c r="M57" s="85"/>
      <c r="N57" s="74"/>
      <c r="O57" s="74"/>
      <c r="P57" s="74"/>
      <c r="Q57" s="74"/>
      <c r="R57" s="74"/>
      <c r="S57" s="74"/>
      <c r="T57" s="120"/>
      <c r="U57" s="68" t="s">
        <v>468</v>
      </c>
      <c r="V57" s="146">
        <f>IF(第5期!BN28=0,0,第6期!BN28/第5期!BN28)</f>
        <v>0</v>
      </c>
      <c r="W57" s="146">
        <f>IF(第5期!BO28=0,0,第6期!BO28/第5期!BO28)</f>
        <v>0</v>
      </c>
      <c r="X57" s="146">
        <f>IF(第5期!BP28=0,0,第6期!BP28/第5期!BP28)</f>
        <v>0</v>
      </c>
      <c r="Y57" s="146">
        <f>IF(第5期!BQ28=0,0,第6期!BQ28/第5期!BQ28)</f>
        <v>0</v>
      </c>
      <c r="Z57" s="74"/>
      <c r="AA57" s="68" t="s">
        <v>468</v>
      </c>
      <c r="AB57" s="150">
        <f>IF(第5期!BN28=0,0,(第6期!BN28-第5期!BN28)/20)</f>
        <v>0</v>
      </c>
      <c r="AC57" s="150">
        <f>IF(第5期!BO28=0,0,(第6期!BO28-第5期!BO28)/20)</f>
        <v>0</v>
      </c>
      <c r="AD57" s="150">
        <f>IF(第5期!BP28=0,0,(第6期!BP28-第5期!BP28)/20)</f>
        <v>0</v>
      </c>
      <c r="AE57" s="150">
        <f>IF(第5期!BQ28=0,0,(第6期!BQ28-第5期!BQ28)/20)</f>
        <v>0</v>
      </c>
      <c r="AF57" s="74"/>
      <c r="AG57" s="74"/>
      <c r="AH57" s="73"/>
      <c r="AI57" s="179" t="s">
        <v>681</v>
      </c>
      <c r="AJ57" s="180">
        <f>IF(AJ37="",0,SUM(AJ37:AJ56)/TEXT(COUNTA(AJ37:AJ56),"0;;"))</f>
        <v>0</v>
      </c>
      <c r="AK57" s="180">
        <f t="shared" ref="AK57:AY57" si="83">IF(AK37="",0,SUM(AK37:AK56)/TEXT(COUNTA(AK37:AK56),"0;;"))</f>
        <v>0</v>
      </c>
      <c r="AL57" s="180">
        <f t="shared" si="83"/>
        <v>0</v>
      </c>
      <c r="AM57" s="180">
        <f t="shared" si="83"/>
        <v>0</v>
      </c>
      <c r="AN57" s="180">
        <f t="shared" si="83"/>
        <v>0</v>
      </c>
      <c r="AO57" s="180">
        <f t="shared" si="83"/>
        <v>0</v>
      </c>
      <c r="AP57" s="180">
        <f t="shared" si="83"/>
        <v>0</v>
      </c>
      <c r="AQ57" s="180">
        <f t="shared" si="83"/>
        <v>0</v>
      </c>
      <c r="AR57" s="180">
        <f t="shared" si="83"/>
        <v>0</v>
      </c>
      <c r="AS57" s="180">
        <f t="shared" si="83"/>
        <v>0</v>
      </c>
      <c r="AT57" s="180">
        <f t="shared" si="83"/>
        <v>0</v>
      </c>
      <c r="AU57" s="180">
        <f t="shared" si="83"/>
        <v>0</v>
      </c>
      <c r="AV57" s="180">
        <f t="shared" si="83"/>
        <v>0</v>
      </c>
      <c r="AW57" s="180">
        <f t="shared" si="83"/>
        <v>0</v>
      </c>
      <c r="AX57" s="180">
        <f t="shared" si="83"/>
        <v>0</v>
      </c>
      <c r="AY57" s="180">
        <f t="shared" si="83"/>
        <v>0</v>
      </c>
      <c r="AZ57" s="63"/>
      <c r="BA57" s="318">
        <f t="shared" si="79"/>
        <v>0</v>
      </c>
      <c r="BB57" s="205">
        <f>IF(BT8=1,AL110/(第6期!AP110/2+AP110),0)</f>
        <v>0</v>
      </c>
      <c r="BC57" s="203"/>
      <c r="BD57" s="215">
        <f t="shared" si="80"/>
        <v>0</v>
      </c>
      <c r="BE57" s="209" t="e">
        <f t="shared" si="81"/>
        <v>#DIV/0!</v>
      </c>
      <c r="BF57" s="209" t="e">
        <f t="shared" si="81"/>
        <v>#DIV/0!</v>
      </c>
      <c r="BG57" s="209" t="e">
        <f t="shared" si="81"/>
        <v>#DIV/0!</v>
      </c>
      <c r="BH57" s="209" t="e">
        <f t="shared" si="82"/>
        <v>#DIV/0!</v>
      </c>
      <c r="BI57" s="203"/>
      <c r="BJ57" s="203"/>
      <c r="BK57" s="203"/>
      <c r="BL57" s="203"/>
      <c r="BM57" s="203"/>
      <c r="BN57" s="203"/>
      <c r="BO57" s="203"/>
      <c r="BP57" s="203"/>
      <c r="BQ57" s="203"/>
      <c r="BR57" s="211"/>
      <c r="BS57" s="211"/>
      <c r="BT57" s="211"/>
      <c r="BU57" s="211"/>
      <c r="BV57" s="211"/>
      <c r="BW57" s="211"/>
      <c r="BX57" s="211"/>
      <c r="BY57" s="211"/>
      <c r="BZ57" s="211"/>
      <c r="CA57" s="211"/>
      <c r="CB57" s="211"/>
      <c r="CC57" s="211"/>
      <c r="CD57" s="211"/>
      <c r="CE57" s="211"/>
      <c r="CF57" s="211"/>
      <c r="CG57" s="211"/>
      <c r="CH57" s="211"/>
      <c r="CI57" s="211"/>
      <c r="CJ57" s="62"/>
    </row>
    <row r="58" s="61" customFormat="1" ht="16" customHeight="1" spans="1:88">
      <c r="A58" s="269" t="s">
        <v>387</v>
      </c>
      <c r="B58" s="270"/>
      <c r="C58" s="77">
        <f>-B24*初始化表!B22/4</f>
        <v>0</v>
      </c>
      <c r="D58" s="79"/>
      <c r="E58" s="79" t="e">
        <f>E54-C58</f>
        <v>#DIV/0!</v>
      </c>
      <c r="F58" s="79" t="e">
        <f t="shared" si="78"/>
        <v>#DIV/0!</v>
      </c>
      <c r="G58" s="73"/>
      <c r="H58" s="273" t="s">
        <v>776</v>
      </c>
      <c r="I58" s="77">
        <f>INT(IF($F$24=1,IF(MOD(($I52+SUM($V5:$Y5)-SUM($V11:$Y11))*I47/SUM($I47:$L47)-V5+V11-9,20)&gt;11,(($I52+SUM($V5:$Y5)-SUM($V11:$Y11))*I47/SUM($I47:$L47)-V5+V11),(($I52+SUM($V5:$Y5)-SUM($V11:$Y11))*I47/SUM($I47:$L47)-V5+V11)-MOD(($I52+SUM($V5:$Y5)-SUM($V11:$Y11))*I47/SUM($I47:$L47)-V5+V11-9,20)),($I52+SUM($V5:$Y5)-SUM($V11:$Y11))*I47/SUM($I47:$L47)-V5+V11))</f>
        <v>-11</v>
      </c>
      <c r="J58" s="77">
        <f>INT(IF($F$24=1,IF(MOD(($I52+SUM($V5:$Y5)-SUM($V11:$Y11))*J47/SUM($I47:$L47)-W5+W11-9,20)&gt;11,(($I52+SUM($V5:$Y5)-SUM($V11:$Y11))*J47/SUM($I47:$L47)-W5+W11),(($I52+SUM($V5:$Y5)-SUM($V11:$Y11))*J47/SUM($I47:$L47)-W5+W11)-MOD(($I52+SUM($V5:$Y5)-SUM($V11:$Y11))*J47/SUM($I47:$L47)-W5+W11-9,20)),($I52+SUM($V5:$Y5)-SUM($V11:$Y11))*J47/SUM($I47:$L47)-W5+W11))</f>
        <v>-11</v>
      </c>
      <c r="K58" s="77">
        <f>INT(IF($F$24=1,IF(MOD(($I52+SUM($V5:$Y5)-SUM($V11:$Y11))*K47/SUM($I47:$L47)-X5+X11-9,20)&gt;11,(($I52+SUM($V5:$Y5)-SUM($V11:$Y11))*K47/SUM($I47:$L47)-X5+X11),(($I52+SUM($V5:$Y5)-SUM($V11:$Y11))*K47/SUM($I47:$L47)-X5+X11)-MOD(($I52+SUM($V5:$Y5)-SUM($V11:$Y11))*K47/SUM($I47:$L47)-X5+X11-9,20)),($I52+SUM($V5:$Y5)-SUM($V11:$Y11))*K47/SUM($I47:$L47)-X5+X11))</f>
        <v>-11</v>
      </c>
      <c r="L58" s="77">
        <f>INT(IF($F$24=1,IF(MOD(($I52+SUM($V5:$Y5)-SUM($V11:$Y11))*L47/SUM($I47:$L47)-Y5+Y11-9,20)&gt;11,(($I52+SUM($V5:$Y5)-SUM($V11:$Y11))*L47/SUM($I47:$L47)-Y5+Y11),(($I52+SUM($V5:$Y5)-SUM($V11:$Y11))*L47/SUM($I47:$L47)-Y5+Y11)-MOD(($I52+SUM($V5:$Y5)-SUM($V11:$Y11))*L47/SUM($I47:$L47)-Y5+Y11-9,20)),($I52+SUM($V5:$Y5)-SUM($V11:$Y11))*L47/SUM($I47:$L47)-Y5+Y11))</f>
        <v>-11</v>
      </c>
      <c r="M58" s="85"/>
      <c r="N58" s="74"/>
      <c r="O58" s="74"/>
      <c r="P58" s="74"/>
      <c r="Q58" s="74"/>
      <c r="R58" s="74"/>
      <c r="S58" s="74"/>
      <c r="T58" s="120"/>
      <c r="U58" s="123"/>
      <c r="V58" s="74"/>
      <c r="W58" s="74"/>
      <c r="X58" s="74"/>
      <c r="Y58" s="74"/>
      <c r="Z58" s="74"/>
      <c r="AA58" s="73"/>
      <c r="AB58" s="74"/>
      <c r="AC58" s="74"/>
      <c r="AD58" s="74"/>
      <c r="AE58" s="74"/>
      <c r="AF58" s="74"/>
      <c r="AG58" s="74"/>
      <c r="AH58" s="73"/>
      <c r="AI58" s="296" t="s">
        <v>481</v>
      </c>
      <c r="AJ58" s="297"/>
      <c r="AK58" s="297"/>
      <c r="AL58" s="297"/>
      <c r="AM58" s="297"/>
      <c r="AN58" s="297"/>
      <c r="AO58" s="297"/>
      <c r="AP58" s="297"/>
      <c r="AQ58" s="297"/>
      <c r="AR58" s="297"/>
      <c r="AS58" s="297"/>
      <c r="AT58" s="297"/>
      <c r="AU58" s="297"/>
      <c r="AV58" s="297"/>
      <c r="AW58" s="297"/>
      <c r="AX58" s="297"/>
      <c r="AY58" s="297"/>
      <c r="AZ58" s="63"/>
      <c r="BA58" s="318">
        <f t="shared" si="79"/>
        <v>0</v>
      </c>
      <c r="BB58" s="205">
        <f>IF(BT9=1,AL111/(第6期!AP111/2+AP111),0)</f>
        <v>0</v>
      </c>
      <c r="BC58" s="203"/>
      <c r="BD58" s="215">
        <f t="shared" si="80"/>
        <v>0</v>
      </c>
      <c r="BE58" s="209" t="e">
        <f t="shared" si="81"/>
        <v>#DIV/0!</v>
      </c>
      <c r="BF58" s="209" t="e">
        <f t="shared" si="81"/>
        <v>#DIV/0!</v>
      </c>
      <c r="BG58" s="209" t="e">
        <f t="shared" si="81"/>
        <v>#DIV/0!</v>
      </c>
      <c r="BH58" s="209" t="e">
        <f t="shared" si="82"/>
        <v>#DIV/0!</v>
      </c>
      <c r="BI58" s="203"/>
      <c r="BJ58" s="203"/>
      <c r="BK58" s="203"/>
      <c r="BL58" s="203"/>
      <c r="BM58" s="203"/>
      <c r="BN58" s="203"/>
      <c r="BO58" s="203"/>
      <c r="BP58" s="203"/>
      <c r="BQ58" s="203"/>
      <c r="BR58" s="211"/>
      <c r="BS58" s="211"/>
      <c r="BT58" s="211"/>
      <c r="BU58" s="211"/>
      <c r="BV58" s="211"/>
      <c r="BW58" s="211"/>
      <c r="BX58" s="211"/>
      <c r="BY58" s="211"/>
      <c r="BZ58" s="211"/>
      <c r="CA58" s="211"/>
      <c r="CB58" s="211"/>
      <c r="CC58" s="211"/>
      <c r="CD58" s="211"/>
      <c r="CE58" s="211"/>
      <c r="CF58" s="211"/>
      <c r="CG58" s="211"/>
      <c r="CH58" s="211"/>
      <c r="CI58" s="211"/>
      <c r="CJ58" s="62"/>
    </row>
    <row r="59" s="61" customFormat="1" ht="16" customHeight="1" spans="1:88">
      <c r="A59" s="269" t="s">
        <v>388</v>
      </c>
      <c r="B59" s="270"/>
      <c r="C59" s="77" t="e">
        <f>-R33</f>
        <v>#DIV/0!</v>
      </c>
      <c r="D59" s="79"/>
      <c r="E59" s="79"/>
      <c r="F59" s="79" t="e">
        <f t="shared" si="78"/>
        <v>#DIV/0!</v>
      </c>
      <c r="G59" s="73"/>
      <c r="H59" s="273" t="s">
        <v>777</v>
      </c>
      <c r="I59" s="77">
        <f>INT(IF($F$24=1,IF(MOD(($J52+SUM($V6:$Y6)-SUM($V12:$Y12))*I48/SUM($I48:$L48)-V6+V12-9,20)&gt;11,(($J52+SUM($V6:$Y6)-SUM($V12:$Y12))*I48/SUM($I48:$L48)-V6+V12),(($J52+SUM($V6:$Y6)-SUM($V12:$Y12))*I48/SUM($I48:$L48)-V6+V12)-MOD(($J52+SUM($V6:$Y6)-SUM($V12:$Y12))*I48/SUM($I48:$L48)-V6+V12-9,20)),($J52+SUM($V6:$Y6)-SUM($V12:$Y12))*I48/SUM($I48:$L48)-V6+V12))</f>
        <v>-11</v>
      </c>
      <c r="J59" s="77">
        <f>INT(IF($F$24=1,IF(MOD(($J52+SUM($V6:$Y6)-SUM($V12:$Y12))*J48/SUM($I48:$L48)-W6+W12-9,20)&gt;11,(($J52+SUM($V6:$Y6)-SUM($V12:$Y12))*J48/SUM($I48:$L48)-W6+W12),(($J52+SUM($V6:$Y6)-SUM($V12:$Y12))*J48/SUM($I48:$L48)-W6+W12)-MOD(($J52+SUM($V6:$Y6)-SUM($V12:$Y12))*J48/SUM($I48:$L48)-W6+W12-9,20)),($J52+SUM($V6:$Y6)-SUM($V12:$Y12))*J48/SUM($I48:$L48)-W6+W12))</f>
        <v>-11</v>
      </c>
      <c r="K59" s="77">
        <f>INT(IF($F$24=1,IF(MOD(($J52+SUM($V6:$Y6)-SUM($V12:$Y12))*K48/SUM($I48:$L48)-X6+X12-9,20)&gt;11,(($J52+SUM($V6:$Y6)-SUM($V12:$Y12))*K48/SUM($I48:$L48)-X6+X12),(($J52+SUM($V6:$Y6)-SUM($V12:$Y12))*K48/SUM($I48:$L48)-X6+X12)-MOD(($J52+SUM($V6:$Y6)-SUM($V12:$Y12))*K48/SUM($I48:$L48)-X6+X12-9,20)),($J52+SUM($V6:$Y6)-SUM($V12:$Y12))*K48/SUM($I48:$L48)-X6+X12))</f>
        <v>-11</v>
      </c>
      <c r="L59" s="77">
        <f>INT(IF($F$24=1,IF(MOD(($J52+SUM($V6:$Y6)-SUM($V12:$Y12))*L48/SUM($I48:$L48)-Y6+Y12-9,20)&gt;11,(($J52+SUM($V6:$Y6)-SUM($V12:$Y12))*L48/SUM($I48:$L48)-Y6+Y12),(($J52+SUM($V6:$Y6)-SUM($V12:$Y12))*L48/SUM($I48:$L48)-Y6+Y12)-MOD(($J52+SUM($V6:$Y6)-SUM($V12:$Y12))*L48/SUM($I48:$L48)-Y6+Y12-9,20)),($J52+SUM($V6:$Y6)-SUM($V12:$Y12))*L48/SUM($I48:$L48)-Y6+Y12))</f>
        <v>-11</v>
      </c>
      <c r="M59" s="85"/>
      <c r="N59" s="74"/>
      <c r="O59" s="74"/>
      <c r="P59" s="74"/>
      <c r="Q59" s="74"/>
      <c r="R59" s="74"/>
      <c r="S59" s="74"/>
      <c r="T59" s="120"/>
      <c r="U59" s="68" t="s">
        <v>728</v>
      </c>
      <c r="V59" s="68" t="s">
        <v>459</v>
      </c>
      <c r="W59" s="68" t="s">
        <v>460</v>
      </c>
      <c r="X59" s="68" t="s">
        <v>461</v>
      </c>
      <c r="Y59" s="68" t="s">
        <v>462</v>
      </c>
      <c r="Z59" s="68" t="s">
        <v>569</v>
      </c>
      <c r="AA59" s="68" t="s">
        <v>744</v>
      </c>
      <c r="AB59" s="149" t="s">
        <v>459</v>
      </c>
      <c r="AC59" s="149" t="s">
        <v>460</v>
      </c>
      <c r="AD59" s="149" t="s">
        <v>461</v>
      </c>
      <c r="AE59" s="149" t="s">
        <v>462</v>
      </c>
      <c r="AF59" s="149" t="s">
        <v>563</v>
      </c>
      <c r="AG59" s="74"/>
      <c r="AH59" s="73"/>
      <c r="AI59" s="296" t="s">
        <v>37</v>
      </c>
      <c r="AJ59" s="296" t="s">
        <v>35</v>
      </c>
      <c r="AK59" s="297"/>
      <c r="AL59" s="297"/>
      <c r="AM59" s="297"/>
      <c r="AN59" s="296" t="s">
        <v>780</v>
      </c>
      <c r="AO59" s="297"/>
      <c r="AP59" s="297"/>
      <c r="AQ59" s="297"/>
      <c r="AR59" s="296" t="s">
        <v>781</v>
      </c>
      <c r="AS59" s="297"/>
      <c r="AT59" s="297"/>
      <c r="AU59" s="297"/>
      <c r="AV59" s="296" t="s">
        <v>782</v>
      </c>
      <c r="AW59" s="297"/>
      <c r="AX59" s="297"/>
      <c r="AY59" s="297"/>
      <c r="AZ59" s="63"/>
      <c r="BA59" s="318">
        <f t="shared" si="79"/>
        <v>0</v>
      </c>
      <c r="BB59" s="205">
        <f>IF(BT10=1,AL112/(第6期!AP112/2+AP112),0)</f>
        <v>0</v>
      </c>
      <c r="BC59" s="203"/>
      <c r="BD59" s="215">
        <f t="shared" si="80"/>
        <v>0</v>
      </c>
      <c r="BE59" s="209" t="e">
        <f t="shared" si="81"/>
        <v>#DIV/0!</v>
      </c>
      <c r="BF59" s="209" t="e">
        <f t="shared" si="81"/>
        <v>#DIV/0!</v>
      </c>
      <c r="BG59" s="209" t="e">
        <f t="shared" si="81"/>
        <v>#DIV/0!</v>
      </c>
      <c r="BH59" s="209" t="e">
        <f t="shared" si="82"/>
        <v>#DIV/0!</v>
      </c>
      <c r="BI59" s="203"/>
      <c r="BJ59" s="203"/>
      <c r="BK59" s="203"/>
      <c r="BL59" s="203"/>
      <c r="BM59" s="203"/>
      <c r="BN59" s="203"/>
      <c r="BO59" s="203"/>
      <c r="BP59" s="203"/>
      <c r="BQ59" s="203"/>
      <c r="BR59" s="211"/>
      <c r="BS59" s="211"/>
      <c r="BT59" s="211"/>
      <c r="BU59" s="211"/>
      <c r="BV59" s="211"/>
      <c r="BW59" s="211"/>
      <c r="BX59" s="211"/>
      <c r="BY59" s="211"/>
      <c r="BZ59" s="211"/>
      <c r="CA59" s="211"/>
      <c r="CB59" s="211"/>
      <c r="CC59" s="211"/>
      <c r="CD59" s="211"/>
      <c r="CE59" s="211"/>
      <c r="CF59" s="211"/>
      <c r="CG59" s="211"/>
      <c r="CH59" s="211"/>
      <c r="CI59" s="211"/>
      <c r="CJ59" s="62"/>
    </row>
    <row r="60" s="61" customFormat="1" ht="16" customHeight="1" spans="1:88">
      <c r="A60" s="269" t="s">
        <v>389</v>
      </c>
      <c r="B60" s="270"/>
      <c r="C60" s="77" t="e">
        <f>C59*0.1</f>
        <v>#DIV/0!</v>
      </c>
      <c r="D60" s="79"/>
      <c r="E60" s="79" t="e">
        <f>E58-C60</f>
        <v>#DIV/0!</v>
      </c>
      <c r="F60" s="79" t="e">
        <f t="shared" si="78"/>
        <v>#DIV/0!</v>
      </c>
      <c r="G60" s="73"/>
      <c r="H60" s="273" t="s">
        <v>778</v>
      </c>
      <c r="I60" s="77">
        <f>INT(IF($F$24=1,IF(MOD(($K52+SUM($V7:$Y7)-SUM($V13:$Y13))*I49/SUM($I49:$L49)-V7+V13-9,20)&gt;11,(($K52+SUM($V7:$Y7)-SUM($V13:$Y13))*I49/SUM($I49:$L49)-V7+V13),(($K52+SUM($V7:$Y7)-SUM($V13:$Y13))*I49/SUM($I49:$L49)-V7+V13)-MOD(($K52+SUM($V7:$Y7)-SUM($V13:$Y13))*I49/SUM($I49:$L49)-V7+V13-9,20)),($K52+SUM($V7:$Y7)-SUM($V13:$Y13))*I49/SUM($I49:$L49)-V7+V13))</f>
        <v>-11</v>
      </c>
      <c r="J60" s="77">
        <f>INT(IF($F$24=1,IF(MOD(($K52+SUM($V7:$Y7)-SUM($V13:$Y13))*J49/SUM($I49:$L49)-W7+W13-9,20)&gt;11,(($K52+SUM($V7:$Y7)-SUM($V13:$Y13))*J49/SUM($I49:$L49)-W7+W13),(($K52+SUM($V7:$Y7)-SUM($V13:$Y13))*J49/SUM($I49:$L49)-W7+W13)-MOD(($K52+SUM($V7:$Y7)-SUM($V13:$Y13))*J49/SUM($I49:$L49)-W7+W13-9,20)),($K52+SUM($V7:$Y7)-SUM($V13:$Y13))*J49/SUM($I49:$L49)-W7+W13))</f>
        <v>-11</v>
      </c>
      <c r="K60" s="77">
        <f>INT(IF($F$24=1,IF(MOD(($K52+SUM($V7:$Y7)-SUM($V13:$Y13))*K49/SUM($I49:$L49)-X7+X13-9,20)&gt;11,(($K52+SUM($V7:$Y7)-SUM($V13:$Y13))*K49/SUM($I49:$L49)-X7+X13),(($K52+SUM($V7:$Y7)-SUM($V13:$Y13))*K49/SUM($I49:$L49)-X7+X13)-MOD(($K52+SUM($V7:$Y7)-SUM($V13:$Y13))*K49/SUM($I49:$L49)-X7+X13-9,20)),($K52+SUM($V7:$Y7)-SUM($V13:$Y13))*K49/SUM($I49:$L49)-X7+X13))</f>
        <v>-11</v>
      </c>
      <c r="L60" s="77">
        <f>INT(IF($F$24=1,IF(MOD(($K52+SUM($V7:$Y7)-SUM($V13:$Y13))*L49/SUM($I49:$L49)-Y7+Y13-9,20)&gt;11,(($K52+SUM($V7:$Y7)-SUM($V13:$Y13))*L49/SUM($I49:$L49)-Y7+Y13),(($K52+SUM($V7:$Y7)-SUM($V13:$Y13))*L49/SUM($I49:$L49)-Y7+Y13)-MOD(($K52+SUM($V7:$Y7)-SUM($V13:$Y13))*L49/SUM($I49:$L49)-Y7+Y13-9,20)),($K52+SUM($V7:$Y7)-SUM($V13:$Y13))*L49/SUM($I49:$L49)-Y7+Y13))</f>
        <v>-11</v>
      </c>
      <c r="M60" s="85"/>
      <c r="N60" s="74"/>
      <c r="O60" s="74"/>
      <c r="P60" s="74"/>
      <c r="Q60" s="74"/>
      <c r="R60" s="74"/>
      <c r="S60" s="74"/>
      <c r="T60" s="120"/>
      <c r="U60" s="68" t="s">
        <v>464</v>
      </c>
      <c r="V60" s="150">
        <f>V30-第6期!V30</f>
        <v>0</v>
      </c>
      <c r="W60" s="150">
        <f>W30-第6期!W30</f>
        <v>0</v>
      </c>
      <c r="X60" s="150">
        <f>X30-第6期!X30</f>
        <v>0</v>
      </c>
      <c r="Y60" s="150">
        <f>Y30-第6期!Y30</f>
        <v>0</v>
      </c>
      <c r="Z60" s="150">
        <f>SUM(V60:Y60)/4</f>
        <v>0</v>
      </c>
      <c r="AA60" s="68" t="s">
        <v>464</v>
      </c>
      <c r="AB60" s="150">
        <f>第6期!BB28</f>
        <v>0</v>
      </c>
      <c r="AC60" s="150">
        <f>第6期!BC28</f>
        <v>0</v>
      </c>
      <c r="AD60" s="150">
        <f>第6期!BD28</f>
        <v>0</v>
      </c>
      <c r="AE60" s="150">
        <f>第6期!BE28</f>
        <v>0</v>
      </c>
      <c r="AF60" s="150">
        <f>SUM(AB60:AE60)</f>
        <v>0</v>
      </c>
      <c r="AG60" s="74"/>
      <c r="AH60" s="73"/>
      <c r="AI60" s="297"/>
      <c r="AJ60" s="296" t="s">
        <v>38</v>
      </c>
      <c r="AK60" s="296" t="s">
        <v>39</v>
      </c>
      <c r="AL60" s="296" t="s">
        <v>40</v>
      </c>
      <c r="AM60" s="296" t="s">
        <v>41</v>
      </c>
      <c r="AN60" s="296" t="s">
        <v>38</v>
      </c>
      <c r="AO60" s="296" t="s">
        <v>39</v>
      </c>
      <c r="AP60" s="296" t="s">
        <v>40</v>
      </c>
      <c r="AQ60" s="296" t="s">
        <v>41</v>
      </c>
      <c r="AR60" s="296" t="s">
        <v>38</v>
      </c>
      <c r="AS60" s="296" t="s">
        <v>39</v>
      </c>
      <c r="AT60" s="296" t="s">
        <v>40</v>
      </c>
      <c r="AU60" s="296" t="s">
        <v>41</v>
      </c>
      <c r="AV60" s="296" t="s">
        <v>38</v>
      </c>
      <c r="AW60" s="296" t="s">
        <v>39</v>
      </c>
      <c r="AX60" s="296" t="s">
        <v>40</v>
      </c>
      <c r="AY60" s="296" t="s">
        <v>41</v>
      </c>
      <c r="AZ60" s="63"/>
      <c r="BA60" s="318">
        <f t="shared" si="79"/>
        <v>0</v>
      </c>
      <c r="BB60" s="205">
        <f>IF(BT11=1,AL113/(第6期!AP113/2+AP113),0)</f>
        <v>0</v>
      </c>
      <c r="BC60" s="203"/>
      <c r="BD60" s="215">
        <f t="shared" si="80"/>
        <v>0</v>
      </c>
      <c r="BE60" s="209" t="e">
        <f t="shared" si="81"/>
        <v>#DIV/0!</v>
      </c>
      <c r="BF60" s="209" t="e">
        <f t="shared" si="81"/>
        <v>#DIV/0!</v>
      </c>
      <c r="BG60" s="209" t="e">
        <f t="shared" si="81"/>
        <v>#DIV/0!</v>
      </c>
      <c r="BH60" s="209" t="e">
        <f t="shared" si="82"/>
        <v>#DIV/0!</v>
      </c>
      <c r="BI60" s="203"/>
      <c r="BJ60" s="203"/>
      <c r="BK60" s="203"/>
      <c r="BL60" s="203"/>
      <c r="BM60" s="203"/>
      <c r="BN60" s="203"/>
      <c r="BO60" s="203"/>
      <c r="BP60" s="203"/>
      <c r="BQ60" s="203"/>
      <c r="BR60" s="211"/>
      <c r="BS60" s="211"/>
      <c r="BT60" s="211"/>
      <c r="BU60" s="211"/>
      <c r="BV60" s="211"/>
      <c r="BW60" s="211"/>
      <c r="BX60" s="211"/>
      <c r="BY60" s="211"/>
      <c r="BZ60" s="211"/>
      <c r="CA60" s="211"/>
      <c r="CB60" s="211"/>
      <c r="CC60" s="211"/>
      <c r="CD60" s="211"/>
      <c r="CE60" s="211"/>
      <c r="CF60" s="211"/>
      <c r="CG60" s="211"/>
      <c r="CH60" s="211"/>
      <c r="CI60" s="211"/>
      <c r="CJ60" s="62"/>
    </row>
    <row r="61" s="61" customFormat="1" ht="16" customHeight="1" spans="1:88">
      <c r="A61" s="269" t="s">
        <v>684</v>
      </c>
      <c r="B61" s="270"/>
      <c r="C61" s="77" t="e">
        <f>-IF(F77*初始化表!B25&gt;-第6期!F80,F77*初始化表!B25+第6期!F80,0)</f>
        <v>#DIV/0!</v>
      </c>
      <c r="D61" s="79"/>
      <c r="E61" s="79"/>
      <c r="F61" s="79" t="e">
        <f t="shared" si="78"/>
        <v>#DIV/0!</v>
      </c>
      <c r="G61" s="73"/>
      <c r="H61" s="273" t="s">
        <v>779</v>
      </c>
      <c r="I61" s="77">
        <f>INT(IF($F$24=1,IF(MOD(($L52+SUM($V8:$Y8)-SUM($V14:$Y14))*I50/SUM($I50:$L50)-V8+V14-9,20)&gt;11,(($L52+SUM($V8:$Y8)-SUM($V14:$Y14))*I50/SUM($I50:$L50)-V8+V14),(($L52+SUM($V8:$Y8)-SUM($V14:$Y14))*I50/SUM($I50:$L50)-V8+V14)-MOD(($L52+SUM($V8:$Y8)-SUM($V14:$Y14))*I50/SUM($I50:$L50)-V8+V14-9,20)),($L52+SUM($V8:$Y8)-SUM($V14:$Y14))*I50/SUM($I50:$L50)-V8+V14))</f>
        <v>-11</v>
      </c>
      <c r="J61" s="77">
        <f>INT(IF($F$24=1,IF(MOD(($L52+SUM($V8:$Y8)-SUM($V14:$Y14))*J50/SUM($I50:$L50)-W8+W14-9,20)&gt;11,(($L52+SUM($V8:$Y8)-SUM($V14:$Y14))*J50/SUM($I50:$L50)-W8+W14),(($L52+SUM($V8:$Y8)-SUM($V14:$Y14))*J50/SUM($I50:$L50)-W8+W14)-MOD(($L52+SUM($V8:$Y8)-SUM($V14:$Y14))*J50/SUM($I50:$L50)-W8+W14-9,20)),($L52+SUM($V8:$Y8)-SUM($V14:$Y14))*J50/SUM($I50:$L50)-W8+W14))</f>
        <v>-11</v>
      </c>
      <c r="K61" s="77">
        <f>INT(IF($F$24=1,IF(MOD(($L52+SUM($V8:$Y8)-SUM($V14:$Y14))*K50/SUM($I50:$L50)-X8+X14-9,20)&gt;11,(($L52+SUM($V8:$Y8)-SUM($V14:$Y14))*K50/SUM($I50:$L50)-X8+X14),(($L52+SUM($V8:$Y8)-SUM($V14:$Y14))*K50/SUM($I50:$L50)-X8+X14)-MOD(($L52+SUM($V8:$Y8)-SUM($V14:$Y14))*K50/SUM($I50:$L50)-X8+X14-9,20)),($L52+SUM($V8:$Y8)-SUM($V14:$Y14))*K50/SUM($I50:$L50)-X8+X14))</f>
        <v>-11</v>
      </c>
      <c r="L61" s="77">
        <f>INT(IF($F$24=1,IF(MOD(($L52+SUM($V8:$Y8)-SUM($V14:$Y14))*L50/SUM($I50:$L50)-Y8+Y14-9,20)&gt;11,(($L52+SUM($V8:$Y8)-SUM($V14:$Y14))*L50/SUM($I50:$L50)-Y8+Y14),(($L52+SUM($V8:$Y8)-SUM($V14:$Y14))*L50/SUM($I50:$L50)-Y8+Y14)-MOD(($L52+SUM($V8:$Y8)-SUM($V14:$Y14))*L50/SUM($I50:$L50)-Y8+Y14-9,20)),($L52+SUM($V8:$Y8)-SUM($V14:$Y14))*L50/SUM($I50:$L50)-Y8+Y14))</f>
        <v>-11</v>
      </c>
      <c r="M61" s="85"/>
      <c r="N61" s="74"/>
      <c r="O61" s="74"/>
      <c r="P61" s="74"/>
      <c r="Q61" s="74"/>
      <c r="R61" s="74"/>
      <c r="S61" s="74"/>
      <c r="T61" s="120"/>
      <c r="U61" s="68" t="s">
        <v>465</v>
      </c>
      <c r="V61" s="150">
        <f>V31-第6期!V31</f>
        <v>0</v>
      </c>
      <c r="W61" s="150">
        <f>W31-第6期!W31</f>
        <v>0</v>
      </c>
      <c r="X61" s="150">
        <f>X31-第6期!X31</f>
        <v>0</v>
      </c>
      <c r="Y61" s="150">
        <f>Y31-第6期!Y31</f>
        <v>0</v>
      </c>
      <c r="Z61" s="150">
        <f t="shared" ref="Z61:Z63" si="84">SUM(V61:Y61)/4</f>
        <v>0</v>
      </c>
      <c r="AA61" s="68" t="s">
        <v>465</v>
      </c>
      <c r="AB61" s="150">
        <f>第6期!BF28</f>
        <v>0</v>
      </c>
      <c r="AC61" s="150">
        <f>第6期!BG28</f>
        <v>0</v>
      </c>
      <c r="AD61" s="150">
        <f>第6期!BH28</f>
        <v>0</v>
      </c>
      <c r="AE61" s="150">
        <f>第6期!BI28</f>
        <v>0</v>
      </c>
      <c r="AF61" s="150">
        <f t="shared" ref="AF61:AF63" si="85">SUM(AB61:AE61)</f>
        <v>0</v>
      </c>
      <c r="AG61" s="74"/>
      <c r="AH61" s="73"/>
      <c r="AI61" s="312"/>
      <c r="AJ61" s="304"/>
      <c r="AK61" s="304"/>
      <c r="AL61" s="304"/>
      <c r="AM61" s="304"/>
      <c r="AN61" s="304"/>
      <c r="AO61" s="304"/>
      <c r="AP61" s="304"/>
      <c r="AQ61" s="304"/>
      <c r="AR61" s="304"/>
      <c r="AS61" s="304"/>
      <c r="AT61" s="304"/>
      <c r="AU61" s="304"/>
      <c r="AV61" s="304"/>
      <c r="AW61" s="304"/>
      <c r="AX61" s="304"/>
      <c r="AY61" s="304"/>
      <c r="AZ61" s="63"/>
      <c r="BA61" s="318">
        <f t="shared" si="79"/>
        <v>0</v>
      </c>
      <c r="BB61" s="205">
        <f>IF(BT12=1,AL114/(第6期!AP114/2+AP114),0)</f>
        <v>0</v>
      </c>
      <c r="BC61" s="203"/>
      <c r="BD61" s="215">
        <f t="shared" si="80"/>
        <v>0</v>
      </c>
      <c r="BE61" s="209" t="e">
        <f t="shared" si="81"/>
        <v>#DIV/0!</v>
      </c>
      <c r="BF61" s="209" t="e">
        <f t="shared" si="81"/>
        <v>#DIV/0!</v>
      </c>
      <c r="BG61" s="209" t="e">
        <f t="shared" si="81"/>
        <v>#DIV/0!</v>
      </c>
      <c r="BH61" s="209" t="e">
        <f t="shared" si="81"/>
        <v>#DIV/0!</v>
      </c>
      <c r="BI61" s="203"/>
      <c r="BJ61" s="203"/>
      <c r="BK61" s="203"/>
      <c r="BL61" s="203"/>
      <c r="BM61" s="203"/>
      <c r="BN61" s="203"/>
      <c r="BO61" s="203"/>
      <c r="BP61" s="203"/>
      <c r="BQ61" s="203"/>
      <c r="BR61" s="211"/>
      <c r="BS61" s="211"/>
      <c r="BT61" s="211"/>
      <c r="BU61" s="211"/>
      <c r="BV61" s="211"/>
      <c r="BW61" s="211"/>
      <c r="BX61" s="211"/>
      <c r="BY61" s="211"/>
      <c r="BZ61" s="211"/>
      <c r="CA61" s="211"/>
      <c r="CB61" s="211"/>
      <c r="CC61" s="211"/>
      <c r="CD61" s="211"/>
      <c r="CE61" s="211"/>
      <c r="CF61" s="211"/>
      <c r="CG61" s="211"/>
      <c r="CH61" s="211"/>
      <c r="CI61" s="211"/>
      <c r="CJ61" s="62"/>
    </row>
    <row r="62" s="61" customFormat="1" ht="16" customHeight="1" spans="1:88">
      <c r="A62" s="269" t="s">
        <v>306</v>
      </c>
      <c r="B62" s="270"/>
      <c r="C62" s="77">
        <f>-D22*初始化表!B8</f>
        <v>0</v>
      </c>
      <c r="D62" s="79"/>
      <c r="E62" s="79"/>
      <c r="F62" s="79" t="e">
        <f t="shared" si="78"/>
        <v>#DIV/0!</v>
      </c>
      <c r="G62" s="73"/>
      <c r="H62" s="273" t="s">
        <v>685</v>
      </c>
      <c r="I62" s="273" t="s">
        <v>784</v>
      </c>
      <c r="J62" s="273" t="s">
        <v>785</v>
      </c>
      <c r="K62" s="273" t="s">
        <v>786</v>
      </c>
      <c r="L62" s="273" t="s">
        <v>787</v>
      </c>
      <c r="M62" s="85"/>
      <c r="N62" s="117" t="s">
        <v>745</v>
      </c>
      <c r="O62" s="117" t="s">
        <v>38</v>
      </c>
      <c r="P62" s="117" t="s">
        <v>39</v>
      </c>
      <c r="Q62" s="117" t="s">
        <v>40</v>
      </c>
      <c r="R62" s="117" t="s">
        <v>41</v>
      </c>
      <c r="S62" s="74"/>
      <c r="T62" s="120"/>
      <c r="U62" s="68" t="s">
        <v>466</v>
      </c>
      <c r="V62" s="150">
        <f>V32-第6期!V32</f>
        <v>0</v>
      </c>
      <c r="W62" s="150">
        <f>W32-第6期!W32</f>
        <v>0</v>
      </c>
      <c r="X62" s="150">
        <f>X32-第6期!X32</f>
        <v>0</v>
      </c>
      <c r="Y62" s="150">
        <f>Y32-第6期!Y32</f>
        <v>0</v>
      </c>
      <c r="Z62" s="150">
        <f t="shared" si="84"/>
        <v>0</v>
      </c>
      <c r="AA62" s="68" t="s">
        <v>466</v>
      </c>
      <c r="AB62" s="150">
        <f>第6期!BJ28</f>
        <v>0</v>
      </c>
      <c r="AC62" s="150">
        <f>第6期!BK28</f>
        <v>0</v>
      </c>
      <c r="AD62" s="150">
        <f>第6期!BL28</f>
        <v>0</v>
      </c>
      <c r="AE62" s="150">
        <f>第6期!BM28</f>
        <v>0</v>
      </c>
      <c r="AF62" s="150">
        <f t="shared" si="85"/>
        <v>0</v>
      </c>
      <c r="AG62" s="74"/>
      <c r="AH62" s="73"/>
      <c r="AI62" s="312"/>
      <c r="AJ62" s="304"/>
      <c r="AK62" s="304"/>
      <c r="AL62" s="304"/>
      <c r="AM62" s="304"/>
      <c r="AN62" s="304"/>
      <c r="AO62" s="304"/>
      <c r="AP62" s="304"/>
      <c r="AQ62" s="304"/>
      <c r="AR62" s="304"/>
      <c r="AS62" s="304"/>
      <c r="AT62" s="304"/>
      <c r="AU62" s="304"/>
      <c r="AV62" s="304"/>
      <c r="AW62" s="304"/>
      <c r="AX62" s="304"/>
      <c r="AY62" s="304"/>
      <c r="AZ62" s="63"/>
      <c r="BA62" s="318">
        <f t="shared" si="79"/>
        <v>0</v>
      </c>
      <c r="BB62" s="205">
        <f>IF(BT13=1,AL115/(第6期!AP115/2+AP115),0)</f>
        <v>0</v>
      </c>
      <c r="BC62" s="203"/>
      <c r="BD62" s="215">
        <f t="shared" si="80"/>
        <v>0</v>
      </c>
      <c r="BE62" s="209" t="e">
        <f t="shared" si="81"/>
        <v>#DIV/0!</v>
      </c>
      <c r="BF62" s="209" t="e">
        <f t="shared" si="81"/>
        <v>#DIV/0!</v>
      </c>
      <c r="BG62" s="209" t="e">
        <f t="shared" si="81"/>
        <v>#DIV/0!</v>
      </c>
      <c r="BH62" s="209" t="e">
        <f t="shared" si="81"/>
        <v>#DIV/0!</v>
      </c>
      <c r="BI62" s="203"/>
      <c r="BJ62" s="203"/>
      <c r="BK62" s="203"/>
      <c r="BL62" s="203"/>
      <c r="BM62" s="203"/>
      <c r="BN62" s="203"/>
      <c r="BO62" s="203"/>
      <c r="BP62" s="203"/>
      <c r="BQ62" s="203"/>
      <c r="BR62" s="211"/>
      <c r="BS62" s="211"/>
      <c r="BT62" s="211"/>
      <c r="BU62" s="211"/>
      <c r="BV62" s="211"/>
      <c r="BW62" s="211"/>
      <c r="BX62" s="211"/>
      <c r="BY62" s="211"/>
      <c r="BZ62" s="211"/>
      <c r="CA62" s="211"/>
      <c r="CB62" s="211"/>
      <c r="CC62" s="211"/>
      <c r="CD62" s="211"/>
      <c r="CE62" s="211"/>
      <c r="CF62" s="211"/>
      <c r="CG62" s="211"/>
      <c r="CH62" s="211"/>
      <c r="CI62" s="211"/>
      <c r="CJ62" s="62"/>
    </row>
    <row r="63" s="61" customFormat="1" ht="16" customHeight="1" spans="1:88">
      <c r="A63" s="269" t="s">
        <v>686</v>
      </c>
      <c r="B63" s="270"/>
      <c r="C63" s="77" t="e">
        <f>IF(R37&gt;P37,-P37,-R37)</f>
        <v>#DIV/0!</v>
      </c>
      <c r="D63" s="79"/>
      <c r="E63" s="79"/>
      <c r="F63" s="79" t="e">
        <f t="shared" si="78"/>
        <v>#DIV/0!</v>
      </c>
      <c r="G63" s="73"/>
      <c r="H63" s="273" t="s">
        <v>776</v>
      </c>
      <c r="I63" s="97"/>
      <c r="J63" s="97"/>
      <c r="K63" s="97"/>
      <c r="L63" s="97"/>
      <c r="M63" s="85"/>
      <c r="N63" s="117" t="s">
        <v>198</v>
      </c>
      <c r="O63" s="118">
        <f>O68-第6期!O68</f>
        <v>-5</v>
      </c>
      <c r="P63" s="118">
        <f>P68-第6期!P68</f>
        <v>-5</v>
      </c>
      <c r="Q63" s="118">
        <f>Q68-第6期!Q68</f>
        <v>-4</v>
      </c>
      <c r="R63" s="118">
        <f>R68-第6期!R68</f>
        <v>-4</v>
      </c>
      <c r="S63" s="74"/>
      <c r="T63" s="120"/>
      <c r="U63" s="68" t="s">
        <v>468</v>
      </c>
      <c r="V63" s="150">
        <f>V33-第6期!V33</f>
        <v>0</v>
      </c>
      <c r="W63" s="150">
        <f>W33-第6期!W33</f>
        <v>0</v>
      </c>
      <c r="X63" s="150">
        <f>X33-第6期!X33</f>
        <v>0</v>
      </c>
      <c r="Y63" s="150">
        <f>Y33-第6期!Y33</f>
        <v>0</v>
      </c>
      <c r="Z63" s="150">
        <f t="shared" si="84"/>
        <v>0</v>
      </c>
      <c r="AA63" s="68" t="s">
        <v>468</v>
      </c>
      <c r="AB63" s="150">
        <f>第6期!BN28</f>
        <v>0</v>
      </c>
      <c r="AC63" s="150">
        <f>第6期!BO28</f>
        <v>0</v>
      </c>
      <c r="AD63" s="150">
        <f>第6期!BP28</f>
        <v>0</v>
      </c>
      <c r="AE63" s="150">
        <f>第6期!BQ28</f>
        <v>0</v>
      </c>
      <c r="AF63" s="150">
        <f t="shared" si="85"/>
        <v>0</v>
      </c>
      <c r="AG63" s="74"/>
      <c r="AH63" s="73"/>
      <c r="AI63" s="312"/>
      <c r="AJ63" s="304"/>
      <c r="AK63" s="304"/>
      <c r="AL63" s="304"/>
      <c r="AM63" s="304"/>
      <c r="AN63" s="304"/>
      <c r="AO63" s="304"/>
      <c r="AP63" s="304"/>
      <c r="AQ63" s="304"/>
      <c r="AR63" s="304"/>
      <c r="AS63" s="304"/>
      <c r="AT63" s="304"/>
      <c r="AU63" s="304"/>
      <c r="AV63" s="304"/>
      <c r="AW63" s="304"/>
      <c r="AX63" s="304"/>
      <c r="AY63" s="304"/>
      <c r="AZ63" s="63"/>
      <c r="BA63" s="318">
        <f t="shared" si="79"/>
        <v>0</v>
      </c>
      <c r="BB63" s="205">
        <f>IF(BT14=1,AL116/(第6期!AP116/2+AP116),0)</f>
        <v>0</v>
      </c>
      <c r="BC63" s="203"/>
      <c r="BD63" s="215">
        <f t="shared" si="80"/>
        <v>0</v>
      </c>
      <c r="BE63" s="209" t="e">
        <f t="shared" si="81"/>
        <v>#DIV/0!</v>
      </c>
      <c r="BF63" s="209" t="e">
        <f t="shared" si="81"/>
        <v>#DIV/0!</v>
      </c>
      <c r="BG63" s="209" t="e">
        <f t="shared" si="81"/>
        <v>#DIV/0!</v>
      </c>
      <c r="BH63" s="209" t="e">
        <f t="shared" si="81"/>
        <v>#DIV/0!</v>
      </c>
      <c r="BI63" s="203"/>
      <c r="BJ63" s="203"/>
      <c r="BK63" s="203"/>
      <c r="BL63" s="203"/>
      <c r="BM63" s="203"/>
      <c r="BN63" s="203"/>
      <c r="BO63" s="203"/>
      <c r="BP63" s="203"/>
      <c r="BQ63" s="203"/>
      <c r="BR63" s="211"/>
      <c r="BS63" s="211"/>
      <c r="BT63" s="211"/>
      <c r="BU63" s="211"/>
      <c r="BV63" s="211"/>
      <c r="BW63" s="211"/>
      <c r="BX63" s="211"/>
      <c r="BY63" s="211"/>
      <c r="BZ63" s="211"/>
      <c r="CA63" s="211"/>
      <c r="CB63" s="211"/>
      <c r="CC63" s="211"/>
      <c r="CD63" s="211"/>
      <c r="CE63" s="211"/>
      <c r="CF63" s="211"/>
      <c r="CG63" s="211"/>
      <c r="CH63" s="211"/>
      <c r="CI63" s="211"/>
      <c r="CJ63" s="62"/>
    </row>
    <row r="64" s="61" customFormat="1" ht="16" customHeight="1" spans="1:88">
      <c r="A64" s="269" t="s">
        <v>392</v>
      </c>
      <c r="B64" s="270"/>
      <c r="C64" s="77">
        <f>-D24</f>
        <v>0</v>
      </c>
      <c r="D64" s="79"/>
      <c r="E64" s="79"/>
      <c r="F64" s="79" t="e">
        <f t="shared" si="78"/>
        <v>#DIV/0!</v>
      </c>
      <c r="G64" s="73"/>
      <c r="H64" s="273" t="s">
        <v>777</v>
      </c>
      <c r="I64" s="97"/>
      <c r="J64" s="97"/>
      <c r="K64" s="97"/>
      <c r="L64" s="97"/>
      <c r="M64" s="85"/>
      <c r="N64" s="117" t="s">
        <v>202</v>
      </c>
      <c r="O64" s="118">
        <f>O69-第6期!O69</f>
        <v>-7</v>
      </c>
      <c r="P64" s="118">
        <f>P69-第6期!P69</f>
        <v>-7</v>
      </c>
      <c r="Q64" s="118">
        <f>Q69-第6期!Q69</f>
        <v>-6</v>
      </c>
      <c r="R64" s="118">
        <f>R69-第6期!R69</f>
        <v>-6</v>
      </c>
      <c r="S64" s="74"/>
      <c r="T64" s="120"/>
      <c r="U64" s="74"/>
      <c r="V64" s="74"/>
      <c r="W64" s="74"/>
      <c r="X64" s="74"/>
      <c r="Y64" s="74"/>
      <c r="Z64" s="74"/>
      <c r="AA64" s="73"/>
      <c r="AB64" s="74"/>
      <c r="AC64" s="74"/>
      <c r="AD64" s="74"/>
      <c r="AE64" s="74"/>
      <c r="AF64" s="74"/>
      <c r="AG64" s="74"/>
      <c r="AH64" s="73"/>
      <c r="AI64" s="312"/>
      <c r="AJ64" s="304"/>
      <c r="AK64" s="304"/>
      <c r="AL64" s="304"/>
      <c r="AM64" s="304"/>
      <c r="AN64" s="304"/>
      <c r="AO64" s="304"/>
      <c r="AP64" s="304"/>
      <c r="AQ64" s="304"/>
      <c r="AR64" s="304"/>
      <c r="AS64" s="304"/>
      <c r="AT64" s="304"/>
      <c r="AU64" s="304"/>
      <c r="AV64" s="304"/>
      <c r="AW64" s="304"/>
      <c r="AX64" s="304"/>
      <c r="AY64" s="304"/>
      <c r="AZ64" s="63"/>
      <c r="BA64" s="318">
        <f t="shared" si="79"/>
        <v>0</v>
      </c>
      <c r="BB64" s="205">
        <f>IF(BT15=1,AL117/(第6期!AP117/2+AP117),0)</f>
        <v>0</v>
      </c>
      <c r="BC64" s="203"/>
      <c r="BD64" s="215">
        <f t="shared" si="80"/>
        <v>0</v>
      </c>
      <c r="BE64" s="209" t="e">
        <f t="shared" si="81"/>
        <v>#DIV/0!</v>
      </c>
      <c r="BF64" s="209" t="e">
        <f t="shared" si="81"/>
        <v>#DIV/0!</v>
      </c>
      <c r="BG64" s="209" t="e">
        <f t="shared" si="81"/>
        <v>#DIV/0!</v>
      </c>
      <c r="BH64" s="209" t="e">
        <f t="shared" si="81"/>
        <v>#DIV/0!</v>
      </c>
      <c r="BI64" s="203"/>
      <c r="BJ64" s="203"/>
      <c r="BK64" s="203"/>
      <c r="BL64" s="203"/>
      <c r="BM64" s="203"/>
      <c r="BN64" s="203"/>
      <c r="BO64" s="203"/>
      <c r="BP64" s="203"/>
      <c r="BQ64" s="203"/>
      <c r="BR64" s="211"/>
      <c r="BS64" s="211"/>
      <c r="BT64" s="211"/>
      <c r="BU64" s="211"/>
      <c r="BV64" s="211"/>
      <c r="BW64" s="211"/>
      <c r="BX64" s="211"/>
      <c r="BY64" s="211"/>
      <c r="BZ64" s="211"/>
      <c r="CA64" s="211"/>
      <c r="CB64" s="211"/>
      <c r="CC64" s="211"/>
      <c r="CD64" s="211"/>
      <c r="CE64" s="211"/>
      <c r="CF64" s="211"/>
      <c r="CG64" s="211"/>
      <c r="CH64" s="211"/>
      <c r="CI64" s="211"/>
      <c r="CJ64" s="62"/>
    </row>
    <row r="65" s="61" customFormat="1" ht="16" customHeight="1" spans="1:88">
      <c r="A65" s="326"/>
      <c r="B65" s="326"/>
      <c r="C65" s="90"/>
      <c r="D65" s="90"/>
      <c r="E65" s="90"/>
      <c r="F65" s="90"/>
      <c r="G65" s="73"/>
      <c r="H65" s="273" t="s">
        <v>778</v>
      </c>
      <c r="I65" s="97"/>
      <c r="J65" s="97"/>
      <c r="K65" s="97"/>
      <c r="L65" s="97"/>
      <c r="M65" s="85"/>
      <c r="N65" s="117" t="s">
        <v>206</v>
      </c>
      <c r="O65" s="118">
        <f>O70-第6期!O70</f>
        <v>-10</v>
      </c>
      <c r="P65" s="118">
        <f>P70-第6期!P70</f>
        <v>-10</v>
      </c>
      <c r="Q65" s="118">
        <f>Q70-第6期!Q70</f>
        <v>-10</v>
      </c>
      <c r="R65" s="118">
        <f>R70-第6期!R70</f>
        <v>-10</v>
      </c>
      <c r="S65" s="74"/>
      <c r="T65" s="120"/>
      <c r="U65" s="68" t="s">
        <v>746</v>
      </c>
      <c r="V65" s="68" t="s">
        <v>459</v>
      </c>
      <c r="W65" s="68" t="s">
        <v>460</v>
      </c>
      <c r="X65" s="68" t="s">
        <v>461</v>
      </c>
      <c r="Y65" s="68" t="s">
        <v>462</v>
      </c>
      <c r="Z65" s="74"/>
      <c r="AA65" s="73"/>
      <c r="AB65" s="74"/>
      <c r="AC65" s="74"/>
      <c r="AD65" s="74"/>
      <c r="AE65" s="74"/>
      <c r="AF65" s="74"/>
      <c r="AG65" s="74"/>
      <c r="AH65" s="73"/>
      <c r="AI65" s="312"/>
      <c r="AJ65" s="304"/>
      <c r="AK65" s="304"/>
      <c r="AL65" s="304"/>
      <c r="AM65" s="304"/>
      <c r="AN65" s="304"/>
      <c r="AO65" s="304"/>
      <c r="AP65" s="304"/>
      <c r="AQ65" s="304"/>
      <c r="AR65" s="304"/>
      <c r="AS65" s="304"/>
      <c r="AT65" s="304"/>
      <c r="AU65" s="304"/>
      <c r="AV65" s="304"/>
      <c r="AW65" s="304"/>
      <c r="AX65" s="304"/>
      <c r="AY65" s="304"/>
      <c r="AZ65" s="63"/>
      <c r="BA65" s="318">
        <f t="shared" si="79"/>
        <v>0</v>
      </c>
      <c r="BB65" s="205">
        <f>IF(BT16=1,AL118/(第6期!AP118/2+AP118),0)</f>
        <v>0</v>
      </c>
      <c r="BC65" s="203"/>
      <c r="BD65" s="215">
        <f t="shared" si="80"/>
        <v>0</v>
      </c>
      <c r="BE65" s="209" t="e">
        <f t="shared" si="81"/>
        <v>#DIV/0!</v>
      </c>
      <c r="BF65" s="209" t="e">
        <f t="shared" si="81"/>
        <v>#DIV/0!</v>
      </c>
      <c r="BG65" s="209" t="e">
        <f t="shared" si="81"/>
        <v>#DIV/0!</v>
      </c>
      <c r="BH65" s="209" t="e">
        <f t="shared" si="81"/>
        <v>#DIV/0!</v>
      </c>
      <c r="BI65" s="203"/>
      <c r="BJ65" s="203"/>
      <c r="BK65" s="203"/>
      <c r="BL65" s="203"/>
      <c r="BM65" s="203"/>
      <c r="BN65" s="203"/>
      <c r="BO65" s="203"/>
      <c r="BP65" s="203"/>
      <c r="BQ65" s="203"/>
      <c r="BR65" s="211"/>
      <c r="BS65" s="211"/>
      <c r="BT65" s="211"/>
      <c r="BU65" s="211"/>
      <c r="BV65" s="211"/>
      <c r="BW65" s="211"/>
      <c r="BX65" s="211"/>
      <c r="BY65" s="211"/>
      <c r="BZ65" s="211"/>
      <c r="CA65" s="211"/>
      <c r="CB65" s="211"/>
      <c r="CC65" s="211"/>
      <c r="CD65" s="211"/>
      <c r="CE65" s="211"/>
      <c r="CF65" s="211"/>
      <c r="CG65" s="211"/>
      <c r="CH65" s="211"/>
      <c r="CI65" s="211"/>
      <c r="CJ65" s="62"/>
    </row>
    <row r="66" s="61" customFormat="1" ht="16" customHeight="1" spans="1:88">
      <c r="A66" s="269" t="s">
        <v>423</v>
      </c>
      <c r="B66" s="270"/>
      <c r="C66" s="270"/>
      <c r="D66" s="327"/>
      <c r="E66" s="269" t="s">
        <v>448</v>
      </c>
      <c r="F66" s="270"/>
      <c r="G66" s="73"/>
      <c r="H66" s="273" t="s">
        <v>779</v>
      </c>
      <c r="I66" s="97"/>
      <c r="J66" s="97"/>
      <c r="K66" s="97"/>
      <c r="L66" s="97"/>
      <c r="M66" s="85"/>
      <c r="N66" s="117" t="s">
        <v>208</v>
      </c>
      <c r="O66" s="118">
        <f>O71-第6期!O71</f>
        <v>-15</v>
      </c>
      <c r="P66" s="118">
        <f>P71-第6期!P71</f>
        <v>-15</v>
      </c>
      <c r="Q66" s="118">
        <f>Q71-第6期!Q71</f>
        <v>-15</v>
      </c>
      <c r="R66" s="118">
        <f>R71-第6期!R71</f>
        <v>-15</v>
      </c>
      <c r="S66" s="74"/>
      <c r="T66" s="120"/>
      <c r="U66" s="68" t="s">
        <v>464</v>
      </c>
      <c r="V66" s="150">
        <f>ABS(IF(AB54=0,0,V60/AB54))</f>
        <v>0</v>
      </c>
      <c r="W66" s="150">
        <f t="shared" ref="W66:Y69" si="86">ABS(IF(AC54=0,0,W60/AC54))</f>
        <v>0</v>
      </c>
      <c r="X66" s="150">
        <f t="shared" si="86"/>
        <v>0</v>
      </c>
      <c r="Y66" s="150">
        <f t="shared" si="86"/>
        <v>0</v>
      </c>
      <c r="Z66" s="74"/>
      <c r="AA66" s="73"/>
      <c r="AB66" s="74"/>
      <c r="AC66" s="74"/>
      <c r="AD66" s="74"/>
      <c r="AE66" s="74"/>
      <c r="AF66" s="74"/>
      <c r="AG66" s="74"/>
      <c r="AH66" s="73"/>
      <c r="AI66" s="312"/>
      <c r="AJ66" s="304"/>
      <c r="AK66" s="304"/>
      <c r="AL66" s="304"/>
      <c r="AM66" s="304"/>
      <c r="AN66" s="304"/>
      <c r="AO66" s="304"/>
      <c r="AP66" s="304"/>
      <c r="AQ66" s="304"/>
      <c r="AR66" s="304"/>
      <c r="AS66" s="304"/>
      <c r="AT66" s="304"/>
      <c r="AU66" s="304"/>
      <c r="AV66" s="304"/>
      <c r="AW66" s="304"/>
      <c r="AX66" s="304"/>
      <c r="AY66" s="304"/>
      <c r="AZ66" s="63"/>
      <c r="BA66" s="318">
        <f t="shared" si="79"/>
        <v>0</v>
      </c>
      <c r="BB66" s="205">
        <f>IF(BT17=1,AL119/(第6期!AP119/2+AP119),0)</f>
        <v>0</v>
      </c>
      <c r="BC66" s="203"/>
      <c r="BD66" s="215">
        <f t="shared" si="80"/>
        <v>0</v>
      </c>
      <c r="BE66" s="209" t="e">
        <f t="shared" si="81"/>
        <v>#DIV/0!</v>
      </c>
      <c r="BF66" s="209" t="e">
        <f t="shared" si="81"/>
        <v>#DIV/0!</v>
      </c>
      <c r="BG66" s="209" t="e">
        <f t="shared" si="81"/>
        <v>#DIV/0!</v>
      </c>
      <c r="BH66" s="209" t="e">
        <f t="shared" si="81"/>
        <v>#DIV/0!</v>
      </c>
      <c r="BI66" s="203"/>
      <c r="BJ66" s="203"/>
      <c r="BK66" s="203"/>
      <c r="BL66" s="203"/>
      <c r="BM66" s="203"/>
      <c r="BN66" s="203"/>
      <c r="BO66" s="203"/>
      <c r="BP66" s="203"/>
      <c r="BQ66" s="203"/>
      <c r="BR66" s="211"/>
      <c r="BS66" s="211"/>
      <c r="BT66" s="211"/>
      <c r="BU66" s="211"/>
      <c r="BV66" s="211"/>
      <c r="BW66" s="211"/>
      <c r="BX66" s="211"/>
      <c r="BY66" s="211"/>
      <c r="BZ66" s="211"/>
      <c r="CA66" s="211"/>
      <c r="CB66" s="211"/>
      <c r="CC66" s="211"/>
      <c r="CD66" s="211"/>
      <c r="CE66" s="211"/>
      <c r="CF66" s="211"/>
      <c r="CG66" s="211"/>
      <c r="CH66" s="211"/>
      <c r="CI66" s="211"/>
      <c r="CJ66" s="62"/>
    </row>
    <row r="67" s="61" customFormat="1" ht="16" customHeight="1" spans="1:88">
      <c r="A67" s="269" t="s">
        <v>688</v>
      </c>
      <c r="B67" s="269" t="s">
        <v>689</v>
      </c>
      <c r="C67" s="269" t="s">
        <v>690</v>
      </c>
      <c r="D67" s="327"/>
      <c r="E67" s="328" t="s">
        <v>691</v>
      </c>
      <c r="F67" s="328" t="s">
        <v>692</v>
      </c>
      <c r="G67" s="73"/>
      <c r="H67" s="273" t="s">
        <v>687</v>
      </c>
      <c r="I67" s="275" t="str">
        <f>I62</f>
        <v>市场1</v>
      </c>
      <c r="J67" s="275" t="str">
        <f>J62</f>
        <v>市场2</v>
      </c>
      <c r="K67" s="275" t="str">
        <f>K62</f>
        <v>市场3</v>
      </c>
      <c r="L67" s="275" t="str">
        <f>L62</f>
        <v>市场4</v>
      </c>
      <c r="M67" s="332" t="s">
        <v>693</v>
      </c>
      <c r="N67" s="117" t="s">
        <v>729</v>
      </c>
      <c r="O67" s="117" t="s">
        <v>38</v>
      </c>
      <c r="P67" s="117" t="s">
        <v>39</v>
      </c>
      <c r="Q67" s="117" t="s">
        <v>40</v>
      </c>
      <c r="R67" s="117" t="s">
        <v>41</v>
      </c>
      <c r="S67" s="74"/>
      <c r="T67" s="120"/>
      <c r="U67" s="68" t="s">
        <v>465</v>
      </c>
      <c r="V67" s="150">
        <f t="shared" ref="V67:V69" si="87">ABS(IF(AB55=0,0,V61/AB55))</f>
        <v>0</v>
      </c>
      <c r="W67" s="150">
        <f t="shared" si="86"/>
        <v>0</v>
      </c>
      <c r="X67" s="150">
        <f t="shared" si="86"/>
        <v>0</v>
      </c>
      <c r="Y67" s="150">
        <f t="shared" si="86"/>
        <v>0</v>
      </c>
      <c r="Z67" s="74"/>
      <c r="AA67" s="73"/>
      <c r="AB67" s="74"/>
      <c r="AC67" s="74"/>
      <c r="AD67" s="74"/>
      <c r="AE67" s="74"/>
      <c r="AF67" s="74"/>
      <c r="AG67" s="74"/>
      <c r="AH67" s="73"/>
      <c r="AI67" s="312"/>
      <c r="AJ67" s="304"/>
      <c r="AK67" s="304"/>
      <c r="AL67" s="304"/>
      <c r="AM67" s="304"/>
      <c r="AN67" s="304"/>
      <c r="AO67" s="304"/>
      <c r="AP67" s="304"/>
      <c r="AQ67" s="304"/>
      <c r="AR67" s="304"/>
      <c r="AS67" s="304"/>
      <c r="AT67" s="304"/>
      <c r="AU67" s="304"/>
      <c r="AV67" s="304"/>
      <c r="AW67" s="304"/>
      <c r="AX67" s="304"/>
      <c r="AY67" s="304"/>
      <c r="AZ67" s="63"/>
      <c r="BA67" s="318">
        <f t="shared" si="79"/>
        <v>0</v>
      </c>
      <c r="BB67" s="205">
        <f>IF(BT18=1,AL120/(第6期!AP120/2+AP120),0)</f>
        <v>0</v>
      </c>
      <c r="BC67" s="203"/>
      <c r="BD67" s="215">
        <f t="shared" si="80"/>
        <v>0</v>
      </c>
      <c r="BE67" s="209" t="e">
        <f t="shared" si="81"/>
        <v>#DIV/0!</v>
      </c>
      <c r="BF67" s="209" t="e">
        <f t="shared" si="81"/>
        <v>#DIV/0!</v>
      </c>
      <c r="BG67" s="209" t="e">
        <f t="shared" si="81"/>
        <v>#DIV/0!</v>
      </c>
      <c r="BH67" s="209" t="e">
        <f t="shared" si="81"/>
        <v>#DIV/0!</v>
      </c>
      <c r="BI67" s="203"/>
      <c r="BJ67" s="203"/>
      <c r="BK67" s="203"/>
      <c r="BL67" s="203"/>
      <c r="BM67" s="203"/>
      <c r="BN67" s="203"/>
      <c r="BO67" s="203"/>
      <c r="BP67" s="203"/>
      <c r="BQ67" s="203"/>
      <c r="BR67" s="211"/>
      <c r="BS67" s="211"/>
      <c r="BT67" s="211"/>
      <c r="BU67" s="211"/>
      <c r="BV67" s="211"/>
      <c r="BW67" s="211"/>
      <c r="BX67" s="211"/>
      <c r="BY67" s="211"/>
      <c r="BZ67" s="211"/>
      <c r="CA67" s="211"/>
      <c r="CB67" s="211"/>
      <c r="CC67" s="211"/>
      <c r="CD67" s="211"/>
      <c r="CE67" s="211"/>
      <c r="CF67" s="211"/>
      <c r="CG67" s="211"/>
      <c r="CH67" s="211"/>
      <c r="CI67" s="211"/>
      <c r="CJ67" s="62"/>
    </row>
    <row r="68" s="61" customFormat="1" ht="16" customHeight="1" spans="1:88">
      <c r="A68" s="269" t="s">
        <v>694</v>
      </c>
      <c r="B68" s="77" t="e">
        <f>F64</f>
        <v>#DIV/0!</v>
      </c>
      <c r="C68" s="77" t="e">
        <f>B68</f>
        <v>#DIV/0!</v>
      </c>
      <c r="D68" s="327"/>
      <c r="E68" s="328" t="s">
        <v>345</v>
      </c>
      <c r="F68" s="235">
        <f>L17</f>
        <v>0</v>
      </c>
      <c r="G68" s="73"/>
      <c r="H68" s="275" t="str">
        <f>H63</f>
        <v>产品1</v>
      </c>
      <c r="I68" s="77">
        <f t="shared" ref="I68:L71" si="88">V85</f>
        <v>0</v>
      </c>
      <c r="J68" s="77">
        <f t="shared" si="88"/>
        <v>0</v>
      </c>
      <c r="K68" s="77">
        <f t="shared" si="88"/>
        <v>0</v>
      </c>
      <c r="L68" s="77">
        <f t="shared" si="88"/>
        <v>0</v>
      </c>
      <c r="M68" s="333">
        <f>SUM(I63:L63)</f>
        <v>0</v>
      </c>
      <c r="N68" s="117" t="s">
        <v>198</v>
      </c>
      <c r="O68" s="118">
        <f>IF(V17-第6期!V17=0,0,IF((V23-第6期!V23)/(V17-第6期!V17)&gt;=0,(V23-第6期!V23)/(V17-第6期!V17),-(V23-第6期!V23)/(V17-第6期!V17)))</f>
        <v>0</v>
      </c>
      <c r="P68" s="118">
        <f>IF(W17-第6期!W17=0,0,IF((W23-第6期!W23)/(W17-第6期!W17)&gt;=0,(W23-第6期!W23)/(W17-第6期!W17),-(W23-第6期!W23)/(W17-第6期!W17)))</f>
        <v>0</v>
      </c>
      <c r="Q68" s="118">
        <f>IF(X17-第6期!X17=0,0,IF((X23-第6期!X23)/(X17-第6期!X17)&gt;=0,(X23-第6期!X23)/(X17-第6期!X17),-(X23-第6期!X23)/(X17-第6期!X17)))</f>
        <v>0</v>
      </c>
      <c r="R68" s="118">
        <f>IF(Y17-第6期!Y17=0,0,IF((Y23-第6期!Y23)/(Y17-第6期!Y17)&gt;=0,(Y23-第6期!Y23)/(Y17-第6期!Y17),-(Y23-第6期!Y23)/(Y17-第6期!Y17)))</f>
        <v>0</v>
      </c>
      <c r="S68" s="74"/>
      <c r="T68" s="120"/>
      <c r="U68" s="68" t="s">
        <v>466</v>
      </c>
      <c r="V68" s="150">
        <f t="shared" si="87"/>
        <v>0</v>
      </c>
      <c r="W68" s="150">
        <f t="shared" si="86"/>
        <v>0</v>
      </c>
      <c r="X68" s="150">
        <f t="shared" si="86"/>
        <v>0</v>
      </c>
      <c r="Y68" s="150">
        <f t="shared" si="86"/>
        <v>0</v>
      </c>
      <c r="Z68" s="74"/>
      <c r="AA68" s="73"/>
      <c r="AB68" s="74"/>
      <c r="AC68" s="74"/>
      <c r="AD68" s="74"/>
      <c r="AE68" s="74"/>
      <c r="AF68" s="74"/>
      <c r="AG68" s="74"/>
      <c r="AH68" s="73"/>
      <c r="AI68" s="312"/>
      <c r="AJ68" s="304"/>
      <c r="AK68" s="304"/>
      <c r="AL68" s="304"/>
      <c r="AM68" s="304"/>
      <c r="AN68" s="304"/>
      <c r="AO68" s="304"/>
      <c r="AP68" s="304"/>
      <c r="AQ68" s="304"/>
      <c r="AR68" s="304"/>
      <c r="AS68" s="304"/>
      <c r="AT68" s="304"/>
      <c r="AU68" s="304"/>
      <c r="AV68" s="304"/>
      <c r="AW68" s="304"/>
      <c r="AX68" s="304"/>
      <c r="AY68" s="304"/>
      <c r="AZ68" s="63"/>
      <c r="BA68" s="318">
        <f t="shared" si="79"/>
        <v>0</v>
      </c>
      <c r="BB68" s="205">
        <f>IF(BT19=1,AL121/(第6期!AP121/2+AP121),0)</f>
        <v>0</v>
      </c>
      <c r="BC68" s="203"/>
      <c r="BD68" s="215">
        <f t="shared" si="80"/>
        <v>0</v>
      </c>
      <c r="BE68" s="209" t="e">
        <f t="shared" si="81"/>
        <v>#DIV/0!</v>
      </c>
      <c r="BF68" s="209" t="e">
        <f t="shared" si="81"/>
        <v>#DIV/0!</v>
      </c>
      <c r="BG68" s="209" t="e">
        <f t="shared" si="81"/>
        <v>#DIV/0!</v>
      </c>
      <c r="BH68" s="209" t="e">
        <f t="shared" si="81"/>
        <v>#DIV/0!</v>
      </c>
      <c r="BI68" s="203"/>
      <c r="BJ68" s="203"/>
      <c r="BK68" s="203"/>
      <c r="BL68" s="203"/>
      <c r="BM68" s="203"/>
      <c r="BN68" s="203"/>
      <c r="BO68" s="203"/>
      <c r="BP68" s="203"/>
      <c r="BQ68" s="203"/>
      <c r="BR68" s="211"/>
      <c r="BS68" s="211"/>
      <c r="BT68" s="211"/>
      <c r="BU68" s="211"/>
      <c r="BV68" s="211"/>
      <c r="BW68" s="211"/>
      <c r="BX68" s="211"/>
      <c r="BY68" s="211"/>
      <c r="BZ68" s="211"/>
      <c r="CA68" s="211"/>
      <c r="CB68" s="211"/>
      <c r="CC68" s="211"/>
      <c r="CD68" s="211"/>
      <c r="CE68" s="211"/>
      <c r="CF68" s="211"/>
      <c r="CG68" s="211"/>
      <c r="CH68" s="211"/>
      <c r="CI68" s="211"/>
      <c r="CJ68" s="62"/>
    </row>
    <row r="69" s="61" customFormat="1" ht="16" customHeight="1" spans="1:88">
      <c r="A69" s="269" t="s">
        <v>695</v>
      </c>
      <c r="B69" s="77">
        <f>D24</f>
        <v>0</v>
      </c>
      <c r="C69" s="77" t="e">
        <f t="shared" ref="C69:C76" si="89">C68+B69</f>
        <v>#DIV/0!</v>
      </c>
      <c r="D69" s="327"/>
      <c r="E69" s="328" t="s">
        <v>346</v>
      </c>
      <c r="F69" s="235" t="e">
        <f>O49</f>
        <v>#DIV/0!</v>
      </c>
      <c r="G69" s="73"/>
      <c r="H69" s="275" t="str">
        <f>H64</f>
        <v>产品2</v>
      </c>
      <c r="I69" s="77">
        <f t="shared" si="88"/>
        <v>0</v>
      </c>
      <c r="J69" s="77">
        <f t="shared" si="88"/>
        <v>0</v>
      </c>
      <c r="K69" s="77">
        <f t="shared" si="88"/>
        <v>0</v>
      </c>
      <c r="L69" s="77">
        <f t="shared" si="88"/>
        <v>0</v>
      </c>
      <c r="M69" s="333">
        <f>SUM(I64:L64)</f>
        <v>0</v>
      </c>
      <c r="N69" s="117" t="s">
        <v>202</v>
      </c>
      <c r="O69" s="118">
        <f>IF(V18-第6期!V18=0,0,IF((V24-第6期!V24)/(V18-第6期!V18)&gt;=0,(V24-第6期!V24)/(V18-第6期!V18),-(V24-第6期!V24)/(V18-第6期!V18)))</f>
        <v>0</v>
      </c>
      <c r="P69" s="118">
        <f>IF(W18-第6期!W18=0,0,IF((W24-第6期!W24)/(W18-第6期!W18)&gt;=0,(W24-第6期!W24)/(W18-第6期!W18),-(W24-第6期!W24)/(W18-第6期!W18)))</f>
        <v>0</v>
      </c>
      <c r="Q69" s="118">
        <f>IF(X18-第6期!X18=0,0,IF((X24-第6期!X24)/(X18-第6期!X18)&gt;=0,(X24-第6期!X24)/(X18-第6期!X18),-(X24-第6期!X24)/(X18-第6期!X18)))</f>
        <v>0</v>
      </c>
      <c r="R69" s="118">
        <f>IF(Y18-第6期!Y18=0,0,IF((Y24-第6期!Y24)/(Y18-第6期!Y18)&gt;=0,(Y24-第6期!Y24)/(Y18-第6期!Y18),-(Y24-第6期!Y24)/(Y18-第6期!Y18)))</f>
        <v>0</v>
      </c>
      <c r="S69" s="74"/>
      <c r="T69" s="120"/>
      <c r="U69" s="68" t="s">
        <v>468</v>
      </c>
      <c r="V69" s="150">
        <f t="shared" si="87"/>
        <v>0</v>
      </c>
      <c r="W69" s="150">
        <f t="shared" si="86"/>
        <v>0</v>
      </c>
      <c r="X69" s="150">
        <f t="shared" si="86"/>
        <v>0</v>
      </c>
      <c r="Y69" s="150">
        <f t="shared" si="86"/>
        <v>0</v>
      </c>
      <c r="Z69" s="74"/>
      <c r="AA69" s="73"/>
      <c r="AB69" s="74"/>
      <c r="AC69" s="74"/>
      <c r="AD69" s="74"/>
      <c r="AE69" s="74"/>
      <c r="AF69" s="74"/>
      <c r="AG69" s="74"/>
      <c r="AH69" s="73"/>
      <c r="AI69" s="312"/>
      <c r="AJ69" s="304"/>
      <c r="AK69" s="304"/>
      <c r="AL69" s="304"/>
      <c r="AM69" s="304"/>
      <c r="AN69" s="304"/>
      <c r="AO69" s="304"/>
      <c r="AP69" s="304"/>
      <c r="AQ69" s="304"/>
      <c r="AR69" s="304"/>
      <c r="AS69" s="304"/>
      <c r="AT69" s="304"/>
      <c r="AU69" s="304"/>
      <c r="AV69" s="304"/>
      <c r="AW69" s="304"/>
      <c r="AX69" s="304"/>
      <c r="AY69" s="304"/>
      <c r="AZ69" s="63"/>
      <c r="BA69" s="318">
        <f t="shared" si="79"/>
        <v>0</v>
      </c>
      <c r="BB69" s="205">
        <f>IF(BT20=1,AL122/(第6期!AP122/2+AP122),0)</f>
        <v>0</v>
      </c>
      <c r="BC69" s="203"/>
      <c r="BD69" s="215">
        <f t="shared" si="80"/>
        <v>0</v>
      </c>
      <c r="BE69" s="209" t="e">
        <f t="shared" si="81"/>
        <v>#DIV/0!</v>
      </c>
      <c r="BF69" s="209" t="e">
        <f t="shared" si="81"/>
        <v>#DIV/0!</v>
      </c>
      <c r="BG69" s="209" t="e">
        <f t="shared" si="81"/>
        <v>#DIV/0!</v>
      </c>
      <c r="BH69" s="209" t="e">
        <f t="shared" si="81"/>
        <v>#DIV/0!</v>
      </c>
      <c r="BI69" s="203"/>
      <c r="BJ69" s="203"/>
      <c r="BK69" s="203"/>
      <c r="BL69" s="203"/>
      <c r="BM69" s="203"/>
      <c r="BN69" s="203"/>
      <c r="BO69" s="203"/>
      <c r="BP69" s="203"/>
      <c r="BQ69" s="203"/>
      <c r="BR69" s="211"/>
      <c r="BS69" s="211"/>
      <c r="BT69" s="211"/>
      <c r="BU69" s="211"/>
      <c r="BV69" s="211"/>
      <c r="BW69" s="211"/>
      <c r="BX69" s="211"/>
      <c r="BY69" s="211"/>
      <c r="BZ69" s="211"/>
      <c r="CA69" s="211"/>
      <c r="CB69" s="211"/>
      <c r="CC69" s="211"/>
      <c r="CD69" s="211"/>
      <c r="CE69" s="211"/>
      <c r="CF69" s="211"/>
      <c r="CG69" s="211"/>
      <c r="CH69" s="211"/>
      <c r="CI69" s="211"/>
      <c r="CJ69" s="62"/>
    </row>
    <row r="70" s="61" customFormat="1" ht="16" customHeight="1" spans="1:88">
      <c r="A70" s="269" t="s">
        <v>441</v>
      </c>
      <c r="B70" s="77">
        <f>L43</f>
        <v>0</v>
      </c>
      <c r="C70" s="77" t="e">
        <f t="shared" si="89"/>
        <v>#DIV/0!</v>
      </c>
      <c r="D70" s="327"/>
      <c r="E70" s="328" t="s">
        <v>441</v>
      </c>
      <c r="F70" s="236">
        <f>L43</f>
        <v>0</v>
      </c>
      <c r="G70" s="73"/>
      <c r="H70" s="275" t="str">
        <f>H65</f>
        <v>产品3</v>
      </c>
      <c r="I70" s="77">
        <f t="shared" si="88"/>
        <v>0</v>
      </c>
      <c r="J70" s="77">
        <f t="shared" si="88"/>
        <v>0</v>
      </c>
      <c r="K70" s="77">
        <f t="shared" si="88"/>
        <v>0</v>
      </c>
      <c r="L70" s="77">
        <f t="shared" si="88"/>
        <v>0</v>
      </c>
      <c r="M70" s="333">
        <f>SUM(I65:L65)</f>
        <v>0</v>
      </c>
      <c r="N70" s="117" t="s">
        <v>206</v>
      </c>
      <c r="O70" s="118">
        <f>IF(V19-第6期!V19=0,0,IF((V25-第6期!V25)/(V19-第6期!V19)&gt;=0,(V25-第6期!V25)/(V19-第6期!V19),-(V25-第6期!V25)/(V19-第6期!V19)))</f>
        <v>0</v>
      </c>
      <c r="P70" s="118">
        <f>IF(W19-第6期!W19=0,0,IF((W25-第6期!W25)/(W19-第6期!W19)&gt;=0,(W25-第6期!W25)/(W19-第6期!W19),-(W25-第6期!W25)/(W19-第6期!W19)))</f>
        <v>0</v>
      </c>
      <c r="Q70" s="118">
        <f>IF(X19-第6期!X19=0,0,IF((X25-第6期!X25)/(X19-第6期!X19)&gt;=0,(X25-第6期!X25)/(X19-第6期!X19),-(X25-第6期!X25)/(X19-第6期!X19)))</f>
        <v>0</v>
      </c>
      <c r="R70" s="118">
        <f>IF(Y19-第6期!Y19=0,0,IF((Y25-第6期!Y25)/(Y19-第6期!Y19)&gt;=0,(Y25-第6期!Y25)/(Y19-第6期!Y19),-(Y25-第6期!Y25)/(Y19-第6期!Y19)))</f>
        <v>0</v>
      </c>
      <c r="S70" s="74"/>
      <c r="T70" s="120"/>
      <c r="U70" s="69"/>
      <c r="V70" s="327"/>
      <c r="W70" s="327"/>
      <c r="X70" s="327"/>
      <c r="Y70" s="327"/>
      <c r="Z70" s="74"/>
      <c r="AA70" s="73"/>
      <c r="AB70" s="74"/>
      <c r="AC70" s="74"/>
      <c r="AD70" s="74"/>
      <c r="AE70" s="74"/>
      <c r="AF70" s="74"/>
      <c r="AG70" s="74"/>
      <c r="AH70" s="73"/>
      <c r="AI70" s="312"/>
      <c r="AJ70" s="304"/>
      <c r="AK70" s="304"/>
      <c r="AL70" s="304"/>
      <c r="AM70" s="304"/>
      <c r="AN70" s="304"/>
      <c r="AO70" s="304"/>
      <c r="AP70" s="304"/>
      <c r="AQ70" s="304"/>
      <c r="AR70" s="304"/>
      <c r="AS70" s="304"/>
      <c r="AT70" s="304"/>
      <c r="AU70" s="304"/>
      <c r="AV70" s="304"/>
      <c r="AW70" s="304"/>
      <c r="AX70" s="304"/>
      <c r="AY70" s="304"/>
      <c r="AZ70" s="63"/>
      <c r="BA70" s="318">
        <f t="shared" si="79"/>
        <v>0</v>
      </c>
      <c r="BB70" s="205">
        <f>IF(BT21=1,AL123/(第6期!AP123/2+AP123),0)</f>
        <v>0</v>
      </c>
      <c r="BC70" s="203"/>
      <c r="BD70" s="215">
        <f t="shared" si="80"/>
        <v>0</v>
      </c>
      <c r="BE70" s="209" t="e">
        <f t="shared" si="81"/>
        <v>#DIV/0!</v>
      </c>
      <c r="BF70" s="209" t="e">
        <f t="shared" si="81"/>
        <v>#DIV/0!</v>
      </c>
      <c r="BG70" s="209" t="e">
        <f t="shared" si="81"/>
        <v>#DIV/0!</v>
      </c>
      <c r="BH70" s="209" t="e">
        <f t="shared" si="81"/>
        <v>#DIV/0!</v>
      </c>
      <c r="BI70" s="203"/>
      <c r="BJ70" s="203"/>
      <c r="BK70" s="203"/>
      <c r="BL70" s="203"/>
      <c r="BM70" s="203"/>
      <c r="BN70" s="203"/>
      <c r="BO70" s="203"/>
      <c r="BP70" s="203"/>
      <c r="BQ70" s="203"/>
      <c r="BR70" s="211"/>
      <c r="BS70" s="211"/>
      <c r="BT70" s="211"/>
      <c r="BU70" s="211"/>
      <c r="BV70" s="211"/>
      <c r="BW70" s="211"/>
      <c r="BX70" s="211"/>
      <c r="BY70" s="211"/>
      <c r="BZ70" s="211"/>
      <c r="CA70" s="211"/>
      <c r="CB70" s="211"/>
      <c r="CC70" s="211"/>
      <c r="CD70" s="211"/>
      <c r="CE70" s="211"/>
      <c r="CF70" s="211"/>
      <c r="CG70" s="211"/>
      <c r="CH70" s="211"/>
      <c r="CI70" s="211"/>
      <c r="CJ70" s="62"/>
    </row>
    <row r="71" s="61" customFormat="1" ht="16" customHeight="1" spans="1:88">
      <c r="A71" s="269" t="s">
        <v>696</v>
      </c>
      <c r="B71" s="77">
        <f>(SUM(AP9:AP12)+I56)*初始化表!E22</f>
        <v>0</v>
      </c>
      <c r="C71" s="77" t="e">
        <f t="shared" si="89"/>
        <v>#DIV/0!</v>
      </c>
      <c r="D71" s="327"/>
      <c r="E71" s="328" t="s">
        <v>697</v>
      </c>
      <c r="F71" s="236" t="e">
        <f>F64</f>
        <v>#DIV/0!</v>
      </c>
      <c r="G71" s="73"/>
      <c r="H71" s="275" t="str">
        <f>H66</f>
        <v>产品4</v>
      </c>
      <c r="I71" s="77">
        <f t="shared" si="88"/>
        <v>0</v>
      </c>
      <c r="J71" s="77">
        <f t="shared" si="88"/>
        <v>0</v>
      </c>
      <c r="K71" s="77">
        <f t="shared" si="88"/>
        <v>0</v>
      </c>
      <c r="L71" s="77">
        <f t="shared" si="88"/>
        <v>0</v>
      </c>
      <c r="M71" s="333">
        <f>SUM(I66:L66)</f>
        <v>0</v>
      </c>
      <c r="N71" s="117" t="s">
        <v>208</v>
      </c>
      <c r="O71" s="118">
        <f>IF(V20-第6期!V20=0,0,IF((V26-第6期!V26)/(V20-第6期!V20)&gt;=0,(V26-第6期!V26)/(V20-第6期!V20),-(V26-第6期!V26)/(V20-第6期!V20)))</f>
        <v>0</v>
      </c>
      <c r="P71" s="118">
        <f>IF(W20-第6期!W20=0,0,IF((W26-第6期!W26)/(W20-第6期!W20)&gt;=0,(W26-第6期!W26)/(W20-第6期!W20),-(W26-第6期!W26)/(W20-第6期!W20)))</f>
        <v>0</v>
      </c>
      <c r="Q71" s="118">
        <f>IF(X20-第6期!X20=0,0,IF((X26-第6期!X26)/(X20-第6期!X20)&gt;=0,(X26-第6期!X26)/(X20-第6期!X20),-(X26-第6期!X26)/(X20-第6期!X20)))</f>
        <v>0</v>
      </c>
      <c r="R71" s="118">
        <f>IF(Y20-第6期!Y20=0,0,IF((Y26-第6期!Y26)/(Y20-第6期!Y20)&gt;=0,(Y26-第6期!Y26)/(Y20-第6期!Y20),-(Y26-第6期!Y26)/(Y20-第6期!Y20)))</f>
        <v>0</v>
      </c>
      <c r="S71" s="74"/>
      <c r="T71" s="120"/>
      <c r="U71" s="74"/>
      <c r="V71" s="74"/>
      <c r="W71" s="74"/>
      <c r="X71" s="74"/>
      <c r="Y71" s="74"/>
      <c r="Z71" s="74"/>
      <c r="AA71" s="73"/>
      <c r="AB71" s="74"/>
      <c r="AC71" s="74"/>
      <c r="AD71" s="74"/>
      <c r="AE71" s="74"/>
      <c r="AF71" s="74"/>
      <c r="AG71" s="74"/>
      <c r="AH71" s="73"/>
      <c r="AI71" s="312"/>
      <c r="AJ71" s="304"/>
      <c r="AK71" s="304"/>
      <c r="AL71" s="304"/>
      <c r="AM71" s="304"/>
      <c r="AN71" s="304"/>
      <c r="AO71" s="304"/>
      <c r="AP71" s="304"/>
      <c r="AQ71" s="304"/>
      <c r="AR71" s="304"/>
      <c r="AS71" s="304"/>
      <c r="AT71" s="304"/>
      <c r="AU71" s="304"/>
      <c r="AV71" s="304"/>
      <c r="AW71" s="304"/>
      <c r="AX71" s="304"/>
      <c r="AY71" s="304"/>
      <c r="AZ71" s="63"/>
      <c r="BA71" s="318">
        <f t="shared" si="79"/>
        <v>0</v>
      </c>
      <c r="BB71" s="205">
        <f>IF(BT22=1,AL124/(第6期!AP124/2+AP124),0)</f>
        <v>0</v>
      </c>
      <c r="BC71" s="203"/>
      <c r="BD71" s="215">
        <f t="shared" si="80"/>
        <v>0</v>
      </c>
      <c r="BE71" s="209" t="e">
        <f t="shared" ref="BE71:BH73" si="90">BB48/$BE$31</f>
        <v>#DIV/0!</v>
      </c>
      <c r="BF71" s="209" t="e">
        <f t="shared" si="90"/>
        <v>#DIV/0!</v>
      </c>
      <c r="BG71" s="209" t="e">
        <f t="shared" si="90"/>
        <v>#DIV/0!</v>
      </c>
      <c r="BH71" s="209" t="e">
        <f t="shared" si="90"/>
        <v>#DIV/0!</v>
      </c>
      <c r="BI71" s="203"/>
      <c r="BJ71" s="203"/>
      <c r="BK71" s="203"/>
      <c r="BL71" s="203"/>
      <c r="BM71" s="203"/>
      <c r="BN71" s="203"/>
      <c r="BO71" s="203"/>
      <c r="BP71" s="203"/>
      <c r="BQ71" s="203"/>
      <c r="BR71" s="211"/>
      <c r="BS71" s="211"/>
      <c r="BT71" s="211"/>
      <c r="BU71" s="211"/>
      <c r="BV71" s="211"/>
      <c r="BW71" s="211"/>
      <c r="BX71" s="211"/>
      <c r="BY71" s="211"/>
      <c r="BZ71" s="211"/>
      <c r="CA71" s="211"/>
      <c r="CB71" s="211"/>
      <c r="CC71" s="211"/>
      <c r="CD71" s="211"/>
      <c r="CE71" s="211"/>
      <c r="CF71" s="211"/>
      <c r="CG71" s="211"/>
      <c r="CH71" s="211"/>
      <c r="CI71" s="211"/>
      <c r="CJ71" s="62"/>
    </row>
    <row r="72" s="61" customFormat="1" ht="16" customHeight="1" spans="1:88">
      <c r="A72" s="269" t="s">
        <v>699</v>
      </c>
      <c r="B72" s="77">
        <f>(SUM(AP13:AP16)+J56)*初始化表!F22</f>
        <v>0</v>
      </c>
      <c r="C72" s="77" t="e">
        <f t="shared" si="89"/>
        <v>#DIV/0!</v>
      </c>
      <c r="D72" s="327"/>
      <c r="E72" s="328" t="s">
        <v>457</v>
      </c>
      <c r="F72" s="236" t="e">
        <f>B77</f>
        <v>#DIV/0!</v>
      </c>
      <c r="G72" s="73"/>
      <c r="H72" s="275" t="str">
        <f t="shared" ref="H72:L76" si="91">U41</f>
        <v>本期待销</v>
      </c>
      <c r="I72" s="275" t="str">
        <f t="shared" si="91"/>
        <v>市场1</v>
      </c>
      <c r="J72" s="275" t="str">
        <f t="shared" si="91"/>
        <v>市场2</v>
      </c>
      <c r="K72" s="275" t="str">
        <f t="shared" si="91"/>
        <v>市场3</v>
      </c>
      <c r="L72" s="275" t="str">
        <f t="shared" si="91"/>
        <v>市场4</v>
      </c>
      <c r="M72" s="332" t="s">
        <v>700</v>
      </c>
      <c r="N72" s="117" t="s">
        <v>720</v>
      </c>
      <c r="O72" s="117" t="s">
        <v>38</v>
      </c>
      <c r="P72" s="117" t="s">
        <v>39</v>
      </c>
      <c r="Q72" s="117" t="s">
        <v>40</v>
      </c>
      <c r="R72" s="117" t="s">
        <v>41</v>
      </c>
      <c r="S72" s="117" t="s">
        <v>721</v>
      </c>
      <c r="T72" s="120"/>
      <c r="U72" s="68" t="s">
        <v>656</v>
      </c>
      <c r="V72" s="68" t="s">
        <v>459</v>
      </c>
      <c r="W72" s="68" t="s">
        <v>460</v>
      </c>
      <c r="X72" s="68" t="s">
        <v>461</v>
      </c>
      <c r="Y72" s="68" t="s">
        <v>462</v>
      </c>
      <c r="Z72" s="249"/>
      <c r="AA72" s="254"/>
      <c r="AB72" s="249"/>
      <c r="AC72" s="68" t="s">
        <v>673</v>
      </c>
      <c r="AD72" s="68" t="s">
        <v>459</v>
      </c>
      <c r="AE72" s="68" t="s">
        <v>460</v>
      </c>
      <c r="AF72" s="68" t="s">
        <v>461</v>
      </c>
      <c r="AG72" s="68" t="s">
        <v>462</v>
      </c>
      <c r="AH72" s="73"/>
      <c r="AI72" s="312"/>
      <c r="AJ72" s="304"/>
      <c r="AK72" s="304"/>
      <c r="AL72" s="304"/>
      <c r="AM72" s="304"/>
      <c r="AN72" s="304"/>
      <c r="AO72" s="304"/>
      <c r="AP72" s="304"/>
      <c r="AQ72" s="304"/>
      <c r="AR72" s="304"/>
      <c r="AS72" s="304"/>
      <c r="AT72" s="304"/>
      <c r="AU72" s="304"/>
      <c r="AV72" s="304"/>
      <c r="AW72" s="304"/>
      <c r="AX72" s="304"/>
      <c r="AY72" s="304"/>
      <c r="AZ72" s="63"/>
      <c r="BA72" s="318">
        <f t="shared" si="79"/>
        <v>0</v>
      </c>
      <c r="BB72" s="205">
        <f>IF(BT23=1,AL125/(第6期!AP125/2+AP125),0)</f>
        <v>0</v>
      </c>
      <c r="BC72" s="203"/>
      <c r="BD72" s="215">
        <f t="shared" si="80"/>
        <v>0</v>
      </c>
      <c r="BE72" s="209" t="e">
        <f t="shared" si="90"/>
        <v>#DIV/0!</v>
      </c>
      <c r="BF72" s="209" t="e">
        <f t="shared" si="90"/>
        <v>#DIV/0!</v>
      </c>
      <c r="BG72" s="209" t="e">
        <f t="shared" si="90"/>
        <v>#DIV/0!</v>
      </c>
      <c r="BH72" s="209" t="e">
        <f t="shared" si="90"/>
        <v>#DIV/0!</v>
      </c>
      <c r="BI72" s="203"/>
      <c r="BJ72" s="203"/>
      <c r="BK72" s="203"/>
      <c r="BL72" s="203"/>
      <c r="BM72" s="203"/>
      <c r="BN72" s="203"/>
      <c r="BO72" s="203"/>
      <c r="BP72" s="203"/>
      <c r="BQ72" s="203"/>
      <c r="BR72" s="211"/>
      <c r="BS72" s="211"/>
      <c r="BT72" s="211"/>
      <c r="BU72" s="211"/>
      <c r="BV72" s="211"/>
      <c r="BW72" s="211"/>
      <c r="BX72" s="211"/>
      <c r="BY72" s="211"/>
      <c r="BZ72" s="211"/>
      <c r="CA72" s="211"/>
      <c r="CB72" s="211"/>
      <c r="CC72" s="211"/>
      <c r="CD72" s="211"/>
      <c r="CE72" s="211"/>
      <c r="CF72" s="211"/>
      <c r="CG72" s="211"/>
      <c r="CH72" s="211"/>
      <c r="CI72" s="211"/>
      <c r="CJ72" s="62"/>
    </row>
    <row r="73" s="61" customFormat="1" ht="16" customHeight="1" spans="1:88">
      <c r="A73" s="269" t="s">
        <v>701</v>
      </c>
      <c r="B73" s="77">
        <f>(SUM(AP17:AP20)+K56)*初始化表!G22</f>
        <v>0</v>
      </c>
      <c r="C73" s="77" t="e">
        <f t="shared" si="89"/>
        <v>#DIV/0!</v>
      </c>
      <c r="D73" s="327"/>
      <c r="E73" s="328" t="s">
        <v>463</v>
      </c>
      <c r="F73" s="236">
        <f>MAX(P33-B24,0)</f>
        <v>0</v>
      </c>
      <c r="G73" s="73"/>
      <c r="H73" s="275" t="str">
        <f t="shared" si="91"/>
        <v>产品1</v>
      </c>
      <c r="I73" s="77">
        <f t="shared" si="91"/>
        <v>0</v>
      </c>
      <c r="J73" s="77">
        <f t="shared" si="91"/>
        <v>0</v>
      </c>
      <c r="K73" s="77">
        <f t="shared" si="91"/>
        <v>0</v>
      </c>
      <c r="L73" s="77">
        <f t="shared" si="91"/>
        <v>0</v>
      </c>
      <c r="M73" s="334" t="e">
        <f>INT((M68-Z5)/初始化表!$B$4)</f>
        <v>#DIV/0!</v>
      </c>
      <c r="N73" s="117" t="s">
        <v>198</v>
      </c>
      <c r="O73" s="244">
        <f>V42-IF(V17=0,第6期!I73,V17)</f>
        <v>0</v>
      </c>
      <c r="P73" s="244">
        <f>W42-IF(W17=0,第6期!J73,W17)</f>
        <v>0</v>
      </c>
      <c r="Q73" s="244">
        <f>X42-IF(X17=0,第6期!K73,X17)</f>
        <v>0</v>
      </c>
      <c r="R73" s="244">
        <f>Y42-IF(Y17=0,第6期!L73,Y17)</f>
        <v>0</v>
      </c>
      <c r="S73" s="244">
        <f>IF(I85=0,0,ABS(P85-O85)/ABS(I85-J85))</f>
        <v>0</v>
      </c>
      <c r="T73" s="120"/>
      <c r="U73" s="68" t="s">
        <v>464</v>
      </c>
      <c r="V73" s="341" t="e">
        <f t="shared" ref="V73:V76" si="92">INT(IF(IF(B6&lt;V23,(1+((V23-B6)/V23+O10)*15)*IF($F17&gt;$L6,1.1,1)*V17,(1+((V23-B6)/V23+O10)*5)*IF($F17&gt;$L6,1.1,1)*V17)&gt;0,IF(B6&lt;V23,(1+((V23-B6)/V23+O10)*15)*IF($F17&gt;$L6,1.1,1)*V17,(1+((V23-B6)/V23+O10)*5)*IF($F17&gt;$L6,1.1,1)*V17),0))</f>
        <v>#DIV/0!</v>
      </c>
      <c r="W73" s="341" t="e">
        <f t="shared" ref="W73:W76" si="93">INT(IF(IF(C6&lt;W23,(1+((W23-C6)/W23+P10)*15)*IF($F17&gt;$L6,1.1,1)*W17,(1+((W23-C6)/W23+P10)*5)*IF($F17&gt;$L6,1.1,1)*W17)&gt;0,IF(C6&lt;W23,(1+((W23-C6)/W23+P10)*15)*IF($F17&gt;$L6,1.1,1)*W17,(1+((W23-C6)/W23+P10)*5)*IF($F17&gt;$L6,1.1,1)*W17),0))</f>
        <v>#DIV/0!</v>
      </c>
      <c r="X73" s="341" t="e">
        <f t="shared" ref="X73:X76" si="94">INT(IF(IF(D6&lt;X23,(1+((X23-D6)/X23+Q10)*15)*IF($F17&gt;$L6,1.1,1)*X17,(1+((X23-D6)/X23+Q10)*5)*IF($F17&gt;$L6,1.1,1)*X17)&gt;0,IF(D6&lt;X23,(1+((X23-D6)/X23+Q10)*15)*IF($F17&gt;$L6,1.1,1)*X17,(1+((X23-D6)/X23+Q10)*5)*IF($F17&gt;$L6,1.1,1)*X17),0))</f>
        <v>#DIV/0!</v>
      </c>
      <c r="Y73" s="341" t="e">
        <f t="shared" ref="Y73:Y76" si="95">INT(IF(IF(E6&lt;Y23,(1+((Y23-E6)/Y23+R10)*15)*IF($F17&gt;$L6,1.1,1)*Y17,(1+((Y23-E6)/Y23+R10)*5)*IF($F17&gt;$L6,1.1,1)*Y17)&gt;0,IF(E6&lt;Y23,(1+((Y23-E6)/Y23+R10)*15)*IF($F17&gt;$L6,1.1,1)*Y17,(1+((Y23-E6)/Y23+R10)*5)*IF($F17&gt;$L6,1.1,1)*Y17),0))</f>
        <v>#DIV/0!</v>
      </c>
      <c r="Z73" s="249"/>
      <c r="AA73" s="254"/>
      <c r="AB73" s="249"/>
      <c r="AC73" s="68" t="s">
        <v>464</v>
      </c>
      <c r="AD73" s="341" t="e">
        <f t="shared" ref="AD73:AG73" si="96">IF(V42&gt;V73,V42-V73,0)</f>
        <v>#DIV/0!</v>
      </c>
      <c r="AE73" s="341" t="e">
        <f t="shared" si="96"/>
        <v>#DIV/0!</v>
      </c>
      <c r="AF73" s="341" t="e">
        <f t="shared" si="96"/>
        <v>#DIV/0!</v>
      </c>
      <c r="AG73" s="341" t="e">
        <f t="shared" si="96"/>
        <v>#DIV/0!</v>
      </c>
      <c r="AH73" s="73"/>
      <c r="AI73" s="312"/>
      <c r="AJ73" s="304"/>
      <c r="AK73" s="304"/>
      <c r="AL73" s="304"/>
      <c r="AM73" s="304"/>
      <c r="AN73" s="304"/>
      <c r="AO73" s="304"/>
      <c r="AP73" s="304"/>
      <c r="AQ73" s="304"/>
      <c r="AR73" s="304"/>
      <c r="AS73" s="304"/>
      <c r="AT73" s="304"/>
      <c r="AU73" s="304"/>
      <c r="AV73" s="304"/>
      <c r="AW73" s="304"/>
      <c r="AX73" s="304"/>
      <c r="AY73" s="304"/>
      <c r="AZ73" s="63"/>
      <c r="BA73" s="318">
        <f t="shared" si="79"/>
        <v>0</v>
      </c>
      <c r="BB73" s="205">
        <f>IF(BT24=1,AL126/(第6期!AP126/2+AP126),0)</f>
        <v>0</v>
      </c>
      <c r="BC73" s="203"/>
      <c r="BD73" s="215">
        <f t="shared" si="80"/>
        <v>0</v>
      </c>
      <c r="BE73" s="209" t="e">
        <f t="shared" si="90"/>
        <v>#DIV/0!</v>
      </c>
      <c r="BF73" s="209" t="e">
        <f t="shared" si="90"/>
        <v>#DIV/0!</v>
      </c>
      <c r="BG73" s="209" t="e">
        <f t="shared" si="90"/>
        <v>#DIV/0!</v>
      </c>
      <c r="BH73" s="209" t="e">
        <f t="shared" si="90"/>
        <v>#DIV/0!</v>
      </c>
      <c r="BI73" s="203"/>
      <c r="BJ73" s="203"/>
      <c r="BK73" s="203"/>
      <c r="BL73" s="203"/>
      <c r="BM73" s="203"/>
      <c r="BN73" s="203"/>
      <c r="BO73" s="203"/>
      <c r="BP73" s="203"/>
      <c r="BQ73" s="203"/>
      <c r="BR73" s="211"/>
      <c r="BS73" s="211"/>
      <c r="BT73" s="211"/>
      <c r="BU73" s="211"/>
      <c r="BV73" s="211"/>
      <c r="BW73" s="211"/>
      <c r="BX73" s="211"/>
      <c r="BY73" s="211"/>
      <c r="BZ73" s="211"/>
      <c r="CA73" s="211"/>
      <c r="CB73" s="211"/>
      <c r="CC73" s="211"/>
      <c r="CD73" s="211"/>
      <c r="CE73" s="211"/>
      <c r="CF73" s="211"/>
      <c r="CG73" s="211"/>
      <c r="CH73" s="211"/>
      <c r="CI73" s="211"/>
      <c r="CJ73" s="62"/>
    </row>
    <row r="74" s="61" customFormat="1" ht="16" customHeight="1" spans="1:88">
      <c r="A74" s="269" t="s">
        <v>702</v>
      </c>
      <c r="B74" s="77">
        <f>(SUM(AP21:AP24)+L56)*初始化表!H22</f>
        <v>0</v>
      </c>
      <c r="C74" s="77" t="e">
        <f t="shared" si="89"/>
        <v>#DIV/0!</v>
      </c>
      <c r="D74" s="327"/>
      <c r="E74" s="328" t="s">
        <v>703</v>
      </c>
      <c r="F74" s="236">
        <f>D24</f>
        <v>0</v>
      </c>
      <c r="G74" s="73"/>
      <c r="H74" s="275" t="str">
        <f t="shared" si="91"/>
        <v>产品2</v>
      </c>
      <c r="I74" s="77">
        <f t="shared" si="91"/>
        <v>0</v>
      </c>
      <c r="J74" s="77">
        <f t="shared" si="91"/>
        <v>0</v>
      </c>
      <c r="K74" s="77">
        <f t="shared" si="91"/>
        <v>0</v>
      </c>
      <c r="L74" s="77">
        <f t="shared" si="91"/>
        <v>0</v>
      </c>
      <c r="M74" s="334" t="e">
        <f>INT((M69-Z6)/初始化表!$B$4)</f>
        <v>#DIV/0!</v>
      </c>
      <c r="N74" s="117" t="s">
        <v>202</v>
      </c>
      <c r="O74" s="244">
        <f>V43-IF(V18=0,第6期!I74,V18)</f>
        <v>0</v>
      </c>
      <c r="P74" s="244">
        <f>W43-IF(W18=0,第6期!J74,W18)</f>
        <v>0</v>
      </c>
      <c r="Q74" s="244">
        <f>X43-IF(X18=0,第6期!K74,X18)</f>
        <v>0</v>
      </c>
      <c r="R74" s="244">
        <f>Y43-IF(Y18=0,第6期!L74,Y18)</f>
        <v>0</v>
      </c>
      <c r="S74" s="244">
        <f>IF(I86=0,0,ABS(P86-O86)/ABS(I86-J86))</f>
        <v>0</v>
      </c>
      <c r="T74" s="120"/>
      <c r="U74" s="68" t="s">
        <v>465</v>
      </c>
      <c r="V74" s="341" t="e">
        <f t="shared" si="92"/>
        <v>#DIV/0!</v>
      </c>
      <c r="W74" s="341" t="e">
        <f t="shared" si="93"/>
        <v>#DIV/0!</v>
      </c>
      <c r="X74" s="341" t="e">
        <f t="shared" si="94"/>
        <v>#DIV/0!</v>
      </c>
      <c r="Y74" s="341" t="e">
        <f t="shared" si="95"/>
        <v>#DIV/0!</v>
      </c>
      <c r="Z74" s="249"/>
      <c r="AA74" s="254"/>
      <c r="AB74" s="249"/>
      <c r="AC74" s="68" t="s">
        <v>465</v>
      </c>
      <c r="AD74" s="341" t="e">
        <f t="shared" ref="AD74:AG74" si="97">IF(V43&gt;V74,V43-V74,0)</f>
        <v>#DIV/0!</v>
      </c>
      <c r="AE74" s="341" t="e">
        <f t="shared" si="97"/>
        <v>#DIV/0!</v>
      </c>
      <c r="AF74" s="341" t="e">
        <f t="shared" si="97"/>
        <v>#DIV/0!</v>
      </c>
      <c r="AG74" s="341" t="e">
        <f t="shared" si="97"/>
        <v>#DIV/0!</v>
      </c>
      <c r="AH74" s="73"/>
      <c r="AI74" s="312"/>
      <c r="AJ74" s="304"/>
      <c r="AK74" s="304"/>
      <c r="AL74" s="304"/>
      <c r="AM74" s="304"/>
      <c r="AN74" s="304"/>
      <c r="AO74" s="304"/>
      <c r="AP74" s="304"/>
      <c r="AQ74" s="304"/>
      <c r="AR74" s="304"/>
      <c r="AS74" s="304"/>
      <c r="AT74" s="304"/>
      <c r="AU74" s="304"/>
      <c r="AV74" s="304"/>
      <c r="AW74" s="304"/>
      <c r="AX74" s="304"/>
      <c r="AY74" s="304"/>
      <c r="AZ74" s="63"/>
      <c r="BR74" s="62"/>
      <c r="BS74" s="62"/>
      <c r="BT74" s="62"/>
      <c r="BU74" s="62"/>
      <c r="BV74" s="62"/>
      <c r="BW74" s="62"/>
      <c r="BX74" s="62"/>
      <c r="BY74" s="62"/>
      <c r="BZ74" s="62"/>
      <c r="CA74" s="62"/>
      <c r="CB74" s="62"/>
      <c r="CC74" s="62"/>
      <c r="CD74" s="62"/>
      <c r="CE74" s="62"/>
      <c r="CF74" s="62"/>
      <c r="CG74" s="62"/>
      <c r="CH74" s="62"/>
      <c r="CI74" s="62"/>
      <c r="CJ74" s="62"/>
    </row>
    <row r="75" s="61" customFormat="1" ht="16" customHeight="1" spans="1:88">
      <c r="A75" s="269" t="s">
        <v>442</v>
      </c>
      <c r="B75" s="77">
        <f>SUM(F17:F20)/2</f>
        <v>0</v>
      </c>
      <c r="C75" s="77" t="e">
        <f t="shared" si="89"/>
        <v>#DIV/0!</v>
      </c>
      <c r="D75" s="327"/>
      <c r="E75" s="328" t="s">
        <v>704</v>
      </c>
      <c r="F75" s="236">
        <f>B78</f>
        <v>0</v>
      </c>
      <c r="G75" s="73"/>
      <c r="H75" s="275" t="str">
        <f t="shared" si="91"/>
        <v>产品3</v>
      </c>
      <c r="I75" s="77">
        <f t="shared" si="91"/>
        <v>0</v>
      </c>
      <c r="J75" s="77">
        <f t="shared" si="91"/>
        <v>0</v>
      </c>
      <c r="K75" s="77">
        <f t="shared" si="91"/>
        <v>0</v>
      </c>
      <c r="L75" s="77">
        <f t="shared" si="91"/>
        <v>0</v>
      </c>
      <c r="M75" s="334" t="e">
        <f>INT((M70-Z7)/初始化表!$B$4)</f>
        <v>#DIV/0!</v>
      </c>
      <c r="N75" s="117" t="s">
        <v>206</v>
      </c>
      <c r="O75" s="244">
        <f>V44-IF(V19=0,第6期!I75,V19)</f>
        <v>0</v>
      </c>
      <c r="P75" s="244">
        <f>W44-IF(W19=0,第6期!J75,W19)</f>
        <v>0</v>
      </c>
      <c r="Q75" s="244">
        <f>X44-IF(X19=0,第6期!K75,X19)</f>
        <v>0</v>
      </c>
      <c r="R75" s="244">
        <f>Y44-IF(Y19=0,第6期!L75,Y19)</f>
        <v>0</v>
      </c>
      <c r="S75" s="244">
        <f t="shared" ref="S75:S76" si="98">IF(I87=0,0,ABS(P87-O87)/ABS(I87-J87))</f>
        <v>0</v>
      </c>
      <c r="T75" s="120"/>
      <c r="U75" s="68" t="s">
        <v>466</v>
      </c>
      <c r="V75" s="341" t="e">
        <f t="shared" si="92"/>
        <v>#DIV/0!</v>
      </c>
      <c r="W75" s="341" t="e">
        <f t="shared" si="93"/>
        <v>#DIV/0!</v>
      </c>
      <c r="X75" s="341" t="e">
        <f t="shared" si="94"/>
        <v>#DIV/0!</v>
      </c>
      <c r="Y75" s="341" t="e">
        <f t="shared" si="95"/>
        <v>#DIV/0!</v>
      </c>
      <c r="Z75" s="249"/>
      <c r="AA75" s="254"/>
      <c r="AB75" s="249"/>
      <c r="AC75" s="68" t="s">
        <v>466</v>
      </c>
      <c r="AD75" s="341" t="e">
        <f t="shared" ref="AD75:AG75" si="99">IF(V44&gt;V75,V44-V75,0)</f>
        <v>#DIV/0!</v>
      </c>
      <c r="AE75" s="341" t="e">
        <f t="shared" si="99"/>
        <v>#DIV/0!</v>
      </c>
      <c r="AF75" s="341" t="e">
        <f t="shared" si="99"/>
        <v>#DIV/0!</v>
      </c>
      <c r="AG75" s="341" t="e">
        <f t="shared" si="99"/>
        <v>#DIV/0!</v>
      </c>
      <c r="AH75" s="73"/>
      <c r="AI75" s="312"/>
      <c r="AJ75" s="304"/>
      <c r="AK75" s="304"/>
      <c r="AL75" s="304"/>
      <c r="AM75" s="304"/>
      <c r="AN75" s="304"/>
      <c r="AO75" s="304"/>
      <c r="AP75" s="304"/>
      <c r="AQ75" s="304"/>
      <c r="AR75" s="304"/>
      <c r="AS75" s="304"/>
      <c r="AT75" s="304"/>
      <c r="AU75" s="304"/>
      <c r="AV75" s="304"/>
      <c r="AW75" s="304"/>
      <c r="AX75" s="304"/>
      <c r="AY75" s="304"/>
      <c r="AZ75" s="63"/>
      <c r="BR75" s="62"/>
      <c r="BS75" s="62"/>
      <c r="BT75" s="62"/>
      <c r="BU75" s="62"/>
      <c r="BV75" s="62"/>
      <c r="BW75" s="62"/>
      <c r="BX75" s="62"/>
      <c r="BY75" s="62"/>
      <c r="BZ75" s="62"/>
      <c r="CA75" s="62"/>
      <c r="CB75" s="62"/>
      <c r="CC75" s="62"/>
      <c r="CD75" s="62"/>
      <c r="CE75" s="62"/>
      <c r="CF75" s="62"/>
      <c r="CG75" s="62"/>
      <c r="CH75" s="62"/>
      <c r="CI75" s="62"/>
      <c r="CJ75" s="62"/>
    </row>
    <row r="76" s="61" customFormat="1" ht="16" customHeight="1" spans="1:88">
      <c r="A76" s="269" t="s">
        <v>443</v>
      </c>
      <c r="B76" s="77" t="e">
        <f>O49*初始化表!B8</f>
        <v>#DIV/0!</v>
      </c>
      <c r="C76" s="77" t="e">
        <f t="shared" si="89"/>
        <v>#DIV/0!</v>
      </c>
      <c r="D76" s="327"/>
      <c r="E76" s="328" t="s">
        <v>467</v>
      </c>
      <c r="F76" s="236">
        <f>SUM(I6:I9,F17:F20)</f>
        <v>0</v>
      </c>
      <c r="G76" s="73"/>
      <c r="H76" s="275" t="str">
        <f t="shared" si="91"/>
        <v>产品4</v>
      </c>
      <c r="I76" s="77">
        <f t="shared" si="91"/>
        <v>0</v>
      </c>
      <c r="J76" s="77">
        <f t="shared" si="91"/>
        <v>0</v>
      </c>
      <c r="K76" s="77">
        <f t="shared" si="91"/>
        <v>0</v>
      </c>
      <c r="L76" s="77">
        <f t="shared" si="91"/>
        <v>0</v>
      </c>
      <c r="M76" s="334" t="e">
        <f>INT((M71-Z8)/初始化表!$B$4)</f>
        <v>#DIV/0!</v>
      </c>
      <c r="N76" s="117" t="s">
        <v>208</v>
      </c>
      <c r="O76" s="244">
        <f>V45-IF(V20=0,第6期!I76,V20)</f>
        <v>0</v>
      </c>
      <c r="P76" s="244">
        <f>W45-IF(W20=0,第6期!J76,W20)</f>
        <v>0</v>
      </c>
      <c r="Q76" s="244">
        <f>X45-IF(X20=0,第6期!K76,X20)</f>
        <v>0</v>
      </c>
      <c r="R76" s="244">
        <f>Y45-IF(Y20=0,第6期!L76,Y20)</f>
        <v>0</v>
      </c>
      <c r="S76" s="244">
        <f t="shared" si="98"/>
        <v>0</v>
      </c>
      <c r="T76" s="120"/>
      <c r="U76" s="68" t="s">
        <v>468</v>
      </c>
      <c r="V76" s="341" t="e">
        <f t="shared" si="92"/>
        <v>#DIV/0!</v>
      </c>
      <c r="W76" s="341" t="e">
        <f t="shared" si="93"/>
        <v>#DIV/0!</v>
      </c>
      <c r="X76" s="341" t="e">
        <f t="shared" si="94"/>
        <v>#DIV/0!</v>
      </c>
      <c r="Y76" s="341" t="e">
        <f t="shared" si="95"/>
        <v>#DIV/0!</v>
      </c>
      <c r="Z76" s="249"/>
      <c r="AA76" s="254"/>
      <c r="AB76" s="249"/>
      <c r="AC76" s="68" t="s">
        <v>468</v>
      </c>
      <c r="AD76" s="341" t="e">
        <f t="shared" ref="AD76:AG76" si="100">IF(V45&gt;V76,V45-V76,0)</f>
        <v>#DIV/0!</v>
      </c>
      <c r="AE76" s="341" t="e">
        <f t="shared" si="100"/>
        <v>#DIV/0!</v>
      </c>
      <c r="AF76" s="341" t="e">
        <f t="shared" si="100"/>
        <v>#DIV/0!</v>
      </c>
      <c r="AG76" s="341" t="e">
        <f t="shared" si="100"/>
        <v>#DIV/0!</v>
      </c>
      <c r="AH76" s="73"/>
      <c r="AI76" s="312"/>
      <c r="AJ76" s="304"/>
      <c r="AK76" s="304"/>
      <c r="AL76" s="304"/>
      <c r="AM76" s="304"/>
      <c r="AN76" s="304"/>
      <c r="AO76" s="304"/>
      <c r="AP76" s="304"/>
      <c r="AQ76" s="304"/>
      <c r="AR76" s="304"/>
      <c r="AS76" s="304"/>
      <c r="AT76" s="304"/>
      <c r="AU76" s="304"/>
      <c r="AV76" s="304"/>
      <c r="AW76" s="304"/>
      <c r="AX76" s="304"/>
      <c r="AY76" s="304"/>
      <c r="AZ76" s="63"/>
      <c r="BR76" s="62"/>
      <c r="BS76" s="62"/>
      <c r="BT76" s="62"/>
      <c r="BU76" s="62"/>
      <c r="BV76" s="62"/>
      <c r="BW76" s="62"/>
      <c r="BX76" s="62"/>
      <c r="BY76" s="62"/>
      <c r="BZ76" s="62"/>
      <c r="CA76" s="62"/>
      <c r="CB76" s="62"/>
      <c r="CC76" s="62"/>
      <c r="CD76" s="62"/>
      <c r="CE76" s="62"/>
      <c r="CF76" s="62"/>
      <c r="CG76" s="62"/>
      <c r="CH76" s="62"/>
      <c r="CI76" s="62"/>
      <c r="CJ76" s="62"/>
    </row>
    <row r="77" s="61" customFormat="1" ht="16" customHeight="1" spans="1:88">
      <c r="A77" s="269" t="s">
        <v>444</v>
      </c>
      <c r="B77" s="77" t="e">
        <f>第6期!B77-C51</f>
        <v>#DIV/0!</v>
      </c>
      <c r="C77" s="77" t="e">
        <f>C76-B77</f>
        <v>#DIV/0!</v>
      </c>
      <c r="D77" s="327"/>
      <c r="E77" s="328" t="s">
        <v>255</v>
      </c>
      <c r="F77" s="236" t="e">
        <f>D56-E60</f>
        <v>#DIV/0!</v>
      </c>
      <c r="G77" s="73"/>
      <c r="H77" s="273" t="s">
        <v>788</v>
      </c>
      <c r="I77" s="273"/>
      <c r="J77" s="273"/>
      <c r="K77" s="273"/>
      <c r="L77" s="273"/>
      <c r="M77" s="289" t="s">
        <v>723</v>
      </c>
      <c r="N77" s="117" t="s">
        <v>730</v>
      </c>
      <c r="O77" s="117" t="s">
        <v>38</v>
      </c>
      <c r="P77" s="117" t="s">
        <v>39</v>
      </c>
      <c r="Q77" s="117" t="s">
        <v>40</v>
      </c>
      <c r="R77" s="117" t="s">
        <v>41</v>
      </c>
      <c r="S77" s="245" t="s">
        <v>747</v>
      </c>
      <c r="T77" s="120"/>
      <c r="U77" s="249"/>
      <c r="V77" s="249"/>
      <c r="W77" s="249"/>
      <c r="X77" s="249"/>
      <c r="Y77" s="249"/>
      <c r="Z77" s="249"/>
      <c r="AA77" s="254"/>
      <c r="AB77" s="249"/>
      <c r="AC77" s="249"/>
      <c r="AD77" s="249"/>
      <c r="AE77" s="249"/>
      <c r="AF77" s="249"/>
      <c r="AG77" s="249"/>
      <c r="AH77" s="73"/>
      <c r="AI77" s="312"/>
      <c r="AJ77" s="304"/>
      <c r="AK77" s="304"/>
      <c r="AL77" s="304"/>
      <c r="AM77" s="304"/>
      <c r="AN77" s="304"/>
      <c r="AO77" s="304"/>
      <c r="AP77" s="304"/>
      <c r="AQ77" s="304"/>
      <c r="AR77" s="304"/>
      <c r="AS77" s="304"/>
      <c r="AT77" s="304"/>
      <c r="AU77" s="304"/>
      <c r="AV77" s="304"/>
      <c r="AW77" s="304"/>
      <c r="AX77" s="304"/>
      <c r="AY77" s="304"/>
      <c r="AZ77" s="63"/>
      <c r="BR77" s="62"/>
      <c r="BS77" s="62"/>
      <c r="BT77" s="62"/>
      <c r="BU77" s="62"/>
      <c r="BV77" s="62"/>
      <c r="BX77" s="351"/>
      <c r="BY77" s="62"/>
      <c r="BZ77" s="62"/>
      <c r="CA77" s="62"/>
      <c r="CB77" s="62"/>
      <c r="CC77" s="62"/>
      <c r="CD77" s="62"/>
      <c r="CE77" s="62"/>
      <c r="CF77" s="62"/>
      <c r="CG77" s="62"/>
      <c r="CH77" s="62"/>
      <c r="CI77" s="62"/>
      <c r="CJ77" s="62"/>
    </row>
    <row r="78" s="61" customFormat="1" ht="16" customHeight="1" spans="1:88">
      <c r="A78" s="269" t="s">
        <v>310</v>
      </c>
      <c r="B78" s="71">
        <f>O35+C24+C31</f>
        <v>0</v>
      </c>
      <c r="C78" s="71" t="e">
        <f>C77-B78</f>
        <v>#DIV/0!</v>
      </c>
      <c r="D78" s="327"/>
      <c r="E78" s="328" t="s">
        <v>469</v>
      </c>
      <c r="F78" s="236" t="e">
        <f>-C61</f>
        <v>#DIV/0!</v>
      </c>
      <c r="G78" s="73"/>
      <c r="H78" s="273" t="s">
        <v>776</v>
      </c>
      <c r="I78" s="77" t="e">
        <f>第6期!BN42</f>
        <v>#DIV/0!</v>
      </c>
      <c r="J78" s="77" t="e">
        <f>第6期!BO42</f>
        <v>#DIV/0!</v>
      </c>
      <c r="K78" s="77" t="e">
        <f>第6期!BP42</f>
        <v>#DIV/0!</v>
      </c>
      <c r="L78" s="77" t="e">
        <f>第6期!BQ42</f>
        <v>#DIV/0!</v>
      </c>
      <c r="M78" s="334" t="e">
        <f>SUM(I78:L78)</f>
        <v>#DIV/0!</v>
      </c>
      <c r="N78" s="117" t="s">
        <v>198</v>
      </c>
      <c r="O78" s="244" t="e">
        <f>V23-O68*(O73-IF($J6&gt;0,10,0))</f>
        <v>#DIV/0!</v>
      </c>
      <c r="P78" s="244" t="e">
        <f t="shared" ref="P78:R79" si="101">W23-P68*(P73-IF($J6&gt;0,10,0))</f>
        <v>#DIV/0!</v>
      </c>
      <c r="Q78" s="244" t="e">
        <f t="shared" si="101"/>
        <v>#DIV/0!</v>
      </c>
      <c r="R78" s="244" t="e">
        <f t="shared" si="101"/>
        <v>#DIV/0!</v>
      </c>
      <c r="S78" s="342">
        <f>SUM(第6期!AY107:AY126)</f>
        <v>0</v>
      </c>
      <c r="T78" s="120"/>
      <c r="U78" s="68" t="s">
        <v>682</v>
      </c>
      <c r="V78" s="68" t="s">
        <v>38</v>
      </c>
      <c r="W78" s="68" t="s">
        <v>39</v>
      </c>
      <c r="X78" s="68" t="s">
        <v>40</v>
      </c>
      <c r="Y78" s="68" t="s">
        <v>41</v>
      </c>
      <c r="Z78" s="249"/>
      <c r="AA78" s="254"/>
      <c r="AB78" s="249"/>
      <c r="AC78" s="249"/>
      <c r="AD78" s="249"/>
      <c r="AE78" s="249"/>
      <c r="AF78" s="249"/>
      <c r="AG78" s="249"/>
      <c r="AH78" s="73"/>
      <c r="AI78" s="312"/>
      <c r="AJ78" s="304"/>
      <c r="AK78" s="304"/>
      <c r="AL78" s="304"/>
      <c r="AM78" s="304"/>
      <c r="AN78" s="304"/>
      <c r="AO78" s="304"/>
      <c r="AP78" s="304"/>
      <c r="AQ78" s="304"/>
      <c r="AR78" s="304"/>
      <c r="AS78" s="304"/>
      <c r="AT78" s="304"/>
      <c r="AU78" s="304"/>
      <c r="AV78" s="304"/>
      <c r="AW78" s="304"/>
      <c r="AX78" s="304"/>
      <c r="AY78" s="304"/>
      <c r="AZ78" s="63"/>
      <c r="BR78" s="62"/>
      <c r="BS78" s="62"/>
      <c r="BT78" s="62"/>
      <c r="BU78" s="62"/>
      <c r="BV78" s="62"/>
      <c r="BW78" s="62"/>
      <c r="BX78" s="62"/>
      <c r="BY78" s="62"/>
      <c r="BZ78" s="62"/>
      <c r="CA78" s="62"/>
      <c r="CB78" s="62"/>
      <c r="CC78" s="62"/>
      <c r="CD78" s="62"/>
      <c r="CE78" s="62"/>
      <c r="CF78" s="62"/>
      <c r="CG78" s="62"/>
      <c r="CH78" s="62"/>
      <c r="CI78" s="62"/>
      <c r="CJ78" s="62"/>
    </row>
    <row r="79" s="61" customFormat="1" ht="16" customHeight="1" spans="1:88">
      <c r="A79" s="269" t="s">
        <v>446</v>
      </c>
      <c r="B79" s="77">
        <f>-C62</f>
        <v>0</v>
      </c>
      <c r="C79" s="77" t="e">
        <f>C78+B79</f>
        <v>#DIV/0!</v>
      </c>
      <c r="D79" s="327"/>
      <c r="E79" s="328" t="s">
        <v>470</v>
      </c>
      <c r="F79" s="236" t="e">
        <f>第6期!F79*(1+初始化表!B27/4)+F78</f>
        <v>#DIV/0!</v>
      </c>
      <c r="G79" s="73"/>
      <c r="H79" s="273" t="s">
        <v>777</v>
      </c>
      <c r="I79" s="77" t="e">
        <f>第6期!BN43</f>
        <v>#DIV/0!</v>
      </c>
      <c r="J79" s="77" t="e">
        <f>第6期!BO43</f>
        <v>#DIV/0!</v>
      </c>
      <c r="K79" s="77" t="e">
        <f>第6期!BP43</f>
        <v>#DIV/0!</v>
      </c>
      <c r="L79" s="77" t="e">
        <f>第6期!BQ43</f>
        <v>#DIV/0!</v>
      </c>
      <c r="M79" s="334" t="e">
        <f>SUM(I79:L79)</f>
        <v>#DIV/0!</v>
      </c>
      <c r="N79" s="117" t="s">
        <v>202</v>
      </c>
      <c r="O79" s="244" t="e">
        <f t="shared" ref="O79" si="102">V24-O69*(O74-IF($J7&gt;0,10,0))</f>
        <v>#DIV/0!</v>
      </c>
      <c r="P79" s="244" t="e">
        <f t="shared" si="101"/>
        <v>#DIV/0!</v>
      </c>
      <c r="Q79" s="244" t="e">
        <f t="shared" si="101"/>
        <v>#DIV/0!</v>
      </c>
      <c r="R79" s="244" t="e">
        <f t="shared" si="101"/>
        <v>#DIV/0!</v>
      </c>
      <c r="S79" s="74"/>
      <c r="T79" s="120"/>
      <c r="U79" s="68" t="s">
        <v>198</v>
      </c>
      <c r="V79" s="341" t="e">
        <f>IF(V73&gt;V42,INT((V73-V42)*初始化表!E11),0)</f>
        <v>#DIV/0!</v>
      </c>
      <c r="W79" s="341" t="e">
        <f>IF(W73&gt;W42,INT((W73-W42)*初始化表!F11),0)</f>
        <v>#DIV/0!</v>
      </c>
      <c r="X79" s="341" t="e">
        <f>IF(X73&gt;X42,INT((X73-X42)*初始化表!G11),0)</f>
        <v>#DIV/0!</v>
      </c>
      <c r="Y79" s="341" t="e">
        <f>IF(Y73&gt;Y42,INT((Y73-Y42)*初始化表!H11),0)</f>
        <v>#DIV/0!</v>
      </c>
      <c r="Z79" s="249"/>
      <c r="AA79" s="254"/>
      <c r="AB79" s="249"/>
      <c r="AC79" s="249"/>
      <c r="AD79" s="249"/>
      <c r="AE79" s="249"/>
      <c r="AF79" s="249"/>
      <c r="AG79" s="249"/>
      <c r="AH79" s="73"/>
      <c r="AI79" s="312"/>
      <c r="AJ79" s="304"/>
      <c r="AK79" s="304"/>
      <c r="AL79" s="304"/>
      <c r="AM79" s="304"/>
      <c r="AN79" s="304"/>
      <c r="AO79" s="304"/>
      <c r="AP79" s="304"/>
      <c r="AQ79" s="304"/>
      <c r="AR79" s="304"/>
      <c r="AS79" s="304"/>
      <c r="AT79" s="304"/>
      <c r="AU79" s="304"/>
      <c r="AV79" s="304"/>
      <c r="AW79" s="304"/>
      <c r="AX79" s="304"/>
      <c r="AY79" s="304"/>
      <c r="AZ79" s="63"/>
      <c r="BR79" s="62"/>
      <c r="BS79" s="62"/>
      <c r="BT79" s="62"/>
      <c r="BU79" s="62"/>
      <c r="BV79" s="62"/>
      <c r="BW79" s="62"/>
      <c r="BX79" s="62"/>
      <c r="BY79" s="62"/>
      <c r="BZ79" s="62"/>
      <c r="CA79" s="62"/>
      <c r="CB79" s="62"/>
      <c r="CC79" s="62"/>
      <c r="CD79" s="62"/>
      <c r="CE79" s="62"/>
      <c r="CF79" s="62"/>
      <c r="CG79" s="62"/>
      <c r="CH79" s="62"/>
      <c r="CI79" s="62"/>
      <c r="CJ79" s="62"/>
    </row>
    <row r="80" s="61" customFormat="1" ht="16" customHeight="1" spans="1:88">
      <c r="A80" s="269" t="s">
        <v>705</v>
      </c>
      <c r="B80" s="77" t="e">
        <f>C79</f>
        <v>#DIV/0!</v>
      </c>
      <c r="C80" s="77"/>
      <c r="D80" s="327"/>
      <c r="E80" s="328" t="s">
        <v>471</v>
      </c>
      <c r="F80" s="236" t="e">
        <f>IF(F77&lt;0,F77*初始化表!B26+第6期!F80,IF(F77*初始化表!B25&gt;-第6期!F80,0,第6期!F80+F77*初始化表!B25))</f>
        <v>#DIV/0!</v>
      </c>
      <c r="G80" s="73"/>
      <c r="H80" s="273" t="s">
        <v>778</v>
      </c>
      <c r="I80" s="77" t="e">
        <f>第6期!BN44</f>
        <v>#DIV/0!</v>
      </c>
      <c r="J80" s="77" t="e">
        <f>第6期!BO44</f>
        <v>#DIV/0!</v>
      </c>
      <c r="K80" s="77" t="e">
        <f>第6期!BP44</f>
        <v>#DIV/0!</v>
      </c>
      <c r="L80" s="77" t="e">
        <f>第6期!BQ44</f>
        <v>#DIV/0!</v>
      </c>
      <c r="M80" s="334" t="e">
        <f>SUM(I80:L80)</f>
        <v>#DIV/0!</v>
      </c>
      <c r="N80" s="117" t="s">
        <v>206</v>
      </c>
      <c r="O80" s="244" t="e">
        <f>V25-O70*(O75-IF($J8&gt;0,5,0))</f>
        <v>#DIV/0!</v>
      </c>
      <c r="P80" s="244" t="e">
        <f t="shared" ref="P80:R80" si="103">W25-P70*(P75-IF($J8&gt;0,5,0))</f>
        <v>#DIV/0!</v>
      </c>
      <c r="Q80" s="244" t="e">
        <f t="shared" si="103"/>
        <v>#DIV/0!</v>
      </c>
      <c r="R80" s="244" t="e">
        <f t="shared" si="103"/>
        <v>#DIV/0!</v>
      </c>
      <c r="S80" s="74"/>
      <c r="T80" s="120"/>
      <c r="U80" s="68" t="s">
        <v>202</v>
      </c>
      <c r="V80" s="341" t="e">
        <f>IF(V74&gt;V43,INT((V74-V43)*初始化表!E12),0)</f>
        <v>#DIV/0!</v>
      </c>
      <c r="W80" s="341" t="e">
        <f>IF(W74&gt;W43,INT((W74-W43)*初始化表!F12),0)</f>
        <v>#DIV/0!</v>
      </c>
      <c r="X80" s="341" t="e">
        <f>IF(X74&gt;X43,INT((X74-X43)*初始化表!G12),0)</f>
        <v>#DIV/0!</v>
      </c>
      <c r="Y80" s="341" t="e">
        <f>IF(Y74&gt;Y43,INT((Y74-Y43)*初始化表!H12),0)</f>
        <v>#DIV/0!</v>
      </c>
      <c r="Z80" s="249"/>
      <c r="AA80" s="254"/>
      <c r="AB80" s="249"/>
      <c r="AC80" s="249"/>
      <c r="AD80" s="249"/>
      <c r="AE80" s="249"/>
      <c r="AF80" s="249"/>
      <c r="AG80" s="249"/>
      <c r="AH80" s="73"/>
      <c r="AI80" s="312"/>
      <c r="AJ80" s="304"/>
      <c r="AK80" s="304"/>
      <c r="AL80" s="304"/>
      <c r="AM80" s="304"/>
      <c r="AN80" s="304"/>
      <c r="AO80" s="304"/>
      <c r="AP80" s="304"/>
      <c r="AQ80" s="304"/>
      <c r="AR80" s="304"/>
      <c r="AS80" s="304"/>
      <c r="AT80" s="304"/>
      <c r="AU80" s="304"/>
      <c r="AV80" s="304"/>
      <c r="AW80" s="304"/>
      <c r="AX80" s="304"/>
      <c r="AY80" s="304"/>
      <c r="AZ80" s="63"/>
      <c r="BR80" s="62"/>
      <c r="BS80" s="62"/>
      <c r="BT80" s="62"/>
      <c r="BU80" s="62"/>
      <c r="BV80" s="62"/>
      <c r="BW80" s="62"/>
      <c r="BX80" s="62"/>
      <c r="BY80" s="62"/>
      <c r="BZ80" s="62"/>
      <c r="CA80" s="62"/>
      <c r="CB80" s="62"/>
      <c r="CC80" s="62"/>
      <c r="CD80" s="62"/>
      <c r="CE80" s="62"/>
      <c r="CF80" s="62"/>
      <c r="CG80" s="62"/>
      <c r="CH80" s="62"/>
      <c r="CI80" s="62"/>
      <c r="CJ80" s="62"/>
    </row>
    <row r="81" s="61" customFormat="1" ht="16" customHeight="1" spans="1:88">
      <c r="A81" s="74"/>
      <c r="B81" s="74"/>
      <c r="C81" s="74"/>
      <c r="D81" s="74"/>
      <c r="E81" s="328" t="s">
        <v>264</v>
      </c>
      <c r="F81" s="236" t="e">
        <f>第6期!F81*(1+初始化表!B27/4)+E24</f>
        <v>#DIV/0!</v>
      </c>
      <c r="G81" s="73"/>
      <c r="H81" s="329" t="s">
        <v>779</v>
      </c>
      <c r="I81" s="335" t="e">
        <f>第6期!BN45</f>
        <v>#DIV/0!</v>
      </c>
      <c r="J81" s="335" t="e">
        <f>第6期!BO45</f>
        <v>#DIV/0!</v>
      </c>
      <c r="K81" s="335" t="e">
        <f>第6期!BP45</f>
        <v>#DIV/0!</v>
      </c>
      <c r="L81" s="335" t="e">
        <f>第6期!BQ45</f>
        <v>#DIV/0!</v>
      </c>
      <c r="M81" s="336" t="e">
        <f>SUM(I81:L81)</f>
        <v>#DIV/0!</v>
      </c>
      <c r="N81" s="117" t="s">
        <v>208</v>
      </c>
      <c r="O81" s="244" t="e">
        <f t="shared" ref="O81:R81" si="104">V26-O71*(O76-IF($J9&gt;0,5,0))</f>
        <v>#DIV/0!</v>
      </c>
      <c r="P81" s="244" t="e">
        <f t="shared" si="104"/>
        <v>#DIV/0!</v>
      </c>
      <c r="Q81" s="244" t="e">
        <f t="shared" si="104"/>
        <v>#DIV/0!</v>
      </c>
      <c r="R81" s="244" t="e">
        <f t="shared" si="104"/>
        <v>#DIV/0!</v>
      </c>
      <c r="S81" s="74"/>
      <c r="T81" s="120"/>
      <c r="U81" s="68" t="s">
        <v>206</v>
      </c>
      <c r="V81" s="341" t="e">
        <f>IF(V75&gt;V44,INT((V75-V44)*初始化表!E13),0)</f>
        <v>#DIV/0!</v>
      </c>
      <c r="W81" s="341" t="e">
        <f>IF(W75&gt;W44,INT((W75-W44)*初始化表!F13),0)</f>
        <v>#DIV/0!</v>
      </c>
      <c r="X81" s="341" t="e">
        <f>IF(X75&gt;X44,INT((X75-X44)*初始化表!G13),0)</f>
        <v>#DIV/0!</v>
      </c>
      <c r="Y81" s="341" t="e">
        <f>IF(Y75&gt;Y44,INT((Y75-Y44)*初始化表!H13),0)</f>
        <v>#DIV/0!</v>
      </c>
      <c r="Z81" s="249"/>
      <c r="AA81" s="254"/>
      <c r="AB81" s="249"/>
      <c r="AC81" s="249"/>
      <c r="AD81" s="249"/>
      <c r="AE81" s="249"/>
      <c r="AF81" s="249"/>
      <c r="AG81" s="249"/>
      <c r="AH81" s="73"/>
      <c r="AZ81" s="63"/>
      <c r="BR81" s="62"/>
      <c r="BS81" s="62"/>
      <c r="BT81" s="62"/>
      <c r="BU81" s="62"/>
      <c r="BV81" s="62"/>
      <c r="BW81" s="62"/>
      <c r="BX81" s="62"/>
      <c r="BY81" s="62"/>
      <c r="BZ81" s="62"/>
      <c r="CA81" s="62"/>
      <c r="CB81" s="62"/>
      <c r="CC81" s="62"/>
      <c r="CD81" s="62"/>
      <c r="CE81" s="62"/>
      <c r="CF81" s="62"/>
      <c r="CG81" s="62"/>
      <c r="CH81" s="62"/>
      <c r="CI81" s="62"/>
      <c r="CJ81" s="62"/>
    </row>
    <row r="82" s="61" customFormat="1" ht="16" customHeight="1" spans="1:88">
      <c r="A82" s="74"/>
      <c r="B82" s="74"/>
      <c r="C82" s="74"/>
      <c r="D82" s="74"/>
      <c r="E82" s="328" t="s">
        <v>268</v>
      </c>
      <c r="F82" s="236" t="e">
        <f>B80</f>
        <v>#DIV/0!</v>
      </c>
      <c r="G82" s="73"/>
      <c r="H82" s="237" t="s">
        <v>724</v>
      </c>
      <c r="I82" s="238"/>
      <c r="J82" s="238"/>
      <c r="K82" s="238"/>
      <c r="L82" s="238"/>
      <c r="M82" s="238"/>
      <c r="N82" s="337"/>
      <c r="O82" s="337"/>
      <c r="P82" s="337"/>
      <c r="Q82" s="337"/>
      <c r="R82" s="337"/>
      <c r="S82" s="74"/>
      <c r="T82" s="120"/>
      <c r="U82" s="68" t="s">
        <v>208</v>
      </c>
      <c r="V82" s="341" t="e">
        <f>IF(V76&gt;V45,INT((V76-V45)*初始化表!E14),0)</f>
        <v>#DIV/0!</v>
      </c>
      <c r="W82" s="341" t="e">
        <f>IF(W76&gt;W45,INT((W76-W45)*初始化表!F14),0)</f>
        <v>#DIV/0!</v>
      </c>
      <c r="X82" s="341" t="e">
        <f>IF(X76&gt;X45,INT((X76-X45)*初始化表!G14),0)</f>
        <v>#DIV/0!</v>
      </c>
      <c r="Y82" s="341" t="e">
        <f>IF(Y76&gt;Y45,INT((Y76-Y45)*初始化表!H14),0)</f>
        <v>#DIV/0!</v>
      </c>
      <c r="Z82" s="249"/>
      <c r="AA82" s="254"/>
      <c r="AB82" s="249"/>
      <c r="AC82" s="249"/>
      <c r="AD82" s="249"/>
      <c r="AE82" s="249"/>
      <c r="AF82" s="249"/>
      <c r="AG82" s="249"/>
      <c r="AH82" s="73"/>
      <c r="AI82" s="296" t="s">
        <v>488</v>
      </c>
      <c r="AJ82" s="297"/>
      <c r="AK82" s="297"/>
      <c r="AL82" s="297"/>
      <c r="AM82" s="297"/>
      <c r="AN82" s="297"/>
      <c r="AO82" s="297"/>
      <c r="AP82" s="297"/>
      <c r="AQ82" s="297"/>
      <c r="AR82" s="297"/>
      <c r="AS82" s="297"/>
      <c r="AT82" s="297"/>
      <c r="AU82" s="297"/>
      <c r="AV82" s="297"/>
      <c r="AZ82" s="63"/>
      <c r="BR82" s="62"/>
      <c r="BS82" s="62"/>
      <c r="BT82" s="62"/>
      <c r="BU82" s="62"/>
      <c r="BV82" s="62"/>
      <c r="BW82" s="62"/>
      <c r="BX82" s="62"/>
      <c r="BY82" s="62"/>
      <c r="BZ82" s="62"/>
      <c r="CA82" s="62"/>
      <c r="CB82" s="62"/>
      <c r="CC82" s="62"/>
      <c r="CD82" s="62"/>
      <c r="CE82" s="62"/>
      <c r="CF82" s="62"/>
      <c r="CG82" s="62"/>
      <c r="CH82" s="62"/>
      <c r="CI82" s="62"/>
      <c r="CJ82" s="62"/>
    </row>
    <row r="83" s="61" customFormat="1" ht="16" customHeight="1" spans="1:88">
      <c r="A83" s="74"/>
      <c r="B83" s="74"/>
      <c r="C83" s="74"/>
      <c r="D83" s="74"/>
      <c r="E83" s="328" t="s">
        <v>270</v>
      </c>
      <c r="F83" s="236" t="e">
        <f>IF(初始化表!B1=1,F77/(L17+K18),F77/L17)</f>
        <v>#DIV/0!</v>
      </c>
      <c r="G83" s="73"/>
      <c r="H83" s="330"/>
      <c r="I83" s="330"/>
      <c r="J83" s="330"/>
      <c r="K83" s="330"/>
      <c r="L83" s="330"/>
      <c r="M83" s="330"/>
      <c r="N83" s="330"/>
      <c r="O83" s="330"/>
      <c r="P83" s="330"/>
      <c r="Q83" s="330"/>
      <c r="R83" s="330"/>
      <c r="S83" s="74"/>
      <c r="T83" s="120"/>
      <c r="U83" s="249"/>
      <c r="V83" s="249"/>
      <c r="W83" s="249"/>
      <c r="X83" s="249"/>
      <c r="Y83" s="249"/>
      <c r="Z83" s="249"/>
      <c r="AA83" s="254"/>
      <c r="AB83" s="249"/>
      <c r="AC83" s="249"/>
      <c r="AD83" s="249"/>
      <c r="AE83" s="249"/>
      <c r="AF83" s="249"/>
      <c r="AG83" s="249"/>
      <c r="AH83" s="73"/>
      <c r="AI83" s="343" t="s">
        <v>37</v>
      </c>
      <c r="AJ83" s="297" t="s">
        <v>343</v>
      </c>
      <c r="AK83" s="297" t="s">
        <v>344</v>
      </c>
      <c r="AL83" s="297" t="s">
        <v>345</v>
      </c>
      <c r="AM83" s="297" t="s">
        <v>346</v>
      </c>
      <c r="AN83" s="297" t="s">
        <v>310</v>
      </c>
      <c r="AO83" s="297" t="s">
        <v>313</v>
      </c>
      <c r="AP83" s="297" t="s">
        <v>347</v>
      </c>
      <c r="AQ83" s="297" t="s">
        <v>264</v>
      </c>
      <c r="AR83" s="297" t="s">
        <v>268</v>
      </c>
      <c r="AS83" s="297" t="s">
        <v>270</v>
      </c>
      <c r="AT83" s="297" t="s">
        <v>272</v>
      </c>
      <c r="AU83" s="297" t="str">
        <f>IF(初始化表!$B1=1,"综合评分","")</f>
        <v/>
      </c>
      <c r="AV83" s="297" t="str">
        <f>IF(初始化表!$B1=1,"总评名次","")</f>
        <v/>
      </c>
      <c r="AZ83" s="63"/>
      <c r="BR83" s="62"/>
      <c r="BS83" s="62"/>
      <c r="BT83" s="62"/>
      <c r="BU83" s="62"/>
      <c r="BV83" s="62"/>
      <c r="BW83" s="62"/>
      <c r="BX83" s="62"/>
      <c r="BY83" s="62"/>
      <c r="BZ83" s="62"/>
      <c r="CA83" s="62"/>
      <c r="CB83" s="62"/>
      <c r="CC83" s="62"/>
      <c r="CD83" s="62"/>
      <c r="CE83" s="62"/>
      <c r="CF83" s="62"/>
      <c r="CG83" s="62"/>
      <c r="CH83" s="62"/>
      <c r="CI83" s="62"/>
      <c r="CJ83" s="62"/>
    </row>
    <row r="84" s="61" customFormat="1" ht="16" customHeight="1" spans="1:88">
      <c r="A84" s="74"/>
      <c r="B84" s="74"/>
      <c r="C84" s="74"/>
      <c r="D84" s="74"/>
      <c r="E84" s="328" t="s">
        <v>707</v>
      </c>
      <c r="F84" s="239" t="e">
        <f>F77/(F82+F75+C37)</f>
        <v>#DIV/0!</v>
      </c>
      <c r="G84" s="73"/>
      <c r="H84" s="269" t="s">
        <v>548</v>
      </c>
      <c r="I84" s="269" t="s">
        <v>513</v>
      </c>
      <c r="J84" s="269" t="s">
        <v>514</v>
      </c>
      <c r="K84" s="269" t="s">
        <v>515</v>
      </c>
      <c r="L84" s="269" t="s">
        <v>516</v>
      </c>
      <c r="M84" s="269" t="s">
        <v>549</v>
      </c>
      <c r="N84" s="269" t="s">
        <v>561</v>
      </c>
      <c r="O84" s="269" t="s">
        <v>513</v>
      </c>
      <c r="P84" s="269" t="s">
        <v>514</v>
      </c>
      <c r="Q84" s="269" t="s">
        <v>515</v>
      </c>
      <c r="R84" s="269" t="s">
        <v>516</v>
      </c>
      <c r="S84" s="74"/>
      <c r="T84" s="120"/>
      <c r="U84" s="68" t="s">
        <v>687</v>
      </c>
      <c r="V84" s="68" t="s">
        <v>459</v>
      </c>
      <c r="W84" s="68" t="s">
        <v>460</v>
      </c>
      <c r="X84" s="68" t="s">
        <v>461</v>
      </c>
      <c r="Y84" s="68" t="s">
        <v>462</v>
      </c>
      <c r="Z84" s="249"/>
      <c r="AA84" s="254"/>
      <c r="AB84" s="249"/>
      <c r="AC84" s="249"/>
      <c r="AD84" s="249"/>
      <c r="AE84" s="249"/>
      <c r="AF84" s="249"/>
      <c r="AG84" s="249"/>
      <c r="AH84" s="73"/>
      <c r="AI84" s="312"/>
      <c r="AJ84" s="301"/>
      <c r="AK84" s="301"/>
      <c r="AL84" s="301"/>
      <c r="AM84" s="301"/>
      <c r="AN84" s="301"/>
      <c r="AO84" s="301"/>
      <c r="AP84" s="301"/>
      <c r="AQ84" s="301"/>
      <c r="AR84" s="301"/>
      <c r="AS84" s="301"/>
      <c r="AT84" s="301"/>
      <c r="AU84" s="344"/>
      <c r="AV84" s="344"/>
      <c r="AZ84" s="63"/>
      <c r="BR84" s="62"/>
      <c r="BS84" s="62"/>
      <c r="BT84" s="62"/>
      <c r="BU84" s="62"/>
      <c r="BV84" s="62"/>
      <c r="BW84" s="62"/>
      <c r="BX84" s="62"/>
      <c r="BY84" s="62"/>
      <c r="BZ84" s="62"/>
      <c r="CA84" s="62"/>
      <c r="CB84" s="62"/>
      <c r="CC84" s="62"/>
      <c r="CD84" s="62"/>
      <c r="CE84" s="62"/>
      <c r="CF84" s="62"/>
      <c r="CG84" s="62"/>
      <c r="CH84" s="62"/>
      <c r="CI84" s="62"/>
      <c r="CJ84" s="62"/>
    </row>
    <row r="85" s="61" customFormat="1" ht="16" customHeight="1" spans="1:88">
      <c r="A85" s="74"/>
      <c r="B85" s="74"/>
      <c r="C85" s="74"/>
      <c r="D85" s="74"/>
      <c r="E85" s="74"/>
      <c r="F85" s="74"/>
      <c r="G85" s="73"/>
      <c r="H85" s="269" t="s">
        <v>521</v>
      </c>
      <c r="I85" s="115">
        <f>V17</f>
        <v>0</v>
      </c>
      <c r="J85" s="115">
        <f t="shared" ref="J85:L88" si="105">W17</f>
        <v>0</v>
      </c>
      <c r="K85" s="115">
        <f t="shared" si="105"/>
        <v>0</v>
      </c>
      <c r="L85" s="115">
        <f t="shared" si="105"/>
        <v>0</v>
      </c>
      <c r="M85" s="115">
        <f>SUM(I85:L85)</f>
        <v>0</v>
      </c>
      <c r="N85" s="269" t="s">
        <v>521</v>
      </c>
      <c r="O85" s="115" t="e">
        <f>V23</f>
        <v>#DIV/0!</v>
      </c>
      <c r="P85" s="115" t="e">
        <f t="shared" ref="P85:R88" si="106">W23</f>
        <v>#DIV/0!</v>
      </c>
      <c r="Q85" s="115" t="e">
        <f t="shared" si="106"/>
        <v>#DIV/0!</v>
      </c>
      <c r="R85" s="115" t="e">
        <f t="shared" si="106"/>
        <v>#DIV/0!</v>
      </c>
      <c r="S85" s="74"/>
      <c r="T85" s="120"/>
      <c r="U85" s="68" t="s">
        <v>464</v>
      </c>
      <c r="V85" s="251">
        <f>INT(B12*(1-$O$43)+0.5)</f>
        <v>0</v>
      </c>
      <c r="W85" s="251">
        <f>INT(C12*(1-$O$43)+0.5)</f>
        <v>0</v>
      </c>
      <c r="X85" s="251">
        <f>INT(D12*(1-$O$43)+0.5)</f>
        <v>0</v>
      </c>
      <c r="Y85" s="251">
        <f>INT(E12*(1-$O$43)+0.5)</f>
        <v>0</v>
      </c>
      <c r="Z85" s="249"/>
      <c r="AA85" s="254"/>
      <c r="AB85" s="249"/>
      <c r="AC85" s="249"/>
      <c r="AD85" s="249"/>
      <c r="AE85" s="249"/>
      <c r="AF85" s="249"/>
      <c r="AG85" s="249"/>
      <c r="AH85" s="73"/>
      <c r="AI85" s="312"/>
      <c r="AJ85" s="301"/>
      <c r="AK85" s="301"/>
      <c r="AL85" s="301"/>
      <c r="AM85" s="301"/>
      <c r="AN85" s="301"/>
      <c r="AO85" s="301"/>
      <c r="AP85" s="301"/>
      <c r="AQ85" s="301"/>
      <c r="AR85" s="301"/>
      <c r="AS85" s="301"/>
      <c r="AT85" s="301"/>
      <c r="AU85" s="344"/>
      <c r="AV85" s="344"/>
      <c r="AZ85" s="63"/>
      <c r="BR85" s="62"/>
      <c r="BS85" s="62"/>
      <c r="BT85" s="62"/>
      <c r="BU85" s="62"/>
      <c r="BV85" s="62"/>
      <c r="BW85" s="62"/>
      <c r="BX85" s="62"/>
      <c r="BY85" s="62"/>
      <c r="BZ85" s="62"/>
      <c r="CA85" s="62"/>
      <c r="CB85" s="62"/>
      <c r="CC85" s="62"/>
      <c r="CD85" s="62"/>
      <c r="CE85" s="62"/>
      <c r="CF85" s="62"/>
      <c r="CG85" s="62"/>
      <c r="CH85" s="62"/>
      <c r="CI85" s="62"/>
      <c r="CJ85" s="62"/>
    </row>
    <row r="86" s="61" customFormat="1" ht="16" customHeight="1" spans="1:88">
      <c r="A86" s="74"/>
      <c r="B86" s="74"/>
      <c r="C86" s="74"/>
      <c r="D86" s="74"/>
      <c r="E86" s="74"/>
      <c r="F86" s="74"/>
      <c r="G86" s="73"/>
      <c r="H86" s="269" t="s">
        <v>522</v>
      </c>
      <c r="I86" s="115">
        <f t="shared" ref="I86:I88" si="107">V18</f>
        <v>0</v>
      </c>
      <c r="J86" s="115">
        <f t="shared" si="105"/>
        <v>0</v>
      </c>
      <c r="K86" s="115">
        <f t="shared" si="105"/>
        <v>0</v>
      </c>
      <c r="L86" s="115">
        <f t="shared" si="105"/>
        <v>0</v>
      </c>
      <c r="M86" s="115">
        <f t="shared" ref="M86:M88" si="108">SUM(I86:L86)</f>
        <v>0</v>
      </c>
      <c r="N86" s="269" t="s">
        <v>522</v>
      </c>
      <c r="O86" s="115" t="e">
        <f t="shared" ref="O86:O88" si="109">V24</f>
        <v>#DIV/0!</v>
      </c>
      <c r="P86" s="115" t="e">
        <f t="shared" si="106"/>
        <v>#DIV/0!</v>
      </c>
      <c r="Q86" s="115" t="e">
        <f t="shared" si="106"/>
        <v>#DIV/0!</v>
      </c>
      <c r="R86" s="115" t="e">
        <f t="shared" si="106"/>
        <v>#DIV/0!</v>
      </c>
      <c r="S86" s="74"/>
      <c r="T86" s="120"/>
      <c r="U86" s="68" t="s">
        <v>465</v>
      </c>
      <c r="V86" s="251">
        <f>INT(B13*(1-$P$43)+0.5)</f>
        <v>0</v>
      </c>
      <c r="W86" s="251">
        <f>INT(C13*(1-$P$43)+0.5)</f>
        <v>0</v>
      </c>
      <c r="X86" s="251">
        <f>INT(D13*(1-$P$43)+0.5)</f>
        <v>0</v>
      </c>
      <c r="Y86" s="251">
        <f>INT(E13*(1-$P$43)+0.5)</f>
        <v>0</v>
      </c>
      <c r="Z86" s="249"/>
      <c r="AA86" s="254"/>
      <c r="AB86" s="249"/>
      <c r="AC86" s="249"/>
      <c r="AD86" s="249"/>
      <c r="AE86" s="249"/>
      <c r="AF86" s="249"/>
      <c r="AG86" s="249"/>
      <c r="AH86" s="73"/>
      <c r="AI86" s="312"/>
      <c r="AJ86" s="301"/>
      <c r="AK86" s="301"/>
      <c r="AL86" s="301"/>
      <c r="AM86" s="301"/>
      <c r="AN86" s="301"/>
      <c r="AO86" s="301"/>
      <c r="AP86" s="301"/>
      <c r="AQ86" s="301"/>
      <c r="AR86" s="301"/>
      <c r="AS86" s="301"/>
      <c r="AT86" s="301"/>
      <c r="AU86" s="344"/>
      <c r="AV86" s="344"/>
      <c r="AZ86" s="63"/>
      <c r="BR86" s="62"/>
      <c r="BS86" s="62"/>
      <c r="BT86" s="62"/>
      <c r="BU86" s="62"/>
      <c r="BV86" s="62"/>
      <c r="BW86" s="62"/>
      <c r="BX86" s="62"/>
      <c r="BY86" s="62"/>
      <c r="BZ86" s="62"/>
      <c r="CA86" s="62"/>
      <c r="CB86" s="62"/>
      <c r="CC86" s="62"/>
      <c r="CD86" s="62"/>
      <c r="CE86" s="62"/>
      <c r="CF86" s="62"/>
      <c r="CG86" s="62"/>
      <c r="CH86" s="62"/>
      <c r="CI86" s="62"/>
      <c r="CJ86" s="62"/>
    </row>
    <row r="87" s="61" customFormat="1" ht="16" customHeight="1" spans="1:88">
      <c r="A87" s="74"/>
      <c r="B87" s="74"/>
      <c r="C87" s="74"/>
      <c r="D87" s="74"/>
      <c r="E87" s="74"/>
      <c r="F87" s="74"/>
      <c r="G87" s="73"/>
      <c r="H87" s="269" t="s">
        <v>523</v>
      </c>
      <c r="I87" s="115">
        <f t="shared" si="107"/>
        <v>0</v>
      </c>
      <c r="J87" s="115">
        <f t="shared" si="105"/>
        <v>0</v>
      </c>
      <c r="K87" s="115">
        <f t="shared" si="105"/>
        <v>0</v>
      </c>
      <c r="L87" s="115">
        <f t="shared" si="105"/>
        <v>0</v>
      </c>
      <c r="M87" s="115">
        <f t="shared" si="108"/>
        <v>0</v>
      </c>
      <c r="N87" s="269" t="s">
        <v>523</v>
      </c>
      <c r="O87" s="115" t="e">
        <f t="shared" si="109"/>
        <v>#DIV/0!</v>
      </c>
      <c r="P87" s="115" t="e">
        <f t="shared" si="106"/>
        <v>#DIV/0!</v>
      </c>
      <c r="Q87" s="115" t="e">
        <f t="shared" si="106"/>
        <v>#DIV/0!</v>
      </c>
      <c r="R87" s="115" t="e">
        <f t="shared" si="106"/>
        <v>#DIV/0!</v>
      </c>
      <c r="S87" s="74"/>
      <c r="T87" s="120"/>
      <c r="U87" s="68" t="s">
        <v>466</v>
      </c>
      <c r="V87" s="251">
        <f>INT(B14*(1-$Q$43)+0.5)</f>
        <v>0</v>
      </c>
      <c r="W87" s="251">
        <f>INT(C14*(1-$Q$43)+0.5)</f>
        <v>0</v>
      </c>
      <c r="X87" s="251">
        <f>INT(D14*(1-$Q$43)+0.5)</f>
        <v>0</v>
      </c>
      <c r="Y87" s="251">
        <f>INT(E14*(1-$Q$43)+0.5)</f>
        <v>0</v>
      </c>
      <c r="Z87" s="74"/>
      <c r="AA87" s="73"/>
      <c r="AB87" s="74"/>
      <c r="AC87" s="74"/>
      <c r="AD87" s="74"/>
      <c r="AE87" s="74"/>
      <c r="AF87" s="74"/>
      <c r="AG87" s="74"/>
      <c r="AH87" s="73"/>
      <c r="AI87" s="312"/>
      <c r="AJ87" s="301"/>
      <c r="AK87" s="301"/>
      <c r="AL87" s="301"/>
      <c r="AM87" s="301"/>
      <c r="AN87" s="301"/>
      <c r="AO87" s="301"/>
      <c r="AP87" s="301"/>
      <c r="AQ87" s="301"/>
      <c r="AR87" s="301"/>
      <c r="AS87" s="301"/>
      <c r="AT87" s="301"/>
      <c r="AU87" s="344"/>
      <c r="AV87" s="344"/>
      <c r="AZ87" s="63"/>
      <c r="BR87" s="62"/>
      <c r="BS87" s="62"/>
      <c r="BT87" s="62"/>
      <c r="BU87" s="62"/>
      <c r="BV87" s="62"/>
      <c r="BW87" s="62"/>
      <c r="BX87" s="62"/>
      <c r="BY87" s="62"/>
      <c r="BZ87" s="62"/>
      <c r="CA87" s="62"/>
      <c r="CB87" s="62"/>
      <c r="CC87" s="62"/>
      <c r="CD87" s="62"/>
      <c r="CE87" s="62"/>
      <c r="CF87" s="62"/>
      <c r="CG87" s="62"/>
      <c r="CH87" s="62"/>
      <c r="CI87" s="62"/>
      <c r="CJ87" s="62"/>
    </row>
    <row r="88" s="61" customFormat="1" ht="16" customHeight="1" spans="1:88">
      <c r="A88" s="74"/>
      <c r="B88" s="74"/>
      <c r="C88" s="74"/>
      <c r="D88" s="74"/>
      <c r="E88" s="74"/>
      <c r="F88" s="74"/>
      <c r="G88" s="73"/>
      <c r="H88" s="269" t="s">
        <v>524</v>
      </c>
      <c r="I88" s="115">
        <f t="shared" si="107"/>
        <v>0</v>
      </c>
      <c r="J88" s="115">
        <f t="shared" si="105"/>
        <v>0</v>
      </c>
      <c r="K88" s="115">
        <f t="shared" si="105"/>
        <v>0</v>
      </c>
      <c r="L88" s="115">
        <f t="shared" si="105"/>
        <v>0</v>
      </c>
      <c r="M88" s="115">
        <f t="shared" si="108"/>
        <v>0</v>
      </c>
      <c r="N88" s="269" t="s">
        <v>524</v>
      </c>
      <c r="O88" s="115" t="e">
        <f t="shared" si="109"/>
        <v>#DIV/0!</v>
      </c>
      <c r="P88" s="115" t="e">
        <f t="shared" si="106"/>
        <v>#DIV/0!</v>
      </c>
      <c r="Q88" s="115" t="e">
        <f t="shared" si="106"/>
        <v>#DIV/0!</v>
      </c>
      <c r="R88" s="115" t="e">
        <f t="shared" si="106"/>
        <v>#DIV/0!</v>
      </c>
      <c r="S88" s="74"/>
      <c r="T88" s="120"/>
      <c r="U88" s="68" t="s">
        <v>468</v>
      </c>
      <c r="V88" s="251">
        <f>INT(B15*(1-$R$43)+0.5)</f>
        <v>0</v>
      </c>
      <c r="W88" s="251">
        <f>INT(C15*(1-$R$43)+0.5)</f>
        <v>0</v>
      </c>
      <c r="X88" s="251">
        <f>INT(D15*(1-$R$43)+0.5)</f>
        <v>0</v>
      </c>
      <c r="Y88" s="251">
        <f>INT(E15*(1-$R$43)+0.5)</f>
        <v>0</v>
      </c>
      <c r="Z88" s="74"/>
      <c r="AA88" s="73"/>
      <c r="AB88" s="74"/>
      <c r="AC88" s="74"/>
      <c r="AD88" s="74"/>
      <c r="AE88" s="74"/>
      <c r="AF88" s="74"/>
      <c r="AG88" s="74"/>
      <c r="AH88" s="73"/>
      <c r="AI88" s="312"/>
      <c r="AJ88" s="301"/>
      <c r="AK88" s="301"/>
      <c r="AL88" s="301"/>
      <c r="AM88" s="301"/>
      <c r="AN88" s="301"/>
      <c r="AO88" s="301"/>
      <c r="AP88" s="301"/>
      <c r="AQ88" s="301"/>
      <c r="AR88" s="301"/>
      <c r="AS88" s="301"/>
      <c r="AT88" s="301"/>
      <c r="AU88" s="344"/>
      <c r="AV88" s="344"/>
      <c r="AZ88" s="63"/>
      <c r="BR88" s="62"/>
      <c r="BS88" s="62"/>
      <c r="BT88" s="62"/>
      <c r="BU88" s="62"/>
      <c r="BV88" s="62"/>
      <c r="BW88" s="62"/>
      <c r="BX88" s="62"/>
      <c r="BY88" s="62"/>
      <c r="BZ88" s="62"/>
      <c r="CA88" s="62"/>
      <c r="CB88" s="62"/>
      <c r="CC88" s="62"/>
      <c r="CD88" s="62"/>
      <c r="CE88" s="62"/>
      <c r="CF88" s="62"/>
      <c r="CG88" s="62"/>
      <c r="CH88" s="62"/>
      <c r="CI88" s="62"/>
      <c r="CJ88" s="62"/>
    </row>
    <row r="89" s="61" customFormat="1" ht="16" customHeight="1" spans="1:88">
      <c r="A89" s="74"/>
      <c r="B89" s="74"/>
      <c r="C89" s="74"/>
      <c r="D89" s="74"/>
      <c r="E89" s="74"/>
      <c r="F89" s="74"/>
      <c r="G89" s="73"/>
      <c r="H89" s="90"/>
      <c r="I89" s="90"/>
      <c r="J89" s="90"/>
      <c r="K89" s="90"/>
      <c r="L89" s="90"/>
      <c r="M89" s="338"/>
      <c r="N89" s="90"/>
      <c r="O89" s="90"/>
      <c r="P89" s="90"/>
      <c r="Q89" s="90"/>
      <c r="R89" s="90"/>
      <c r="S89" s="74"/>
      <c r="T89" s="120"/>
      <c r="U89" s="74"/>
      <c r="V89" s="74"/>
      <c r="W89" s="74"/>
      <c r="X89" s="74"/>
      <c r="Y89" s="74"/>
      <c r="Z89" s="74"/>
      <c r="AA89" s="73"/>
      <c r="AB89" s="74"/>
      <c r="AC89" s="74"/>
      <c r="AD89" s="74"/>
      <c r="AE89" s="74"/>
      <c r="AF89" s="74"/>
      <c r="AG89" s="74"/>
      <c r="AH89" s="73"/>
      <c r="AI89" s="312"/>
      <c r="AJ89" s="301"/>
      <c r="AK89" s="301"/>
      <c r="AL89" s="301"/>
      <c r="AM89" s="301"/>
      <c r="AN89" s="301"/>
      <c r="AO89" s="301"/>
      <c r="AP89" s="301"/>
      <c r="AQ89" s="301"/>
      <c r="AR89" s="301"/>
      <c r="AS89" s="301"/>
      <c r="AT89" s="301"/>
      <c r="AU89" s="344"/>
      <c r="AV89" s="344"/>
      <c r="AZ89" s="63"/>
      <c r="BR89" s="62"/>
      <c r="BS89" s="62"/>
      <c r="BT89" s="62"/>
      <c r="BU89" s="62"/>
      <c r="BV89" s="62"/>
      <c r="BW89" s="62"/>
      <c r="BX89" s="62"/>
      <c r="BY89" s="62"/>
      <c r="BZ89" s="62"/>
      <c r="CA89" s="62"/>
      <c r="CB89" s="62"/>
      <c r="CC89" s="62"/>
      <c r="CD89" s="62"/>
      <c r="CE89" s="62"/>
      <c r="CF89" s="62"/>
      <c r="CG89" s="62"/>
      <c r="CH89" s="62"/>
      <c r="CI89" s="62"/>
      <c r="CJ89" s="62"/>
    </row>
    <row r="90" s="61" customFormat="1" ht="16" customHeight="1" spans="1:88">
      <c r="A90" s="74"/>
      <c r="B90" s="74"/>
      <c r="C90" s="74"/>
      <c r="D90" s="74"/>
      <c r="E90" s="74"/>
      <c r="F90" s="74"/>
      <c r="G90" s="73"/>
      <c r="H90" s="269" t="s">
        <v>731</v>
      </c>
      <c r="I90" s="339" t="s">
        <v>513</v>
      </c>
      <c r="J90" s="339" t="s">
        <v>514</v>
      </c>
      <c r="K90" s="339" t="s">
        <v>515</v>
      </c>
      <c r="L90" s="339" t="s">
        <v>516</v>
      </c>
      <c r="M90" s="340" t="s">
        <v>748</v>
      </c>
      <c r="N90" s="151" t="s">
        <v>562</v>
      </c>
      <c r="O90" s="151" t="s">
        <v>459</v>
      </c>
      <c r="P90" s="151" t="s">
        <v>460</v>
      </c>
      <c r="Q90" s="151" t="s">
        <v>461</v>
      </c>
      <c r="R90" s="151" t="s">
        <v>462</v>
      </c>
      <c r="S90" s="74"/>
      <c r="T90" s="120"/>
      <c r="U90" s="74"/>
      <c r="V90" s="74"/>
      <c r="W90" s="74"/>
      <c r="X90" s="74"/>
      <c r="Y90" s="74"/>
      <c r="Z90" s="74"/>
      <c r="AA90" s="73"/>
      <c r="AB90" s="74"/>
      <c r="AC90" s="74"/>
      <c r="AD90" s="74"/>
      <c r="AE90" s="74"/>
      <c r="AF90" s="74"/>
      <c r="AG90" s="74"/>
      <c r="AH90" s="73"/>
      <c r="AI90" s="312"/>
      <c r="AJ90" s="301"/>
      <c r="AK90" s="301"/>
      <c r="AL90" s="301"/>
      <c r="AM90" s="301"/>
      <c r="AN90" s="301"/>
      <c r="AO90" s="301"/>
      <c r="AP90" s="301"/>
      <c r="AQ90" s="301"/>
      <c r="AR90" s="301"/>
      <c r="AS90" s="301"/>
      <c r="AT90" s="301"/>
      <c r="AU90" s="344"/>
      <c r="AV90" s="344"/>
      <c r="AZ90" s="63"/>
      <c r="BR90" s="62"/>
      <c r="BS90" s="62"/>
      <c r="BT90" s="62"/>
      <c r="BU90" s="62"/>
      <c r="BV90" s="62"/>
      <c r="BW90" s="62"/>
      <c r="BX90" s="62"/>
      <c r="BY90" s="62"/>
      <c r="BZ90" s="62"/>
      <c r="CA90" s="62"/>
      <c r="CB90" s="62"/>
      <c r="CC90" s="62"/>
      <c r="CD90" s="62"/>
      <c r="CE90" s="62"/>
      <c r="CF90" s="62"/>
      <c r="CG90" s="62"/>
      <c r="CH90" s="62"/>
      <c r="CI90" s="62"/>
      <c r="CJ90" s="62"/>
    </row>
    <row r="91" s="61" customFormat="1" ht="16" customHeight="1" spans="1:88">
      <c r="A91" s="74"/>
      <c r="B91" s="74"/>
      <c r="C91" s="74"/>
      <c r="D91" s="74"/>
      <c r="E91" s="74"/>
      <c r="F91" s="74"/>
      <c r="G91" s="73"/>
      <c r="H91" s="269" t="s">
        <v>521</v>
      </c>
      <c r="I91" s="146">
        <f>V54</f>
        <v>0</v>
      </c>
      <c r="J91" s="146">
        <f t="shared" ref="J91:L94" si="110">W54</f>
        <v>0</v>
      </c>
      <c r="K91" s="146">
        <f t="shared" si="110"/>
        <v>0</v>
      </c>
      <c r="L91" s="146">
        <f t="shared" si="110"/>
        <v>0</v>
      </c>
      <c r="M91" s="246" t="str">
        <f>IF((IF(I91&lt;1.1,1,0)+IF(J91&lt;1.1,1,0)+IF(K91&lt;1.1,1,0)+IF(L91&lt;1.1,1,0))&gt;=2,"市场异常","市场正常")</f>
        <v>市场异常</v>
      </c>
      <c r="N91" s="151" t="s">
        <v>464</v>
      </c>
      <c r="O91" s="157" t="e">
        <f>IF(O20="","",AC23)</f>
        <v>#DIV/0!</v>
      </c>
      <c r="P91" s="157" t="e">
        <f t="shared" ref="P91:R94" si="111">IF(P20="","",AD23)</f>
        <v>#DIV/0!</v>
      </c>
      <c r="Q91" s="157" t="e">
        <f t="shared" si="111"/>
        <v>#DIV/0!</v>
      </c>
      <c r="R91" s="157" t="e">
        <f t="shared" si="111"/>
        <v>#DIV/0!</v>
      </c>
      <c r="S91" s="74"/>
      <c r="T91" s="120"/>
      <c r="U91" s="74"/>
      <c r="V91" s="74"/>
      <c r="W91" s="74"/>
      <c r="X91" s="74"/>
      <c r="Y91" s="74"/>
      <c r="Z91" s="74"/>
      <c r="AA91" s="73"/>
      <c r="AB91" s="74"/>
      <c r="AC91" s="74"/>
      <c r="AD91" s="74"/>
      <c r="AE91" s="74"/>
      <c r="AF91" s="74"/>
      <c r="AG91" s="74"/>
      <c r="AH91" s="73"/>
      <c r="AI91" s="312"/>
      <c r="AJ91" s="301"/>
      <c r="AK91" s="301"/>
      <c r="AL91" s="301"/>
      <c r="AM91" s="301"/>
      <c r="AN91" s="301"/>
      <c r="AO91" s="301"/>
      <c r="AP91" s="301"/>
      <c r="AQ91" s="301"/>
      <c r="AR91" s="301"/>
      <c r="AS91" s="301"/>
      <c r="AT91" s="301"/>
      <c r="AU91" s="344"/>
      <c r="AV91" s="344"/>
      <c r="AZ91" s="63"/>
      <c r="BR91" s="62"/>
      <c r="BS91" s="62"/>
      <c r="BT91" s="62"/>
      <c r="BU91" s="62"/>
      <c r="BV91" s="62"/>
      <c r="BW91" s="62"/>
      <c r="BX91" s="62"/>
      <c r="BY91" s="62"/>
      <c r="BZ91" s="62"/>
      <c r="CA91" s="62"/>
      <c r="CB91" s="62"/>
      <c r="CC91" s="62"/>
      <c r="CD91" s="62"/>
      <c r="CE91" s="62"/>
      <c r="CF91" s="62"/>
      <c r="CG91" s="62"/>
      <c r="CH91" s="62"/>
      <c r="CI91" s="62"/>
      <c r="CJ91" s="62"/>
    </row>
    <row r="92" s="61" customFormat="1" ht="16" customHeight="1" spans="1:88">
      <c r="A92" s="74"/>
      <c r="B92" s="74"/>
      <c r="C92" s="74"/>
      <c r="D92" s="74"/>
      <c r="E92" s="74"/>
      <c r="F92" s="74"/>
      <c r="G92" s="73"/>
      <c r="H92" s="269" t="s">
        <v>522</v>
      </c>
      <c r="I92" s="146">
        <f t="shared" ref="I92:I94" si="112">V55</f>
        <v>0</v>
      </c>
      <c r="J92" s="146">
        <f t="shared" si="110"/>
        <v>0</v>
      </c>
      <c r="K92" s="146">
        <f t="shared" si="110"/>
        <v>0</v>
      </c>
      <c r="L92" s="146">
        <f t="shared" si="110"/>
        <v>0</v>
      </c>
      <c r="M92" s="246" t="str">
        <f t="shared" ref="M92:M94" si="113">IF((IF(I92&lt;1.1,1,0)+IF(J92&lt;1.1,1,0)+IF(K92&lt;1.1,1,0)+IF(L92&lt;1.1,1,0))&gt;=2,"市场异常","市场正常")</f>
        <v>市场异常</v>
      </c>
      <c r="N92" s="151" t="s">
        <v>465</v>
      </c>
      <c r="O92" s="157" t="e">
        <f t="shared" ref="O92:O94" si="114">IF(O21="","",AC24)</f>
        <v>#DIV/0!</v>
      </c>
      <c r="P92" s="157" t="e">
        <f t="shared" si="111"/>
        <v>#DIV/0!</v>
      </c>
      <c r="Q92" s="157" t="e">
        <f t="shared" si="111"/>
        <v>#DIV/0!</v>
      </c>
      <c r="R92" s="157" t="e">
        <f t="shared" si="111"/>
        <v>#DIV/0!</v>
      </c>
      <c r="S92" s="74"/>
      <c r="T92" s="120"/>
      <c r="U92" s="74"/>
      <c r="V92" s="74"/>
      <c r="W92" s="74"/>
      <c r="X92" s="74"/>
      <c r="Y92" s="74"/>
      <c r="Z92" s="74"/>
      <c r="AA92" s="73"/>
      <c r="AB92" s="74"/>
      <c r="AC92" s="74"/>
      <c r="AD92" s="74"/>
      <c r="AE92" s="74"/>
      <c r="AF92" s="74"/>
      <c r="AG92" s="74"/>
      <c r="AH92" s="73"/>
      <c r="AI92" s="312"/>
      <c r="AJ92" s="301"/>
      <c r="AK92" s="301"/>
      <c r="AL92" s="301"/>
      <c r="AM92" s="301"/>
      <c r="AN92" s="301"/>
      <c r="AO92" s="301"/>
      <c r="AP92" s="301"/>
      <c r="AQ92" s="301"/>
      <c r="AR92" s="301"/>
      <c r="AS92" s="301"/>
      <c r="AT92" s="301"/>
      <c r="AU92" s="344"/>
      <c r="AV92" s="344"/>
      <c r="AZ92" s="63"/>
      <c r="BR92" s="62"/>
      <c r="BS92" s="62"/>
      <c r="BT92" s="62"/>
      <c r="BU92" s="62"/>
      <c r="BV92" s="62"/>
      <c r="BW92" s="62"/>
      <c r="BX92" s="62"/>
      <c r="BY92" s="62"/>
      <c r="BZ92" s="62"/>
      <c r="CA92" s="62"/>
      <c r="CB92" s="62"/>
      <c r="CC92" s="62"/>
      <c r="CD92" s="62"/>
      <c r="CE92" s="62"/>
      <c r="CF92" s="62"/>
      <c r="CG92" s="62"/>
      <c r="CH92" s="62"/>
      <c r="CI92" s="62"/>
      <c r="CJ92" s="62"/>
    </row>
    <row r="93" s="61" customFormat="1" ht="16" customHeight="1" spans="1:88">
      <c r="A93" s="74"/>
      <c r="B93" s="74"/>
      <c r="C93" s="74"/>
      <c r="D93" s="74"/>
      <c r="E93" s="74"/>
      <c r="F93" s="74"/>
      <c r="G93" s="73"/>
      <c r="H93" s="269" t="s">
        <v>523</v>
      </c>
      <c r="I93" s="146">
        <f t="shared" si="112"/>
        <v>0</v>
      </c>
      <c r="J93" s="146">
        <f t="shared" si="110"/>
        <v>0</v>
      </c>
      <c r="K93" s="146">
        <f t="shared" si="110"/>
        <v>0</v>
      </c>
      <c r="L93" s="146">
        <f t="shared" si="110"/>
        <v>0</v>
      </c>
      <c r="M93" s="246" t="str">
        <f t="shared" si="113"/>
        <v>市场异常</v>
      </c>
      <c r="N93" s="151" t="s">
        <v>466</v>
      </c>
      <c r="O93" s="157" t="e">
        <f t="shared" si="114"/>
        <v>#DIV/0!</v>
      </c>
      <c r="P93" s="157" t="e">
        <f t="shared" si="111"/>
        <v>#DIV/0!</v>
      </c>
      <c r="Q93" s="157" t="e">
        <f t="shared" si="111"/>
        <v>#DIV/0!</v>
      </c>
      <c r="R93" s="157" t="e">
        <f t="shared" si="111"/>
        <v>#DIV/0!</v>
      </c>
      <c r="S93" s="74"/>
      <c r="T93" s="120"/>
      <c r="U93" s="74"/>
      <c r="V93" s="74"/>
      <c r="W93" s="74"/>
      <c r="X93" s="74"/>
      <c r="Y93" s="74"/>
      <c r="Z93" s="74"/>
      <c r="AA93" s="73"/>
      <c r="AB93" s="74"/>
      <c r="AC93" s="74"/>
      <c r="AD93" s="74"/>
      <c r="AE93" s="74"/>
      <c r="AF93" s="74"/>
      <c r="AG93" s="74"/>
      <c r="AH93" s="73"/>
      <c r="AI93" s="312"/>
      <c r="AJ93" s="301"/>
      <c r="AK93" s="301"/>
      <c r="AL93" s="301"/>
      <c r="AM93" s="301"/>
      <c r="AN93" s="301"/>
      <c r="AO93" s="301"/>
      <c r="AP93" s="301"/>
      <c r="AQ93" s="301"/>
      <c r="AR93" s="301"/>
      <c r="AS93" s="301"/>
      <c r="AT93" s="301"/>
      <c r="AU93" s="344"/>
      <c r="AV93" s="344"/>
      <c r="AZ93" s="63"/>
      <c r="BR93" s="62"/>
      <c r="BS93" s="62"/>
      <c r="BT93" s="62"/>
      <c r="BU93" s="62"/>
      <c r="BV93" s="62"/>
      <c r="BW93" s="62"/>
      <c r="BX93" s="62"/>
      <c r="BY93" s="62"/>
      <c r="BZ93" s="62"/>
      <c r="CA93" s="62"/>
      <c r="CB93" s="62"/>
      <c r="CC93" s="62"/>
      <c r="CD93" s="62"/>
      <c r="CE93" s="62"/>
      <c r="CF93" s="62"/>
      <c r="CG93" s="62"/>
      <c r="CH93" s="62"/>
      <c r="CI93" s="62"/>
      <c r="CJ93" s="62"/>
    </row>
    <row r="94" s="61" customFormat="1" ht="16" customHeight="1" spans="1:88">
      <c r="A94" s="74"/>
      <c r="B94" s="74"/>
      <c r="C94" s="74"/>
      <c r="D94" s="74"/>
      <c r="E94" s="74"/>
      <c r="F94" s="74"/>
      <c r="G94" s="73"/>
      <c r="H94" s="269" t="s">
        <v>524</v>
      </c>
      <c r="I94" s="146">
        <f t="shared" si="112"/>
        <v>0</v>
      </c>
      <c r="J94" s="146">
        <f t="shared" si="110"/>
        <v>0</v>
      </c>
      <c r="K94" s="146">
        <f t="shared" si="110"/>
        <v>0</v>
      </c>
      <c r="L94" s="146">
        <f t="shared" si="110"/>
        <v>0</v>
      </c>
      <c r="M94" s="246" t="str">
        <f t="shared" si="113"/>
        <v>市场异常</v>
      </c>
      <c r="N94" s="151" t="s">
        <v>468</v>
      </c>
      <c r="O94" s="157" t="e">
        <f t="shared" si="114"/>
        <v>#DIV/0!</v>
      </c>
      <c r="P94" s="157" t="e">
        <f t="shared" si="111"/>
        <v>#DIV/0!</v>
      </c>
      <c r="Q94" s="157" t="e">
        <f t="shared" si="111"/>
        <v>#DIV/0!</v>
      </c>
      <c r="R94" s="157" t="e">
        <f t="shared" si="111"/>
        <v>#DIV/0!</v>
      </c>
      <c r="S94" s="74"/>
      <c r="T94" s="120"/>
      <c r="U94" s="74"/>
      <c r="V94" s="74"/>
      <c r="W94" s="74"/>
      <c r="X94" s="74"/>
      <c r="Y94" s="74"/>
      <c r="Z94" s="74"/>
      <c r="AA94" s="73"/>
      <c r="AB94" s="74"/>
      <c r="AC94" s="74"/>
      <c r="AD94" s="74"/>
      <c r="AE94" s="74"/>
      <c r="AF94" s="74"/>
      <c r="AG94" s="74"/>
      <c r="AH94" s="73"/>
      <c r="AI94" s="312"/>
      <c r="AJ94" s="301"/>
      <c r="AK94" s="301"/>
      <c r="AL94" s="301"/>
      <c r="AM94" s="301"/>
      <c r="AN94" s="301"/>
      <c r="AO94" s="301"/>
      <c r="AP94" s="301"/>
      <c r="AQ94" s="301"/>
      <c r="AR94" s="301"/>
      <c r="AS94" s="301"/>
      <c r="AT94" s="301"/>
      <c r="AU94" s="344"/>
      <c r="AV94" s="344"/>
      <c r="AZ94" s="63"/>
      <c r="BR94" s="62"/>
      <c r="BS94" s="62"/>
      <c r="BT94" s="62"/>
      <c r="BU94" s="62"/>
      <c r="BV94" s="62"/>
      <c r="BW94" s="62"/>
      <c r="BX94" s="62"/>
      <c r="BY94" s="62"/>
      <c r="BZ94" s="62"/>
      <c r="CA94" s="62"/>
      <c r="CB94" s="62"/>
      <c r="CC94" s="62"/>
      <c r="CD94" s="62"/>
      <c r="CE94" s="62"/>
      <c r="CF94" s="62"/>
      <c r="CG94" s="62"/>
      <c r="CH94" s="62"/>
      <c r="CI94" s="62"/>
      <c r="CJ94" s="62"/>
    </row>
    <row r="95" s="61" customFormat="1" ht="16" customHeight="1" spans="1:88">
      <c r="A95" s="74"/>
      <c r="B95" s="74"/>
      <c r="C95" s="74"/>
      <c r="D95" s="74"/>
      <c r="E95" s="74"/>
      <c r="F95" s="74"/>
      <c r="G95" s="331"/>
      <c r="H95" s="74"/>
      <c r="I95" s="74"/>
      <c r="J95" s="74"/>
      <c r="K95" s="74"/>
      <c r="L95" s="74"/>
      <c r="M95" s="85"/>
      <c r="N95" s="74"/>
      <c r="O95" s="74"/>
      <c r="P95" s="74"/>
      <c r="Q95" s="74"/>
      <c r="R95" s="74"/>
      <c r="S95" s="74"/>
      <c r="T95" s="120"/>
      <c r="U95" s="74"/>
      <c r="V95" s="74"/>
      <c r="W95" s="74"/>
      <c r="X95" s="74"/>
      <c r="Y95" s="74"/>
      <c r="Z95" s="74"/>
      <c r="AA95" s="73"/>
      <c r="AB95" s="74"/>
      <c r="AC95" s="74"/>
      <c r="AD95" s="74"/>
      <c r="AE95" s="74"/>
      <c r="AF95" s="74"/>
      <c r="AG95" s="74"/>
      <c r="AH95" s="73"/>
      <c r="AI95" s="312"/>
      <c r="AJ95" s="301"/>
      <c r="AK95" s="301"/>
      <c r="AL95" s="301"/>
      <c r="AM95" s="301"/>
      <c r="AN95" s="301"/>
      <c r="AO95" s="301"/>
      <c r="AP95" s="301"/>
      <c r="AQ95" s="301"/>
      <c r="AR95" s="301"/>
      <c r="AS95" s="301"/>
      <c r="AT95" s="301"/>
      <c r="AU95" s="344"/>
      <c r="AV95" s="344"/>
      <c r="AZ95" s="63"/>
      <c r="BR95" s="62"/>
      <c r="BS95" s="62"/>
      <c r="BT95" s="62"/>
      <c r="BU95" s="62"/>
      <c r="BV95" s="62"/>
      <c r="BW95" s="62"/>
      <c r="BX95" s="62"/>
      <c r="BY95" s="62"/>
      <c r="BZ95" s="62"/>
      <c r="CA95" s="62"/>
      <c r="CB95" s="62"/>
      <c r="CC95" s="62"/>
      <c r="CD95" s="62"/>
      <c r="CE95" s="62"/>
      <c r="CF95" s="62"/>
      <c r="CG95" s="62"/>
      <c r="CH95" s="62"/>
      <c r="CI95" s="62"/>
      <c r="CJ95" s="62"/>
    </row>
    <row r="96" s="61" customFormat="1" ht="16" customHeight="1" spans="1:88">
      <c r="A96" s="74"/>
      <c r="B96" s="74"/>
      <c r="C96" s="74"/>
      <c r="D96" s="74"/>
      <c r="E96" s="74"/>
      <c r="F96" s="74"/>
      <c r="G96" s="73"/>
      <c r="H96" s="269" t="s">
        <v>732</v>
      </c>
      <c r="I96" s="269" t="s">
        <v>513</v>
      </c>
      <c r="J96" s="269" t="s">
        <v>514</v>
      </c>
      <c r="K96" s="269" t="s">
        <v>515</v>
      </c>
      <c r="L96" s="269" t="s">
        <v>516</v>
      </c>
      <c r="M96" s="85"/>
      <c r="N96" s="269" t="s">
        <v>733</v>
      </c>
      <c r="O96" s="269" t="s">
        <v>513</v>
      </c>
      <c r="P96" s="269" t="s">
        <v>514</v>
      </c>
      <c r="Q96" s="269" t="s">
        <v>515</v>
      </c>
      <c r="R96" s="269" t="s">
        <v>516</v>
      </c>
      <c r="S96" s="252" t="s">
        <v>734</v>
      </c>
      <c r="T96" s="252" t="s">
        <v>749</v>
      </c>
      <c r="U96" s="74"/>
      <c r="V96" s="74"/>
      <c r="W96" s="74"/>
      <c r="X96" s="74"/>
      <c r="Y96" s="74"/>
      <c r="Z96" s="74"/>
      <c r="AA96" s="73"/>
      <c r="AB96" s="74"/>
      <c r="AC96" s="74"/>
      <c r="AD96" s="74"/>
      <c r="AE96" s="74"/>
      <c r="AF96" s="74"/>
      <c r="AG96" s="74"/>
      <c r="AH96" s="73"/>
      <c r="AI96" s="312"/>
      <c r="AJ96" s="301"/>
      <c r="AK96" s="301"/>
      <c r="AL96" s="301"/>
      <c r="AM96" s="301"/>
      <c r="AN96" s="301"/>
      <c r="AO96" s="301"/>
      <c r="AP96" s="301"/>
      <c r="AQ96" s="301"/>
      <c r="AR96" s="301"/>
      <c r="AS96" s="301"/>
      <c r="AT96" s="301"/>
      <c r="AU96" s="344"/>
      <c r="AV96" s="344"/>
      <c r="AZ96" s="63"/>
      <c r="BR96" s="62"/>
      <c r="BS96" s="62"/>
      <c r="BT96" s="62"/>
      <c r="BU96" s="62"/>
      <c r="BV96" s="62"/>
      <c r="BW96" s="62"/>
      <c r="BX96" s="62"/>
      <c r="BY96" s="62"/>
      <c r="BZ96" s="62"/>
      <c r="CA96" s="62"/>
      <c r="CB96" s="62"/>
      <c r="CC96" s="62"/>
      <c r="CD96" s="62"/>
      <c r="CE96" s="62"/>
      <c r="CF96" s="62"/>
      <c r="CG96" s="62"/>
      <c r="CH96" s="62"/>
      <c r="CI96" s="62"/>
      <c r="CJ96" s="62"/>
    </row>
    <row r="97" s="61" customFormat="1" ht="16" customHeight="1" spans="1:88">
      <c r="A97" s="74"/>
      <c r="B97" s="74"/>
      <c r="C97" s="74"/>
      <c r="D97" s="74"/>
      <c r="E97" s="74"/>
      <c r="F97" s="74"/>
      <c r="G97" s="73"/>
      <c r="H97" s="269" t="s">
        <v>521</v>
      </c>
      <c r="I97" s="115" t="e">
        <f>第6期!O20-第5期!O20</f>
        <v>#DIV/0!</v>
      </c>
      <c r="J97" s="115" t="e">
        <f>第6期!P20-第5期!P20</f>
        <v>#DIV/0!</v>
      </c>
      <c r="K97" s="115" t="e">
        <f>第6期!Q20-第5期!Q20</f>
        <v>#DIV/0!</v>
      </c>
      <c r="L97" s="115" t="e">
        <f>第6期!R20-第5期!R20</f>
        <v>#DIV/0!</v>
      </c>
      <c r="M97" s="85"/>
      <c r="N97" s="269" t="s">
        <v>521</v>
      </c>
      <c r="O97" s="115">
        <f>V17-第6期!V17</f>
        <v>0</v>
      </c>
      <c r="P97" s="115">
        <f>W17-第6期!W17</f>
        <v>0</v>
      </c>
      <c r="Q97" s="115">
        <f>X17-第6期!X17</f>
        <v>0</v>
      </c>
      <c r="R97" s="115">
        <f>Y17-第6期!Y17</f>
        <v>0</v>
      </c>
      <c r="S97" s="253" t="e">
        <f>(I97+J97)/2+(O97+P97)/2*S73</f>
        <v>#DIV/0!</v>
      </c>
      <c r="T97" s="253" t="e">
        <f>S97-第6期!S97</f>
        <v>#DIV/0!</v>
      </c>
      <c r="U97" s="74"/>
      <c r="V97" s="74"/>
      <c r="W97" s="74"/>
      <c r="X97" s="74"/>
      <c r="Y97" s="74"/>
      <c r="Z97" s="74"/>
      <c r="AA97" s="73"/>
      <c r="AB97" s="74"/>
      <c r="AC97" s="74"/>
      <c r="AD97" s="74"/>
      <c r="AE97" s="74"/>
      <c r="AF97" s="74"/>
      <c r="AG97" s="74"/>
      <c r="AH97" s="73"/>
      <c r="AI97" s="312"/>
      <c r="AJ97" s="301"/>
      <c r="AK97" s="301"/>
      <c r="AL97" s="301"/>
      <c r="AM97" s="301"/>
      <c r="AN97" s="301"/>
      <c r="AO97" s="301"/>
      <c r="AP97" s="301"/>
      <c r="AQ97" s="301"/>
      <c r="AR97" s="301"/>
      <c r="AS97" s="301"/>
      <c r="AT97" s="301"/>
      <c r="AU97" s="344"/>
      <c r="AV97" s="344"/>
      <c r="AZ97" s="63"/>
      <c r="BR97" s="62"/>
      <c r="BS97" s="62"/>
      <c r="BT97" s="62"/>
      <c r="BU97" s="62"/>
      <c r="BV97" s="62"/>
      <c r="BW97" s="62"/>
      <c r="BX97" s="62"/>
      <c r="BY97" s="62"/>
      <c r="BZ97" s="62"/>
      <c r="CA97" s="62"/>
      <c r="CB97" s="62"/>
      <c r="CC97" s="62"/>
      <c r="CD97" s="62"/>
      <c r="CE97" s="62"/>
      <c r="CF97" s="62"/>
      <c r="CG97" s="62"/>
      <c r="CH97" s="62"/>
      <c r="CI97" s="62"/>
      <c r="CJ97" s="62"/>
    </row>
    <row r="98" s="61" customFormat="1" ht="16" customHeight="1" spans="1:88">
      <c r="A98" s="74"/>
      <c r="B98" s="74"/>
      <c r="C98" s="74"/>
      <c r="D98" s="74"/>
      <c r="E98" s="74"/>
      <c r="F98" s="74"/>
      <c r="G98" s="73"/>
      <c r="H98" s="269" t="s">
        <v>522</v>
      </c>
      <c r="I98" s="115" t="e">
        <f>第6期!O21-第5期!O21</f>
        <v>#DIV/0!</v>
      </c>
      <c r="J98" s="115" t="e">
        <f>第6期!P21-第5期!P21</f>
        <v>#DIV/0!</v>
      </c>
      <c r="K98" s="115" t="e">
        <f>第6期!Q21-第5期!Q21</f>
        <v>#DIV/0!</v>
      </c>
      <c r="L98" s="115" t="e">
        <f>第6期!R21-第5期!R21</f>
        <v>#DIV/0!</v>
      </c>
      <c r="M98" s="85"/>
      <c r="N98" s="269" t="s">
        <v>522</v>
      </c>
      <c r="O98" s="115">
        <f>V18-第6期!V18</f>
        <v>0</v>
      </c>
      <c r="P98" s="115">
        <f>W18-第6期!W18</f>
        <v>0</v>
      </c>
      <c r="Q98" s="115">
        <f>X18-第6期!X18</f>
        <v>0</v>
      </c>
      <c r="R98" s="115">
        <f>Y18-第6期!Y18</f>
        <v>0</v>
      </c>
      <c r="S98" s="253" t="e">
        <f t="shared" ref="S98:S100" si="115">(I98+J98)/2+(O98+P98)/2*S74</f>
        <v>#DIV/0!</v>
      </c>
      <c r="T98" s="253" t="e">
        <f>S98-第6期!S98</f>
        <v>#DIV/0!</v>
      </c>
      <c r="U98" s="74"/>
      <c r="V98" s="74"/>
      <c r="W98" s="74"/>
      <c r="X98" s="74"/>
      <c r="Y98" s="74"/>
      <c r="Z98" s="74"/>
      <c r="AA98" s="73"/>
      <c r="AB98" s="74"/>
      <c r="AC98" s="74"/>
      <c r="AD98" s="74"/>
      <c r="AE98" s="74"/>
      <c r="AF98" s="74"/>
      <c r="AG98" s="74"/>
      <c r="AH98" s="73"/>
      <c r="AI98" s="312"/>
      <c r="AJ98" s="301"/>
      <c r="AK98" s="301"/>
      <c r="AL98" s="301"/>
      <c r="AM98" s="301"/>
      <c r="AN98" s="301"/>
      <c r="AO98" s="301"/>
      <c r="AP98" s="301"/>
      <c r="AQ98" s="301"/>
      <c r="AR98" s="301"/>
      <c r="AS98" s="301"/>
      <c r="AT98" s="301"/>
      <c r="AU98" s="344"/>
      <c r="AV98" s="344"/>
      <c r="AZ98" s="63"/>
      <c r="BR98" s="62"/>
      <c r="BS98" s="62"/>
      <c r="BT98" s="62"/>
      <c r="BU98" s="62"/>
      <c r="BV98" s="62"/>
      <c r="BW98" s="62"/>
      <c r="BX98" s="62"/>
      <c r="BY98" s="62"/>
      <c r="BZ98" s="62"/>
      <c r="CA98" s="62"/>
      <c r="CB98" s="62"/>
      <c r="CC98" s="62"/>
      <c r="CD98" s="62"/>
      <c r="CE98" s="62"/>
      <c r="CF98" s="62"/>
      <c r="CG98" s="62"/>
      <c r="CH98" s="62"/>
      <c r="CI98" s="62"/>
      <c r="CJ98" s="62"/>
    </row>
    <row r="99" s="61" customFormat="1" ht="16" customHeight="1" spans="1:88">
      <c r="A99" s="74"/>
      <c r="B99" s="74"/>
      <c r="C99" s="74"/>
      <c r="D99" s="74"/>
      <c r="E99" s="74"/>
      <c r="F99" s="74"/>
      <c r="G99" s="73"/>
      <c r="H99" s="269" t="s">
        <v>523</v>
      </c>
      <c r="I99" s="115" t="e">
        <f>第6期!O22-第5期!O22</f>
        <v>#DIV/0!</v>
      </c>
      <c r="J99" s="115" t="e">
        <f>第6期!P22-第5期!P22</f>
        <v>#DIV/0!</v>
      </c>
      <c r="K99" s="115" t="e">
        <f>第6期!Q22-第5期!Q22</f>
        <v>#DIV/0!</v>
      </c>
      <c r="L99" s="115" t="e">
        <f>第6期!R22-第5期!R22</f>
        <v>#DIV/0!</v>
      </c>
      <c r="M99" s="85"/>
      <c r="N99" s="269" t="s">
        <v>523</v>
      </c>
      <c r="O99" s="115">
        <f>V19-第6期!V19</f>
        <v>0</v>
      </c>
      <c r="P99" s="115">
        <f>W19-第6期!W19</f>
        <v>0</v>
      </c>
      <c r="Q99" s="115">
        <f>X19-第6期!X19</f>
        <v>0</v>
      </c>
      <c r="R99" s="115">
        <f>Y19-第6期!Y19</f>
        <v>0</v>
      </c>
      <c r="S99" s="253" t="e">
        <f t="shared" si="115"/>
        <v>#DIV/0!</v>
      </c>
      <c r="T99" s="253" t="e">
        <f>S99-第6期!S99</f>
        <v>#DIV/0!</v>
      </c>
      <c r="U99" s="74"/>
      <c r="V99" s="74"/>
      <c r="W99" s="74"/>
      <c r="X99" s="74"/>
      <c r="Y99" s="74"/>
      <c r="Z99" s="74"/>
      <c r="AA99" s="73"/>
      <c r="AB99" s="74"/>
      <c r="AC99" s="74"/>
      <c r="AD99" s="74"/>
      <c r="AE99" s="74"/>
      <c r="AF99" s="74"/>
      <c r="AG99" s="74"/>
      <c r="AH99" s="73"/>
      <c r="AI99" s="312"/>
      <c r="AJ99" s="301"/>
      <c r="AK99" s="301"/>
      <c r="AL99" s="301"/>
      <c r="AM99" s="301"/>
      <c r="AN99" s="301"/>
      <c r="AO99" s="301"/>
      <c r="AP99" s="301"/>
      <c r="AQ99" s="301"/>
      <c r="AR99" s="301"/>
      <c r="AS99" s="301"/>
      <c r="AT99" s="301"/>
      <c r="AU99" s="344"/>
      <c r="AV99" s="344"/>
      <c r="AZ99" s="63"/>
      <c r="BR99" s="62"/>
      <c r="BS99" s="62"/>
      <c r="BT99" s="62"/>
      <c r="BU99" s="62"/>
      <c r="BV99" s="62"/>
      <c r="BW99" s="62"/>
      <c r="BX99" s="62"/>
      <c r="BY99" s="62"/>
      <c r="BZ99" s="62"/>
      <c r="CA99" s="62"/>
      <c r="CB99" s="62"/>
      <c r="CC99" s="62"/>
      <c r="CD99" s="62"/>
      <c r="CE99" s="62"/>
      <c r="CF99" s="62"/>
      <c r="CG99" s="62"/>
      <c r="CH99" s="62"/>
      <c r="CI99" s="62"/>
      <c r="CJ99" s="62"/>
    </row>
    <row r="100" s="61" customFormat="1" ht="16" customHeight="1" spans="1:88">
      <c r="A100" s="74"/>
      <c r="B100" s="74"/>
      <c r="C100" s="74"/>
      <c r="D100" s="74"/>
      <c r="E100" s="74"/>
      <c r="F100" s="74"/>
      <c r="G100" s="73"/>
      <c r="H100" s="269" t="s">
        <v>524</v>
      </c>
      <c r="I100" s="115" t="e">
        <f>第6期!O23-第5期!O23</f>
        <v>#DIV/0!</v>
      </c>
      <c r="J100" s="115" t="e">
        <f>第6期!P23-第5期!P23</f>
        <v>#DIV/0!</v>
      </c>
      <c r="K100" s="115" t="e">
        <f>第6期!Q23-第5期!Q23</f>
        <v>#DIV/0!</v>
      </c>
      <c r="L100" s="115" t="e">
        <f>第6期!R23-第5期!R23</f>
        <v>#DIV/0!</v>
      </c>
      <c r="M100" s="85"/>
      <c r="N100" s="269" t="s">
        <v>524</v>
      </c>
      <c r="O100" s="115">
        <f>V20-第6期!V20</f>
        <v>0</v>
      </c>
      <c r="P100" s="115">
        <f>W20-第6期!W20</f>
        <v>0</v>
      </c>
      <c r="Q100" s="115">
        <f>X20-第6期!X20</f>
        <v>0</v>
      </c>
      <c r="R100" s="115">
        <f>Y20-第6期!Y20</f>
        <v>0</v>
      </c>
      <c r="S100" s="253" t="e">
        <f t="shared" si="115"/>
        <v>#DIV/0!</v>
      </c>
      <c r="T100" s="253" t="e">
        <f>S100-第6期!S100</f>
        <v>#DIV/0!</v>
      </c>
      <c r="U100" s="74"/>
      <c r="V100" s="74"/>
      <c r="W100" s="74"/>
      <c r="X100" s="74"/>
      <c r="Y100" s="74"/>
      <c r="Z100" s="74"/>
      <c r="AA100" s="73"/>
      <c r="AB100" s="74"/>
      <c r="AC100" s="74"/>
      <c r="AD100" s="74"/>
      <c r="AE100" s="74"/>
      <c r="AF100" s="74"/>
      <c r="AG100" s="74"/>
      <c r="AH100" s="73"/>
      <c r="AI100" s="312"/>
      <c r="AJ100" s="301"/>
      <c r="AK100" s="301"/>
      <c r="AL100" s="301"/>
      <c r="AM100" s="301"/>
      <c r="AN100" s="301"/>
      <c r="AO100" s="301"/>
      <c r="AP100" s="301"/>
      <c r="AQ100" s="301"/>
      <c r="AR100" s="301"/>
      <c r="AS100" s="301"/>
      <c r="AT100" s="301"/>
      <c r="AU100" s="344"/>
      <c r="AV100" s="344"/>
      <c r="AZ100" s="63"/>
      <c r="BR100" s="62"/>
      <c r="BS100" s="62"/>
      <c r="BT100" s="62"/>
      <c r="BU100" s="62"/>
      <c r="BV100" s="62"/>
      <c r="BW100" s="62"/>
      <c r="BX100" s="62"/>
      <c r="BY100" s="62"/>
      <c r="BZ100" s="62"/>
      <c r="CA100" s="62"/>
      <c r="CB100" s="62"/>
      <c r="CC100" s="62"/>
      <c r="CD100" s="62"/>
      <c r="CE100" s="62"/>
      <c r="CF100" s="62"/>
      <c r="CG100" s="62"/>
      <c r="CH100" s="62"/>
      <c r="CI100" s="62"/>
      <c r="CJ100" s="62"/>
    </row>
    <row r="101" s="61" customFormat="1" ht="16" customHeight="1" spans="7:88">
      <c r="G101" s="63"/>
      <c r="M101" s="247"/>
      <c r="T101" s="64"/>
      <c r="AA101" s="63"/>
      <c r="AH101" s="63"/>
      <c r="AI101" s="312"/>
      <c r="AJ101" s="301"/>
      <c r="AK101" s="301"/>
      <c r="AL101" s="301"/>
      <c r="AM101" s="301"/>
      <c r="AN101" s="301"/>
      <c r="AO101" s="301"/>
      <c r="AP101" s="301"/>
      <c r="AQ101" s="301"/>
      <c r="AR101" s="301"/>
      <c r="AS101" s="301"/>
      <c r="AT101" s="301"/>
      <c r="AU101" s="344"/>
      <c r="AV101" s="344"/>
      <c r="AZ101" s="63"/>
      <c r="BR101" s="62"/>
      <c r="BS101" s="62"/>
      <c r="BT101" s="62"/>
      <c r="BU101" s="62"/>
      <c r="BV101" s="62"/>
      <c r="BW101" s="62"/>
      <c r="BX101" s="62"/>
      <c r="BY101" s="62"/>
      <c r="BZ101" s="62"/>
      <c r="CA101" s="62"/>
      <c r="CB101" s="62"/>
      <c r="CC101" s="62"/>
      <c r="CD101" s="62"/>
      <c r="CE101" s="62"/>
      <c r="CF101" s="62"/>
      <c r="CG101" s="62"/>
      <c r="CH101" s="62"/>
      <c r="CI101" s="62"/>
      <c r="CJ101" s="62"/>
    </row>
    <row r="102" s="61" customFormat="1" ht="16" customHeight="1" spans="7:88">
      <c r="G102" s="63"/>
      <c r="M102" s="247"/>
      <c r="T102" s="64"/>
      <c r="AA102" s="63"/>
      <c r="AH102" s="63"/>
      <c r="AI102" s="312"/>
      <c r="AJ102" s="301"/>
      <c r="AK102" s="301"/>
      <c r="AL102" s="301"/>
      <c r="AM102" s="301"/>
      <c r="AN102" s="301"/>
      <c r="AO102" s="301"/>
      <c r="AP102" s="301"/>
      <c r="AQ102" s="301"/>
      <c r="AR102" s="301"/>
      <c r="AS102" s="301"/>
      <c r="AT102" s="301"/>
      <c r="AU102" s="344"/>
      <c r="AV102" s="344"/>
      <c r="AZ102" s="63"/>
      <c r="BR102" s="62"/>
      <c r="BS102" s="62"/>
      <c r="BT102" s="62"/>
      <c r="BU102" s="62"/>
      <c r="BV102" s="62"/>
      <c r="BW102" s="62"/>
      <c r="BX102" s="62"/>
      <c r="BY102" s="62"/>
      <c r="BZ102" s="62"/>
      <c r="CA102" s="62"/>
      <c r="CB102" s="62"/>
      <c r="CC102" s="62"/>
      <c r="CD102" s="62"/>
      <c r="CE102" s="62"/>
      <c r="CF102" s="62"/>
      <c r="CG102" s="62"/>
      <c r="CH102" s="62"/>
      <c r="CI102" s="62"/>
      <c r="CJ102" s="62"/>
    </row>
    <row r="103" s="61" customFormat="1" ht="16" customHeight="1" spans="7:88">
      <c r="G103" s="63"/>
      <c r="M103" s="247"/>
      <c r="T103" s="64"/>
      <c r="AA103" s="63"/>
      <c r="AH103" s="63"/>
      <c r="AI103" s="312"/>
      <c r="AJ103" s="301"/>
      <c r="AK103" s="301"/>
      <c r="AL103" s="301"/>
      <c r="AM103" s="301"/>
      <c r="AN103" s="301"/>
      <c r="AO103" s="301"/>
      <c r="AP103" s="301"/>
      <c r="AQ103" s="301"/>
      <c r="AR103" s="301"/>
      <c r="AS103" s="301"/>
      <c r="AT103" s="301"/>
      <c r="AU103" s="344"/>
      <c r="AV103" s="344"/>
      <c r="AZ103" s="63"/>
      <c r="BR103" s="62"/>
      <c r="BS103" s="62"/>
      <c r="BT103" s="62"/>
      <c r="BU103" s="62"/>
      <c r="BV103" s="62"/>
      <c r="BW103" s="62"/>
      <c r="BX103" s="62"/>
      <c r="BY103" s="62"/>
      <c r="BZ103" s="62"/>
      <c r="CA103" s="62"/>
      <c r="CB103" s="62"/>
      <c r="CC103" s="62"/>
      <c r="CD103" s="62"/>
      <c r="CE103" s="62"/>
      <c r="CF103" s="62"/>
      <c r="CG103" s="62"/>
      <c r="CH103" s="62"/>
      <c r="CI103" s="62"/>
      <c r="CJ103" s="62"/>
    </row>
    <row r="104" s="61" customFormat="1" ht="16" customHeight="1" spans="7:88">
      <c r="G104" s="63"/>
      <c r="M104" s="247"/>
      <c r="T104" s="64"/>
      <c r="AA104" s="63"/>
      <c r="AH104" s="63"/>
      <c r="AZ104" s="63"/>
      <c r="BR104" s="62"/>
      <c r="BS104" s="62"/>
      <c r="BT104" s="62"/>
      <c r="BU104" s="62"/>
      <c r="BV104" s="62"/>
      <c r="BW104" s="62"/>
      <c r="BX104" s="62"/>
      <c r="BY104" s="62"/>
      <c r="BZ104" s="62"/>
      <c r="CA104" s="62"/>
      <c r="CB104" s="62"/>
      <c r="CC104" s="62"/>
      <c r="CD104" s="62"/>
      <c r="CE104" s="62"/>
      <c r="CF104" s="62"/>
      <c r="CG104" s="62"/>
      <c r="CH104" s="62"/>
      <c r="CI104" s="62"/>
      <c r="CJ104" s="62"/>
    </row>
    <row r="105" s="61" customFormat="1" ht="16" customHeight="1" spans="7:88">
      <c r="G105" s="63"/>
      <c r="M105" s="247"/>
      <c r="T105" s="64"/>
      <c r="AA105" s="63"/>
      <c r="AH105" s="63"/>
      <c r="AZ105" s="63"/>
      <c r="BR105" s="62"/>
      <c r="BS105" s="62"/>
      <c r="BT105" s="62"/>
      <c r="BU105" s="62"/>
      <c r="BV105" s="62"/>
      <c r="BW105" s="62"/>
      <c r="BX105" s="62"/>
      <c r="BY105" s="62"/>
      <c r="BZ105" s="62"/>
      <c r="CA105" s="62"/>
      <c r="CB105" s="62"/>
      <c r="CC105" s="62"/>
      <c r="CD105" s="62"/>
      <c r="CE105" s="62"/>
      <c r="CF105" s="62"/>
      <c r="CG105" s="62"/>
      <c r="CH105" s="62"/>
      <c r="CI105" s="62"/>
      <c r="CJ105" s="62"/>
    </row>
    <row r="106" s="61" customFormat="1" ht="16" customHeight="1" spans="7:88">
      <c r="G106" s="63"/>
      <c r="M106" s="247"/>
      <c r="T106" s="64"/>
      <c r="AA106" s="63"/>
      <c r="AH106" s="63"/>
      <c r="AI106" s="296" t="s">
        <v>37</v>
      </c>
      <c r="AJ106" s="296" t="s">
        <v>358</v>
      </c>
      <c r="AK106" s="296" t="s">
        <v>359</v>
      </c>
      <c r="AL106" s="296" t="s">
        <v>482</v>
      </c>
      <c r="AM106" s="296" t="s">
        <v>483</v>
      </c>
      <c r="AN106" s="296" t="s">
        <v>484</v>
      </c>
      <c r="AO106" s="296" t="s">
        <v>485</v>
      </c>
      <c r="AP106" s="296" t="s">
        <v>486</v>
      </c>
      <c r="AQ106" s="296" t="s">
        <v>487</v>
      </c>
      <c r="AR106" s="345" t="s">
        <v>708</v>
      </c>
      <c r="AS106" s="296" t="s">
        <v>709</v>
      </c>
      <c r="AT106" s="296" t="s">
        <v>710</v>
      </c>
      <c r="AU106" s="345" t="s">
        <v>711</v>
      </c>
      <c r="AV106" s="296" t="s">
        <v>712</v>
      </c>
      <c r="AW106" s="348" t="s">
        <v>713</v>
      </c>
      <c r="AX106" s="296" t="s">
        <v>714</v>
      </c>
      <c r="AY106" s="296" t="s">
        <v>735</v>
      </c>
      <c r="AZ106" s="63"/>
      <c r="BR106" s="62"/>
      <c r="BS106" s="62"/>
      <c r="BT106" s="62"/>
      <c r="BU106" s="62"/>
      <c r="BV106" s="62"/>
      <c r="BW106" s="62"/>
      <c r="BX106" s="62"/>
      <c r="BY106" s="62"/>
      <c r="BZ106" s="62"/>
      <c r="CA106" s="62"/>
      <c r="CB106" s="62"/>
      <c r="CC106" s="62"/>
      <c r="CD106" s="62"/>
      <c r="CE106" s="62"/>
      <c r="CF106" s="62"/>
      <c r="CG106" s="62"/>
      <c r="CH106" s="62"/>
      <c r="CI106" s="62"/>
      <c r="CJ106" s="62"/>
    </row>
    <row r="107" s="61" customFormat="1" ht="16" customHeight="1" spans="7:88">
      <c r="G107" s="63"/>
      <c r="M107" s="247"/>
      <c r="T107" s="64"/>
      <c r="AA107" s="63"/>
      <c r="AH107" s="63"/>
      <c r="AI107" s="312"/>
      <c r="AJ107" s="302"/>
      <c r="AK107" s="302"/>
      <c r="AL107" s="302"/>
      <c r="AM107" s="302"/>
      <c r="AN107" s="302"/>
      <c r="AO107" s="302"/>
      <c r="AP107" s="302"/>
      <c r="AQ107" s="301"/>
      <c r="AR107" s="346">
        <f>-AT107*5%</f>
        <v>0</v>
      </c>
      <c r="AS107" s="346">
        <f>第6期!AS107+第6期!AR107+第6期!AU107</f>
        <v>0</v>
      </c>
      <c r="AT107" s="347">
        <f>第6期!AU107+第6期!AT107</f>
        <v>0</v>
      </c>
      <c r="AU107" s="346">
        <f>0.5*第6期!AP107-AS107</f>
        <v>0</v>
      </c>
      <c r="AV107" s="346">
        <f>AU107+AS107+AR107</f>
        <v>0</v>
      </c>
      <c r="AW107" s="349" t="e">
        <f>AL107/(AP107+AV107)</f>
        <v>#DIV/0!</v>
      </c>
      <c r="AX107" s="350">
        <f>MAX(AK107,第6期!AO107)</f>
        <v>0</v>
      </c>
      <c r="AY107" s="344">
        <f>IF(AI107="",0,IF(AL107&lt;MAX(AL107:AL126)/3,1,0))</f>
        <v>0</v>
      </c>
      <c r="AZ107" s="63"/>
      <c r="BR107" s="62"/>
      <c r="BS107" s="62"/>
      <c r="BT107" s="62"/>
      <c r="BU107" s="62"/>
      <c r="BV107" s="62"/>
      <c r="BW107" s="62"/>
      <c r="BX107" s="62"/>
      <c r="BY107" s="62"/>
      <c r="BZ107" s="62"/>
      <c r="CA107" s="62"/>
      <c r="CB107" s="62"/>
      <c r="CC107" s="62"/>
      <c r="CD107" s="62"/>
      <c r="CE107" s="62"/>
      <c r="CF107" s="62"/>
      <c r="CG107" s="62"/>
      <c r="CH107" s="62"/>
      <c r="CI107" s="62"/>
      <c r="CJ107" s="62"/>
    </row>
    <row r="108" s="61" customFormat="1" ht="16" customHeight="1" spans="7:88">
      <c r="G108" s="63"/>
      <c r="M108" s="247"/>
      <c r="T108" s="64"/>
      <c r="AA108" s="63"/>
      <c r="AH108" s="63"/>
      <c r="AI108" s="312"/>
      <c r="AJ108" s="302"/>
      <c r="AK108" s="302"/>
      <c r="AL108" s="302"/>
      <c r="AM108" s="302"/>
      <c r="AN108" s="302"/>
      <c r="AO108" s="302"/>
      <c r="AP108" s="302"/>
      <c r="AQ108" s="301"/>
      <c r="AR108" s="346">
        <f t="shared" ref="AR108:AR126" si="116">-AT108*5%</f>
        <v>0</v>
      </c>
      <c r="AS108" s="346">
        <f>第6期!AS108+第6期!AR108+第6期!AU108</f>
        <v>0</v>
      </c>
      <c r="AT108" s="347">
        <f>第6期!AU108+第6期!AT108</f>
        <v>0</v>
      </c>
      <c r="AU108" s="346">
        <f>0.5*第6期!AP108-AS108</f>
        <v>0</v>
      </c>
      <c r="AV108" s="346">
        <f t="shared" ref="AV108:AV126" si="117">AU108+AS108+AR108</f>
        <v>0</v>
      </c>
      <c r="AW108" s="349" t="e">
        <f t="shared" ref="AW108:AW126" si="118">AL108/(AP108+AV108)</f>
        <v>#DIV/0!</v>
      </c>
      <c r="AX108" s="350">
        <f>MAX(AK108,第6期!AO108)</f>
        <v>0</v>
      </c>
      <c r="AY108" s="344">
        <f t="shared" ref="AY108:AY126" si="119">IF(AI108="",0,IF(AL108&lt;MAX(AL108:AL127)/3,1,0))</f>
        <v>0</v>
      </c>
      <c r="AZ108" s="63"/>
      <c r="BR108" s="62"/>
      <c r="BS108" s="62"/>
      <c r="BT108" s="62"/>
      <c r="BU108" s="62"/>
      <c r="BV108" s="62"/>
      <c r="BW108" s="62"/>
      <c r="BX108" s="62"/>
      <c r="BY108" s="62"/>
      <c r="BZ108" s="62"/>
      <c r="CA108" s="62"/>
      <c r="CB108" s="62"/>
      <c r="CC108" s="62"/>
      <c r="CD108" s="62"/>
      <c r="CE108" s="62"/>
      <c r="CF108" s="62"/>
      <c r="CG108" s="62"/>
      <c r="CH108" s="62"/>
      <c r="CI108" s="62"/>
      <c r="CJ108" s="62"/>
    </row>
    <row r="109" s="61" customFormat="1" ht="16" customHeight="1" spans="7:88">
      <c r="G109" s="63"/>
      <c r="M109" s="247"/>
      <c r="T109" s="64"/>
      <c r="AA109" s="63"/>
      <c r="AH109" s="63"/>
      <c r="AI109" s="312"/>
      <c r="AJ109" s="302"/>
      <c r="AK109" s="302"/>
      <c r="AL109" s="302"/>
      <c r="AM109" s="302"/>
      <c r="AN109" s="302"/>
      <c r="AO109" s="302"/>
      <c r="AP109" s="302"/>
      <c r="AQ109" s="301"/>
      <c r="AR109" s="346">
        <f t="shared" si="116"/>
        <v>0</v>
      </c>
      <c r="AS109" s="346">
        <f>第6期!AS109+第6期!AR109+第6期!AU109</f>
        <v>0</v>
      </c>
      <c r="AT109" s="347">
        <f>第6期!AU109+第6期!AT109</f>
        <v>0</v>
      </c>
      <c r="AU109" s="346">
        <f>0.5*第6期!AP109-AS109</f>
        <v>0</v>
      </c>
      <c r="AV109" s="346">
        <f t="shared" si="117"/>
        <v>0</v>
      </c>
      <c r="AW109" s="349" t="e">
        <f t="shared" si="118"/>
        <v>#DIV/0!</v>
      </c>
      <c r="AX109" s="350">
        <f>MAX(AK109,第6期!AO109)</f>
        <v>0</v>
      </c>
      <c r="AY109" s="344">
        <f t="shared" si="119"/>
        <v>0</v>
      </c>
      <c r="AZ109" s="63"/>
      <c r="BR109" s="62"/>
      <c r="BS109" s="62"/>
      <c r="BT109" s="62"/>
      <c r="BU109" s="62"/>
      <c r="BV109" s="62"/>
      <c r="BW109" s="62"/>
      <c r="BX109" s="62"/>
      <c r="BY109" s="62"/>
      <c r="BZ109" s="62"/>
      <c r="CA109" s="62"/>
      <c r="CB109" s="62"/>
      <c r="CC109" s="62"/>
      <c r="CD109" s="62"/>
      <c r="CE109" s="62"/>
      <c r="CF109" s="62"/>
      <c r="CG109" s="62"/>
      <c r="CH109" s="62"/>
      <c r="CI109" s="62"/>
      <c r="CJ109" s="62"/>
    </row>
    <row r="110" s="61" customFormat="1" ht="16" customHeight="1" spans="7:88">
      <c r="G110" s="63"/>
      <c r="M110" s="247"/>
      <c r="T110" s="64"/>
      <c r="AA110" s="63"/>
      <c r="AH110" s="63"/>
      <c r="AI110" s="312"/>
      <c r="AJ110" s="302"/>
      <c r="AK110" s="302"/>
      <c r="AL110" s="302"/>
      <c r="AM110" s="302"/>
      <c r="AN110" s="302"/>
      <c r="AO110" s="302"/>
      <c r="AP110" s="302"/>
      <c r="AQ110" s="301"/>
      <c r="AR110" s="346">
        <f t="shared" si="116"/>
        <v>0</v>
      </c>
      <c r="AS110" s="346">
        <f>第6期!AS110+第6期!AR110+第6期!AU110</f>
        <v>0</v>
      </c>
      <c r="AT110" s="347">
        <f>第6期!AU110+第6期!AT110</f>
        <v>0</v>
      </c>
      <c r="AU110" s="346">
        <f>0.5*第6期!AP110-AS110</f>
        <v>0</v>
      </c>
      <c r="AV110" s="346">
        <f t="shared" si="117"/>
        <v>0</v>
      </c>
      <c r="AW110" s="349" t="e">
        <f t="shared" si="118"/>
        <v>#DIV/0!</v>
      </c>
      <c r="AX110" s="350">
        <f>MAX(AK110,第6期!AO110)</f>
        <v>0</v>
      </c>
      <c r="AY110" s="344">
        <f t="shared" si="119"/>
        <v>0</v>
      </c>
      <c r="AZ110" s="63"/>
      <c r="BR110" s="62"/>
      <c r="BS110" s="62"/>
      <c r="BT110" s="62"/>
      <c r="BU110" s="62"/>
      <c r="BV110" s="62"/>
      <c r="BW110" s="62"/>
      <c r="BX110" s="62"/>
      <c r="BY110" s="62"/>
      <c r="BZ110" s="62"/>
      <c r="CA110" s="62"/>
      <c r="CB110" s="62"/>
      <c r="CC110" s="62"/>
      <c r="CD110" s="62"/>
      <c r="CE110" s="62"/>
      <c r="CF110" s="62"/>
      <c r="CG110" s="62"/>
      <c r="CH110" s="62"/>
      <c r="CI110" s="62"/>
      <c r="CJ110" s="62"/>
    </row>
    <row r="111" s="61" customFormat="1" ht="16" customHeight="1" spans="7:88">
      <c r="G111" s="63"/>
      <c r="M111" s="247"/>
      <c r="T111" s="64"/>
      <c r="AA111" s="63"/>
      <c r="AH111" s="63"/>
      <c r="AI111" s="312"/>
      <c r="AJ111" s="302"/>
      <c r="AK111" s="302"/>
      <c r="AL111" s="302"/>
      <c r="AM111" s="302"/>
      <c r="AN111" s="302"/>
      <c r="AO111" s="302"/>
      <c r="AP111" s="302"/>
      <c r="AQ111" s="301"/>
      <c r="AR111" s="346">
        <f t="shared" si="116"/>
        <v>0</v>
      </c>
      <c r="AS111" s="346">
        <f>第6期!AS111+第6期!AR111+第6期!AU111</f>
        <v>0</v>
      </c>
      <c r="AT111" s="347">
        <f>第6期!AU111+第6期!AT111</f>
        <v>0</v>
      </c>
      <c r="AU111" s="346">
        <f>0.5*第6期!AP111-AS111</f>
        <v>0</v>
      </c>
      <c r="AV111" s="346">
        <f t="shared" si="117"/>
        <v>0</v>
      </c>
      <c r="AW111" s="349" t="e">
        <f t="shared" si="118"/>
        <v>#DIV/0!</v>
      </c>
      <c r="AX111" s="350">
        <f>MAX(AK111,第6期!AO111)</f>
        <v>0</v>
      </c>
      <c r="AY111" s="344">
        <f t="shared" si="119"/>
        <v>0</v>
      </c>
      <c r="AZ111" s="63"/>
      <c r="BR111" s="62"/>
      <c r="BS111" s="62"/>
      <c r="BT111" s="62"/>
      <c r="BU111" s="62"/>
      <c r="BV111" s="62"/>
      <c r="BW111" s="62"/>
      <c r="BX111" s="62"/>
      <c r="BY111" s="62"/>
      <c r="BZ111" s="62"/>
      <c r="CA111" s="62"/>
      <c r="CB111" s="62"/>
      <c r="CC111" s="62"/>
      <c r="CD111" s="62"/>
      <c r="CE111" s="62"/>
      <c r="CF111" s="62"/>
      <c r="CG111" s="62"/>
      <c r="CH111" s="62"/>
      <c r="CI111" s="62"/>
      <c r="CJ111" s="62"/>
    </row>
    <row r="112" s="61" customFormat="1" ht="16" customHeight="1" spans="7:88">
      <c r="G112" s="63"/>
      <c r="M112" s="247"/>
      <c r="T112" s="64"/>
      <c r="AA112" s="63"/>
      <c r="AH112" s="63"/>
      <c r="AI112" s="312"/>
      <c r="AJ112" s="302"/>
      <c r="AK112" s="302"/>
      <c r="AL112" s="302"/>
      <c r="AM112" s="302"/>
      <c r="AN112" s="302"/>
      <c r="AO112" s="302"/>
      <c r="AP112" s="302"/>
      <c r="AQ112" s="301"/>
      <c r="AR112" s="346">
        <f t="shared" si="116"/>
        <v>0</v>
      </c>
      <c r="AS112" s="346">
        <f>第6期!AS112+第6期!AR112+第6期!AU112</f>
        <v>0</v>
      </c>
      <c r="AT112" s="347">
        <f>第6期!AU112+第6期!AT112</f>
        <v>0</v>
      </c>
      <c r="AU112" s="346">
        <f>0.5*第6期!AP112-AS112</f>
        <v>0</v>
      </c>
      <c r="AV112" s="346">
        <f t="shared" si="117"/>
        <v>0</v>
      </c>
      <c r="AW112" s="349" t="e">
        <f t="shared" si="118"/>
        <v>#DIV/0!</v>
      </c>
      <c r="AX112" s="350">
        <f>MAX(AK112,第6期!AO112)</f>
        <v>0</v>
      </c>
      <c r="AY112" s="344">
        <f t="shared" si="119"/>
        <v>0</v>
      </c>
      <c r="AZ112" s="63"/>
      <c r="BR112" s="62"/>
      <c r="BS112" s="62"/>
      <c r="BT112" s="62"/>
      <c r="BU112" s="62"/>
      <c r="BV112" s="62"/>
      <c r="BW112" s="62"/>
      <c r="BX112" s="62"/>
      <c r="BY112" s="62"/>
      <c r="BZ112" s="62"/>
      <c r="CA112" s="62"/>
      <c r="CB112" s="62"/>
      <c r="CC112" s="62"/>
      <c r="CD112" s="62"/>
      <c r="CE112" s="62"/>
      <c r="CF112" s="62"/>
      <c r="CG112" s="62"/>
      <c r="CH112" s="62"/>
      <c r="CI112" s="62"/>
      <c r="CJ112" s="62"/>
    </row>
    <row r="113" s="61" customFormat="1" ht="16" customHeight="1" spans="7:88">
      <c r="G113" s="63"/>
      <c r="M113" s="247"/>
      <c r="T113" s="64"/>
      <c r="AA113" s="63"/>
      <c r="AH113" s="63"/>
      <c r="AI113" s="312"/>
      <c r="AJ113" s="302"/>
      <c r="AK113" s="302"/>
      <c r="AL113" s="302"/>
      <c r="AM113" s="302"/>
      <c r="AN113" s="302"/>
      <c r="AO113" s="302"/>
      <c r="AP113" s="302"/>
      <c r="AQ113" s="301"/>
      <c r="AR113" s="346">
        <f t="shared" si="116"/>
        <v>0</v>
      </c>
      <c r="AS113" s="346">
        <f>第6期!AS113+第6期!AR113+第6期!AU113</f>
        <v>0</v>
      </c>
      <c r="AT113" s="347">
        <f>第6期!AU113+第6期!AT113</f>
        <v>0</v>
      </c>
      <c r="AU113" s="346">
        <f>0.5*第6期!AP113-AS113</f>
        <v>0</v>
      </c>
      <c r="AV113" s="346">
        <f t="shared" si="117"/>
        <v>0</v>
      </c>
      <c r="AW113" s="349" t="e">
        <f t="shared" si="118"/>
        <v>#DIV/0!</v>
      </c>
      <c r="AX113" s="350">
        <f>MAX(AK113,第6期!AO113)</f>
        <v>0</v>
      </c>
      <c r="AY113" s="344">
        <f t="shared" si="119"/>
        <v>0</v>
      </c>
      <c r="AZ113" s="63"/>
      <c r="BR113" s="62"/>
      <c r="BS113" s="62"/>
      <c r="BT113" s="62"/>
      <c r="BU113" s="62"/>
      <c r="BV113" s="62"/>
      <c r="BW113" s="62"/>
      <c r="BX113" s="62"/>
      <c r="BY113" s="62"/>
      <c r="BZ113" s="62"/>
      <c r="CA113" s="62"/>
      <c r="CB113" s="62"/>
      <c r="CC113" s="62"/>
      <c r="CD113" s="62"/>
      <c r="CE113" s="62"/>
      <c r="CF113" s="62"/>
      <c r="CG113" s="62"/>
      <c r="CH113" s="62"/>
      <c r="CI113" s="62"/>
      <c r="CJ113" s="62"/>
    </row>
    <row r="114" s="61" customFormat="1" ht="16" customHeight="1" spans="7:88">
      <c r="G114" s="63"/>
      <c r="M114" s="247"/>
      <c r="T114" s="64"/>
      <c r="AA114" s="63"/>
      <c r="AH114" s="63"/>
      <c r="AI114" s="312"/>
      <c r="AJ114" s="302"/>
      <c r="AK114" s="302"/>
      <c r="AL114" s="302"/>
      <c r="AM114" s="302"/>
      <c r="AN114" s="302"/>
      <c r="AO114" s="302"/>
      <c r="AP114" s="302"/>
      <c r="AQ114" s="301"/>
      <c r="AR114" s="346">
        <f t="shared" si="116"/>
        <v>0</v>
      </c>
      <c r="AS114" s="346">
        <f>第6期!AS114+第6期!AR114+第6期!AU114</f>
        <v>0</v>
      </c>
      <c r="AT114" s="347">
        <f>第6期!AU114+第6期!AT114</f>
        <v>0</v>
      </c>
      <c r="AU114" s="346">
        <f>0.5*第6期!AP114-AS114</f>
        <v>0</v>
      </c>
      <c r="AV114" s="346">
        <f t="shared" si="117"/>
        <v>0</v>
      </c>
      <c r="AW114" s="349" t="e">
        <f t="shared" si="118"/>
        <v>#DIV/0!</v>
      </c>
      <c r="AX114" s="350">
        <f>MAX(AK114,第6期!AO114)</f>
        <v>0</v>
      </c>
      <c r="AY114" s="344">
        <f t="shared" si="119"/>
        <v>0</v>
      </c>
      <c r="AZ114" s="63"/>
      <c r="BR114" s="62"/>
      <c r="BS114" s="62"/>
      <c r="BT114" s="62"/>
      <c r="BU114" s="62"/>
      <c r="BV114" s="62"/>
      <c r="BW114" s="62"/>
      <c r="BX114" s="62"/>
      <c r="BY114" s="62"/>
      <c r="BZ114" s="62"/>
      <c r="CA114" s="62"/>
      <c r="CB114" s="62"/>
      <c r="CC114" s="62"/>
      <c r="CD114" s="62"/>
      <c r="CE114" s="62"/>
      <c r="CF114" s="62"/>
      <c r="CG114" s="62"/>
      <c r="CH114" s="62"/>
      <c r="CI114" s="62"/>
      <c r="CJ114" s="62"/>
    </row>
    <row r="115" s="61" customFormat="1" ht="16" customHeight="1" spans="7:88">
      <c r="G115" s="63"/>
      <c r="M115" s="247"/>
      <c r="T115" s="64"/>
      <c r="AA115" s="63"/>
      <c r="AH115" s="63"/>
      <c r="AI115" s="312"/>
      <c r="AJ115" s="302"/>
      <c r="AK115" s="302"/>
      <c r="AL115" s="302"/>
      <c r="AM115" s="302"/>
      <c r="AN115" s="302"/>
      <c r="AO115" s="302"/>
      <c r="AP115" s="302"/>
      <c r="AQ115" s="301"/>
      <c r="AR115" s="346">
        <f t="shared" si="116"/>
        <v>0</v>
      </c>
      <c r="AS115" s="346">
        <f>第6期!AS115+第6期!AR115+第6期!AU115</f>
        <v>0</v>
      </c>
      <c r="AT115" s="347">
        <f>第6期!AU115+第6期!AT115</f>
        <v>0</v>
      </c>
      <c r="AU115" s="346">
        <f>0.5*第6期!AP115-AS115</f>
        <v>0</v>
      </c>
      <c r="AV115" s="346">
        <f t="shared" si="117"/>
        <v>0</v>
      </c>
      <c r="AW115" s="349" t="e">
        <f t="shared" si="118"/>
        <v>#DIV/0!</v>
      </c>
      <c r="AX115" s="350">
        <f>MAX(AK115,第6期!AO115)</f>
        <v>0</v>
      </c>
      <c r="AY115" s="344">
        <f t="shared" si="119"/>
        <v>0</v>
      </c>
      <c r="AZ115" s="63"/>
      <c r="BR115" s="62"/>
      <c r="BS115" s="62"/>
      <c r="BT115" s="62"/>
      <c r="BU115" s="62"/>
      <c r="BV115" s="62"/>
      <c r="BW115" s="62"/>
      <c r="BX115" s="62"/>
      <c r="BY115" s="62"/>
      <c r="BZ115" s="62"/>
      <c r="CA115" s="62"/>
      <c r="CB115" s="62"/>
      <c r="CC115" s="62"/>
      <c r="CD115" s="62"/>
      <c r="CE115" s="62"/>
      <c r="CF115" s="62"/>
      <c r="CG115" s="62"/>
      <c r="CH115" s="62"/>
      <c r="CI115" s="62"/>
      <c r="CJ115" s="62"/>
    </row>
    <row r="116" s="61" customFormat="1" ht="16" customHeight="1" spans="7:88">
      <c r="G116" s="63"/>
      <c r="M116" s="247"/>
      <c r="T116" s="64"/>
      <c r="AA116" s="63"/>
      <c r="AH116" s="63"/>
      <c r="AI116" s="312"/>
      <c r="AJ116" s="302"/>
      <c r="AK116" s="302"/>
      <c r="AL116" s="302"/>
      <c r="AM116" s="302"/>
      <c r="AN116" s="302"/>
      <c r="AO116" s="302"/>
      <c r="AP116" s="302"/>
      <c r="AQ116" s="301"/>
      <c r="AR116" s="346">
        <f t="shared" si="116"/>
        <v>0</v>
      </c>
      <c r="AS116" s="346">
        <f>第6期!AS116+第6期!AR116+第6期!AU116</f>
        <v>0</v>
      </c>
      <c r="AT116" s="347">
        <f>第6期!AU116+第6期!AT116</f>
        <v>0</v>
      </c>
      <c r="AU116" s="346">
        <f>0.5*第6期!AP116-AS116</f>
        <v>0</v>
      </c>
      <c r="AV116" s="346">
        <f t="shared" si="117"/>
        <v>0</v>
      </c>
      <c r="AW116" s="349" t="e">
        <f t="shared" si="118"/>
        <v>#DIV/0!</v>
      </c>
      <c r="AX116" s="350">
        <f>MAX(AK116,第6期!AO116)</f>
        <v>0</v>
      </c>
      <c r="AY116" s="344">
        <f t="shared" si="119"/>
        <v>0</v>
      </c>
      <c r="AZ116" s="63"/>
      <c r="BR116" s="62"/>
      <c r="BS116" s="62"/>
      <c r="BT116" s="62"/>
      <c r="BU116" s="62"/>
      <c r="BV116" s="62"/>
      <c r="BW116" s="62"/>
      <c r="BX116" s="62"/>
      <c r="BY116" s="62"/>
      <c r="BZ116" s="62"/>
      <c r="CA116" s="62"/>
      <c r="CB116" s="62"/>
      <c r="CC116" s="62"/>
      <c r="CD116" s="62"/>
      <c r="CE116" s="62"/>
      <c r="CF116" s="62"/>
      <c r="CG116" s="62"/>
      <c r="CH116" s="62"/>
      <c r="CI116" s="62"/>
      <c r="CJ116" s="62"/>
    </row>
    <row r="117" s="61" customFormat="1" ht="16" customHeight="1" spans="7:88">
      <c r="G117" s="63"/>
      <c r="M117" s="247"/>
      <c r="T117" s="64"/>
      <c r="AA117" s="63"/>
      <c r="AH117" s="63"/>
      <c r="AI117" s="312"/>
      <c r="AJ117" s="302"/>
      <c r="AK117" s="302"/>
      <c r="AL117" s="302"/>
      <c r="AM117" s="302"/>
      <c r="AN117" s="302"/>
      <c r="AO117" s="302"/>
      <c r="AP117" s="302"/>
      <c r="AQ117" s="301"/>
      <c r="AR117" s="346">
        <f t="shared" si="116"/>
        <v>0</v>
      </c>
      <c r="AS117" s="346">
        <f>第6期!AS117+第6期!AR117+第6期!AU117</f>
        <v>0</v>
      </c>
      <c r="AT117" s="347">
        <f>第6期!AU117+第6期!AT117</f>
        <v>0</v>
      </c>
      <c r="AU117" s="346">
        <f>0.5*第6期!AP117-AS117</f>
        <v>0</v>
      </c>
      <c r="AV117" s="346">
        <f t="shared" si="117"/>
        <v>0</v>
      </c>
      <c r="AW117" s="349" t="e">
        <f t="shared" si="118"/>
        <v>#DIV/0!</v>
      </c>
      <c r="AX117" s="350">
        <f>MAX(AK117,第6期!AO117)</f>
        <v>0</v>
      </c>
      <c r="AY117" s="344">
        <f t="shared" si="119"/>
        <v>0</v>
      </c>
      <c r="AZ117" s="63"/>
      <c r="BR117" s="62"/>
      <c r="BS117" s="62"/>
      <c r="BT117" s="62"/>
      <c r="BU117" s="62"/>
      <c r="BV117" s="62"/>
      <c r="BW117" s="62"/>
      <c r="BX117" s="62"/>
      <c r="BY117" s="62"/>
      <c r="BZ117" s="62"/>
      <c r="CA117" s="62"/>
      <c r="CB117" s="62"/>
      <c r="CC117" s="62"/>
      <c r="CD117" s="62"/>
      <c r="CE117" s="62"/>
      <c r="CF117" s="62"/>
      <c r="CG117" s="62"/>
      <c r="CH117" s="62"/>
      <c r="CI117" s="62"/>
      <c r="CJ117" s="62"/>
    </row>
    <row r="118" s="61" customFormat="1" ht="16" customHeight="1" spans="7:88">
      <c r="G118" s="63"/>
      <c r="M118" s="247"/>
      <c r="T118" s="64"/>
      <c r="AA118" s="63"/>
      <c r="AH118" s="63"/>
      <c r="AI118" s="312"/>
      <c r="AJ118" s="302"/>
      <c r="AK118" s="302"/>
      <c r="AL118" s="302"/>
      <c r="AM118" s="302"/>
      <c r="AN118" s="302"/>
      <c r="AO118" s="302"/>
      <c r="AP118" s="302"/>
      <c r="AQ118" s="301"/>
      <c r="AR118" s="346">
        <f t="shared" si="116"/>
        <v>0</v>
      </c>
      <c r="AS118" s="346">
        <f>第6期!AS118+第6期!AR118+第6期!AU118</f>
        <v>0</v>
      </c>
      <c r="AT118" s="347">
        <f>第6期!AU118+第6期!AT118</f>
        <v>0</v>
      </c>
      <c r="AU118" s="346">
        <f>0.5*第6期!AP118-AS118</f>
        <v>0</v>
      </c>
      <c r="AV118" s="346">
        <f t="shared" si="117"/>
        <v>0</v>
      </c>
      <c r="AW118" s="349" t="e">
        <f t="shared" si="118"/>
        <v>#DIV/0!</v>
      </c>
      <c r="AX118" s="350">
        <f>MAX(AK118,第6期!AO118)</f>
        <v>0</v>
      </c>
      <c r="AY118" s="344">
        <f t="shared" si="119"/>
        <v>0</v>
      </c>
      <c r="AZ118" s="63"/>
      <c r="BR118" s="62"/>
      <c r="BS118" s="62"/>
      <c r="BT118" s="62"/>
      <c r="BU118" s="62"/>
      <c r="BV118" s="62"/>
      <c r="BW118" s="62"/>
      <c r="BX118" s="62"/>
      <c r="BY118" s="62"/>
      <c r="BZ118" s="62"/>
      <c r="CA118" s="62"/>
      <c r="CB118" s="62"/>
      <c r="CC118" s="62"/>
      <c r="CD118" s="62"/>
      <c r="CE118" s="62"/>
      <c r="CF118" s="62"/>
      <c r="CG118" s="62"/>
      <c r="CH118" s="62"/>
      <c r="CI118" s="62"/>
      <c r="CJ118" s="62"/>
    </row>
    <row r="119" s="61" customFormat="1" ht="16" customHeight="1" spans="7:88">
      <c r="G119" s="63"/>
      <c r="M119" s="247"/>
      <c r="T119" s="64"/>
      <c r="AA119" s="63"/>
      <c r="AH119" s="63"/>
      <c r="AI119" s="312"/>
      <c r="AJ119" s="302"/>
      <c r="AK119" s="302"/>
      <c r="AL119" s="302"/>
      <c r="AM119" s="302"/>
      <c r="AN119" s="302"/>
      <c r="AO119" s="302"/>
      <c r="AP119" s="302"/>
      <c r="AQ119" s="301"/>
      <c r="AR119" s="346">
        <f t="shared" si="116"/>
        <v>0</v>
      </c>
      <c r="AS119" s="346">
        <f>第6期!AS119+第6期!AR119+第6期!AU119</f>
        <v>0</v>
      </c>
      <c r="AT119" s="347">
        <f>第6期!AU119+第6期!AT119</f>
        <v>0</v>
      </c>
      <c r="AU119" s="346">
        <f>0.5*第6期!AP119-AS119</f>
        <v>0</v>
      </c>
      <c r="AV119" s="346">
        <f t="shared" si="117"/>
        <v>0</v>
      </c>
      <c r="AW119" s="349" t="e">
        <f t="shared" si="118"/>
        <v>#DIV/0!</v>
      </c>
      <c r="AX119" s="350">
        <f>MAX(AK119,第6期!AO119)</f>
        <v>0</v>
      </c>
      <c r="AY119" s="344">
        <f t="shared" si="119"/>
        <v>0</v>
      </c>
      <c r="AZ119" s="63"/>
      <c r="BR119" s="62"/>
      <c r="BS119" s="62"/>
      <c r="BT119" s="62"/>
      <c r="BU119" s="62"/>
      <c r="BV119" s="62"/>
      <c r="BW119" s="62"/>
      <c r="BX119" s="62"/>
      <c r="BY119" s="62"/>
      <c r="BZ119" s="62"/>
      <c r="CA119" s="62"/>
      <c r="CB119" s="62"/>
      <c r="CC119" s="62"/>
      <c r="CD119" s="62"/>
      <c r="CE119" s="62"/>
      <c r="CF119" s="62"/>
      <c r="CG119" s="62"/>
      <c r="CH119" s="62"/>
      <c r="CI119" s="62"/>
      <c r="CJ119" s="62"/>
    </row>
    <row r="120" s="61" customFormat="1" ht="16" customHeight="1" spans="7:88">
      <c r="G120" s="63"/>
      <c r="M120" s="247"/>
      <c r="T120" s="64"/>
      <c r="AA120" s="63"/>
      <c r="AH120" s="63"/>
      <c r="AI120" s="312"/>
      <c r="AJ120" s="302"/>
      <c r="AK120" s="302"/>
      <c r="AL120" s="302"/>
      <c r="AM120" s="302"/>
      <c r="AN120" s="302"/>
      <c r="AO120" s="302"/>
      <c r="AP120" s="302"/>
      <c r="AQ120" s="301"/>
      <c r="AR120" s="346">
        <f t="shared" si="116"/>
        <v>0</v>
      </c>
      <c r="AS120" s="346">
        <f>第6期!AS120+第6期!AR120+第6期!AU120</f>
        <v>0</v>
      </c>
      <c r="AT120" s="347">
        <f>第6期!AU120+第6期!AT120</f>
        <v>0</v>
      </c>
      <c r="AU120" s="346">
        <f>0.5*第6期!AP120-AS120</f>
        <v>0</v>
      </c>
      <c r="AV120" s="346">
        <f t="shared" si="117"/>
        <v>0</v>
      </c>
      <c r="AW120" s="349" t="e">
        <f t="shared" si="118"/>
        <v>#DIV/0!</v>
      </c>
      <c r="AX120" s="350">
        <f>MAX(AK120,第6期!AO120)</f>
        <v>0</v>
      </c>
      <c r="AY120" s="344">
        <f t="shared" si="119"/>
        <v>0</v>
      </c>
      <c r="AZ120" s="63"/>
      <c r="BR120" s="62"/>
      <c r="BS120" s="62"/>
      <c r="BT120" s="62"/>
      <c r="BU120" s="62"/>
      <c r="BV120" s="62"/>
      <c r="BW120" s="62"/>
      <c r="BX120" s="62"/>
      <c r="BY120" s="62"/>
      <c r="BZ120" s="62"/>
      <c r="CA120" s="62"/>
      <c r="CB120" s="62"/>
      <c r="CC120" s="62"/>
      <c r="CD120" s="62"/>
      <c r="CE120" s="62"/>
      <c r="CF120" s="62"/>
      <c r="CG120" s="62"/>
      <c r="CH120" s="62"/>
      <c r="CI120" s="62"/>
      <c r="CJ120" s="62"/>
    </row>
    <row r="121" s="61" customFormat="1" ht="16" customHeight="1" spans="7:88">
      <c r="G121" s="63"/>
      <c r="M121" s="247"/>
      <c r="T121" s="64"/>
      <c r="AA121" s="63"/>
      <c r="AH121" s="63"/>
      <c r="AI121" s="312"/>
      <c r="AJ121" s="302"/>
      <c r="AK121" s="302"/>
      <c r="AL121" s="302"/>
      <c r="AM121" s="302"/>
      <c r="AN121" s="302"/>
      <c r="AO121" s="302"/>
      <c r="AP121" s="302"/>
      <c r="AQ121" s="301"/>
      <c r="AR121" s="346">
        <f t="shared" si="116"/>
        <v>0</v>
      </c>
      <c r="AS121" s="346">
        <f>第6期!AS121+第6期!AR121+第6期!AU121</f>
        <v>0</v>
      </c>
      <c r="AT121" s="347">
        <f>第6期!AU121+第6期!AT121</f>
        <v>0</v>
      </c>
      <c r="AU121" s="346">
        <f>0.5*第6期!AP121-AS121</f>
        <v>0</v>
      </c>
      <c r="AV121" s="346">
        <f t="shared" si="117"/>
        <v>0</v>
      </c>
      <c r="AW121" s="349" t="e">
        <f t="shared" si="118"/>
        <v>#DIV/0!</v>
      </c>
      <c r="AX121" s="350">
        <f>MAX(AK121,第6期!AO121)</f>
        <v>0</v>
      </c>
      <c r="AY121" s="344">
        <f t="shared" si="119"/>
        <v>0</v>
      </c>
      <c r="AZ121" s="63"/>
      <c r="BR121" s="62"/>
      <c r="BS121" s="62"/>
      <c r="BT121" s="62"/>
      <c r="BU121" s="62"/>
      <c r="BV121" s="62"/>
      <c r="BW121" s="62"/>
      <c r="BX121" s="62"/>
      <c r="BY121" s="62"/>
      <c r="BZ121" s="62"/>
      <c r="CA121" s="62"/>
      <c r="CB121" s="62"/>
      <c r="CC121" s="62"/>
      <c r="CD121" s="62"/>
      <c r="CE121" s="62"/>
      <c r="CF121" s="62"/>
      <c r="CG121" s="62"/>
      <c r="CH121" s="62"/>
      <c r="CI121" s="62"/>
      <c r="CJ121" s="62"/>
    </row>
    <row r="122" s="61" customFormat="1" ht="16" customHeight="1" spans="7:88">
      <c r="G122" s="63"/>
      <c r="M122" s="247"/>
      <c r="T122" s="64"/>
      <c r="AA122" s="63"/>
      <c r="AH122" s="63"/>
      <c r="AI122" s="312"/>
      <c r="AJ122" s="302"/>
      <c r="AK122" s="302"/>
      <c r="AL122" s="302"/>
      <c r="AM122" s="302"/>
      <c r="AN122" s="302"/>
      <c r="AO122" s="302"/>
      <c r="AP122" s="302"/>
      <c r="AQ122" s="301"/>
      <c r="AR122" s="346">
        <f t="shared" si="116"/>
        <v>0</v>
      </c>
      <c r="AS122" s="346">
        <f>第6期!AS122+第6期!AR122+第6期!AU122</f>
        <v>0</v>
      </c>
      <c r="AT122" s="347">
        <f>第6期!AU122+第6期!AT122</f>
        <v>0</v>
      </c>
      <c r="AU122" s="346">
        <f>0.5*第6期!AP122-AS122</f>
        <v>0</v>
      </c>
      <c r="AV122" s="346">
        <f t="shared" si="117"/>
        <v>0</v>
      </c>
      <c r="AW122" s="349" t="e">
        <f t="shared" si="118"/>
        <v>#DIV/0!</v>
      </c>
      <c r="AX122" s="350">
        <f>MAX(AK122,第6期!AO122)</f>
        <v>0</v>
      </c>
      <c r="AY122" s="344">
        <f t="shared" si="119"/>
        <v>0</v>
      </c>
      <c r="AZ122" s="63"/>
      <c r="BR122" s="62"/>
      <c r="BS122" s="62"/>
      <c r="BT122" s="62"/>
      <c r="BU122" s="62"/>
      <c r="BV122" s="62"/>
      <c r="BW122" s="62"/>
      <c r="BX122" s="62"/>
      <c r="BY122" s="62"/>
      <c r="BZ122" s="62"/>
      <c r="CA122" s="62"/>
      <c r="CB122" s="62"/>
      <c r="CC122" s="62"/>
      <c r="CD122" s="62"/>
      <c r="CE122" s="62"/>
      <c r="CF122" s="62"/>
      <c r="CG122" s="62"/>
      <c r="CH122" s="62"/>
      <c r="CI122" s="62"/>
      <c r="CJ122" s="62"/>
    </row>
    <row r="123" s="61" customFormat="1" ht="16" customHeight="1" spans="7:88">
      <c r="G123" s="63"/>
      <c r="M123" s="247"/>
      <c r="T123" s="64"/>
      <c r="AA123" s="63"/>
      <c r="AH123" s="63"/>
      <c r="AI123" s="312"/>
      <c r="AJ123" s="302"/>
      <c r="AK123" s="302"/>
      <c r="AL123" s="302"/>
      <c r="AM123" s="302"/>
      <c r="AN123" s="302"/>
      <c r="AO123" s="302"/>
      <c r="AP123" s="302"/>
      <c r="AQ123" s="301"/>
      <c r="AR123" s="346">
        <f t="shared" si="116"/>
        <v>0</v>
      </c>
      <c r="AS123" s="346">
        <f>第6期!AS123+第6期!AR123+第6期!AU123</f>
        <v>0</v>
      </c>
      <c r="AT123" s="347">
        <f>第6期!AU123+第6期!AT123</f>
        <v>0</v>
      </c>
      <c r="AU123" s="346">
        <f>0.5*第6期!AP123-AS123</f>
        <v>0</v>
      </c>
      <c r="AV123" s="346">
        <f t="shared" si="117"/>
        <v>0</v>
      </c>
      <c r="AW123" s="349" t="e">
        <f t="shared" si="118"/>
        <v>#DIV/0!</v>
      </c>
      <c r="AX123" s="350">
        <f>MAX(AK123,第6期!AO123)</f>
        <v>0</v>
      </c>
      <c r="AY123" s="344">
        <f t="shared" si="119"/>
        <v>0</v>
      </c>
      <c r="AZ123" s="63"/>
      <c r="BR123" s="62"/>
      <c r="BS123" s="62"/>
      <c r="BT123" s="62"/>
      <c r="BU123" s="62"/>
      <c r="BV123" s="62"/>
      <c r="BW123" s="62"/>
      <c r="BX123" s="62"/>
      <c r="BY123" s="62"/>
      <c r="BZ123" s="62"/>
      <c r="CA123" s="62"/>
      <c r="CB123" s="62"/>
      <c r="CC123" s="62"/>
      <c r="CD123" s="62"/>
      <c r="CE123" s="62"/>
      <c r="CF123" s="62"/>
      <c r="CG123" s="62"/>
      <c r="CH123" s="62"/>
      <c r="CI123" s="62"/>
      <c r="CJ123" s="62"/>
    </row>
    <row r="124" s="61" customFormat="1" ht="16" customHeight="1" spans="7:88">
      <c r="G124" s="63"/>
      <c r="M124" s="247"/>
      <c r="T124" s="64"/>
      <c r="AA124" s="63"/>
      <c r="AH124" s="63"/>
      <c r="AI124" s="312"/>
      <c r="AJ124" s="302"/>
      <c r="AK124" s="302"/>
      <c r="AL124" s="302"/>
      <c r="AM124" s="302"/>
      <c r="AN124" s="302"/>
      <c r="AO124" s="302"/>
      <c r="AP124" s="302"/>
      <c r="AQ124" s="301"/>
      <c r="AR124" s="346">
        <f t="shared" si="116"/>
        <v>0</v>
      </c>
      <c r="AS124" s="346">
        <f>第6期!AS124+第6期!AR124+第6期!AU124</f>
        <v>0</v>
      </c>
      <c r="AT124" s="347">
        <f>第6期!AU124+第6期!AT124</f>
        <v>0</v>
      </c>
      <c r="AU124" s="346">
        <f>0.5*第6期!AP124-AS124</f>
        <v>0</v>
      </c>
      <c r="AV124" s="346">
        <f t="shared" si="117"/>
        <v>0</v>
      </c>
      <c r="AW124" s="349" t="e">
        <f t="shared" si="118"/>
        <v>#DIV/0!</v>
      </c>
      <c r="AX124" s="350">
        <f>MAX(AK124,第6期!AO124)</f>
        <v>0</v>
      </c>
      <c r="AY124" s="344">
        <f t="shared" si="119"/>
        <v>0</v>
      </c>
      <c r="AZ124" s="63"/>
      <c r="BR124" s="62"/>
      <c r="BS124" s="62"/>
      <c r="BT124" s="62"/>
      <c r="BU124" s="62"/>
      <c r="BV124" s="62"/>
      <c r="BW124" s="62"/>
      <c r="BX124" s="62"/>
      <c r="BY124" s="62"/>
      <c r="BZ124" s="62"/>
      <c r="CA124" s="62"/>
      <c r="CB124" s="62"/>
      <c r="CC124" s="62"/>
      <c r="CD124" s="62"/>
      <c r="CE124" s="62"/>
      <c r="CF124" s="62"/>
      <c r="CG124" s="62"/>
      <c r="CH124" s="62"/>
      <c r="CI124" s="62"/>
      <c r="CJ124" s="62"/>
    </row>
    <row r="125" s="61" customFormat="1" ht="16" customHeight="1" spans="7:88">
      <c r="G125" s="63"/>
      <c r="M125" s="247"/>
      <c r="T125" s="64"/>
      <c r="AA125" s="63"/>
      <c r="AH125" s="63"/>
      <c r="AI125" s="312"/>
      <c r="AJ125" s="302"/>
      <c r="AK125" s="302"/>
      <c r="AL125" s="302"/>
      <c r="AM125" s="302"/>
      <c r="AN125" s="302"/>
      <c r="AO125" s="302"/>
      <c r="AP125" s="302"/>
      <c r="AQ125" s="301"/>
      <c r="AR125" s="346">
        <f t="shared" si="116"/>
        <v>0</v>
      </c>
      <c r="AS125" s="346">
        <f>第6期!AS125+第6期!AR125+第6期!AU125</f>
        <v>0</v>
      </c>
      <c r="AT125" s="347">
        <f>第6期!AU125+第6期!AT125</f>
        <v>0</v>
      </c>
      <c r="AU125" s="346">
        <f>0.5*第6期!AP125-AS125</f>
        <v>0</v>
      </c>
      <c r="AV125" s="346">
        <f t="shared" si="117"/>
        <v>0</v>
      </c>
      <c r="AW125" s="349" t="e">
        <f t="shared" si="118"/>
        <v>#DIV/0!</v>
      </c>
      <c r="AX125" s="350">
        <f>MAX(AK125,第6期!AO125)</f>
        <v>0</v>
      </c>
      <c r="AY125" s="344">
        <f t="shared" si="119"/>
        <v>0</v>
      </c>
      <c r="AZ125" s="63"/>
      <c r="BR125" s="62"/>
      <c r="BS125" s="62"/>
      <c r="BT125" s="62"/>
      <c r="BU125" s="62"/>
      <c r="BV125" s="62"/>
      <c r="BW125" s="62"/>
      <c r="BX125" s="62"/>
      <c r="BY125" s="62"/>
      <c r="BZ125" s="62"/>
      <c r="CA125" s="62"/>
      <c r="CB125" s="62"/>
      <c r="CC125" s="62"/>
      <c r="CD125" s="62"/>
      <c r="CE125" s="62"/>
      <c r="CF125" s="62"/>
      <c r="CG125" s="62"/>
      <c r="CH125" s="62"/>
      <c r="CI125" s="62"/>
      <c r="CJ125" s="62"/>
    </row>
    <row r="126" s="61" customFormat="1" ht="16" customHeight="1" spans="7:88">
      <c r="G126" s="63"/>
      <c r="M126" s="247"/>
      <c r="T126" s="64"/>
      <c r="AA126" s="63"/>
      <c r="AH126" s="63"/>
      <c r="AI126" s="312"/>
      <c r="AJ126" s="302"/>
      <c r="AK126" s="302"/>
      <c r="AL126" s="302"/>
      <c r="AM126" s="302"/>
      <c r="AN126" s="302"/>
      <c r="AO126" s="302"/>
      <c r="AP126" s="302"/>
      <c r="AQ126" s="301"/>
      <c r="AR126" s="346">
        <f t="shared" si="116"/>
        <v>0</v>
      </c>
      <c r="AS126" s="346">
        <f>第6期!AS126+第6期!AR126+第6期!AU126</f>
        <v>0</v>
      </c>
      <c r="AT126" s="347">
        <f>第6期!AU126+第6期!AT126</f>
        <v>0</v>
      </c>
      <c r="AU126" s="346">
        <f>0.5*第6期!AP126-AS126</f>
        <v>0</v>
      </c>
      <c r="AV126" s="346">
        <f t="shared" si="117"/>
        <v>0</v>
      </c>
      <c r="AW126" s="349" t="e">
        <f t="shared" si="118"/>
        <v>#DIV/0!</v>
      </c>
      <c r="AX126" s="350">
        <f>MAX(AK126,第6期!AO126)</f>
        <v>0</v>
      </c>
      <c r="AY126" s="344">
        <f t="shared" si="119"/>
        <v>0</v>
      </c>
      <c r="AZ126" s="63"/>
      <c r="BR126" s="62"/>
      <c r="BS126" s="62"/>
      <c r="BT126" s="62"/>
      <c r="BU126" s="62"/>
      <c r="BV126" s="62"/>
      <c r="BW126" s="62"/>
      <c r="BX126" s="62"/>
      <c r="BY126" s="62"/>
      <c r="BZ126" s="62"/>
      <c r="CA126" s="62"/>
      <c r="CB126" s="62"/>
      <c r="CC126" s="62"/>
      <c r="CD126" s="62"/>
      <c r="CE126" s="62"/>
      <c r="CF126" s="62"/>
      <c r="CG126" s="62"/>
      <c r="CH126" s="62"/>
      <c r="CI126" s="62"/>
      <c r="CJ126" s="62"/>
    </row>
    <row r="127" s="61" customFormat="1" ht="16" customHeight="1" spans="7:88">
      <c r="G127" s="63"/>
      <c r="M127" s="247"/>
      <c r="T127" s="64"/>
      <c r="AA127" s="63"/>
      <c r="AH127" s="63"/>
      <c r="AZ127" s="63"/>
      <c r="BR127" s="62"/>
      <c r="BS127" s="62"/>
      <c r="BT127" s="62"/>
      <c r="BU127" s="62"/>
      <c r="BV127" s="62"/>
      <c r="BW127" s="62"/>
      <c r="BX127" s="62"/>
      <c r="BY127" s="62"/>
      <c r="BZ127" s="62"/>
      <c r="CA127" s="62"/>
      <c r="CB127" s="62"/>
      <c r="CC127" s="62"/>
      <c r="CD127" s="62"/>
      <c r="CE127" s="62"/>
      <c r="CF127" s="62"/>
      <c r="CG127" s="62"/>
      <c r="CH127" s="62"/>
      <c r="CI127" s="62"/>
      <c r="CJ127" s="62"/>
    </row>
    <row r="128" s="61" customFormat="1" ht="16" customHeight="1" spans="7:88">
      <c r="G128" s="63"/>
      <c r="M128" s="247"/>
      <c r="T128" s="64"/>
      <c r="AA128" s="63"/>
      <c r="AH128" s="63"/>
      <c r="AZ128" s="63"/>
      <c r="BR128" s="62"/>
      <c r="BS128" s="62"/>
      <c r="BT128" s="62"/>
      <c r="BU128" s="62"/>
      <c r="BV128" s="62"/>
      <c r="BW128" s="62"/>
      <c r="BX128" s="62"/>
      <c r="BY128" s="62"/>
      <c r="BZ128" s="62"/>
      <c r="CA128" s="62"/>
      <c r="CB128" s="62"/>
      <c r="CC128" s="62"/>
      <c r="CD128" s="62"/>
      <c r="CE128" s="62"/>
      <c r="CF128" s="62"/>
      <c r="CG128" s="62"/>
      <c r="CH128" s="62"/>
      <c r="CI128" s="62"/>
      <c r="CJ128" s="62"/>
    </row>
    <row r="129" s="61" customFormat="1" ht="16" customHeight="1" spans="7:88">
      <c r="G129" s="63"/>
      <c r="M129" s="247"/>
      <c r="T129" s="64"/>
      <c r="AA129" s="63"/>
      <c r="AH129" s="63"/>
      <c r="AZ129" s="63"/>
      <c r="BR129" s="62"/>
      <c r="BS129" s="62"/>
      <c r="BT129" s="62"/>
      <c r="BU129" s="62"/>
      <c r="BV129" s="62"/>
      <c r="BW129" s="62"/>
      <c r="BX129" s="62"/>
      <c r="BY129" s="62"/>
      <c r="BZ129" s="62"/>
      <c r="CA129" s="62"/>
      <c r="CB129" s="62"/>
      <c r="CC129" s="62"/>
      <c r="CD129" s="62"/>
      <c r="CE129" s="62"/>
      <c r="CF129" s="62"/>
      <c r="CG129" s="62"/>
      <c r="CH129" s="62"/>
      <c r="CI129" s="62"/>
      <c r="CJ129" s="62"/>
    </row>
    <row r="130" s="61" customFormat="1" ht="16" customHeight="1" spans="7:88">
      <c r="G130" s="63"/>
      <c r="M130" s="247"/>
      <c r="T130" s="64"/>
      <c r="AA130" s="63"/>
      <c r="AH130" s="63"/>
      <c r="AZ130" s="63"/>
      <c r="BR130" s="62"/>
      <c r="BS130" s="62"/>
      <c r="BT130" s="62"/>
      <c r="BU130" s="62"/>
      <c r="BV130" s="62"/>
      <c r="BW130" s="62"/>
      <c r="BX130" s="62"/>
      <c r="BY130" s="62"/>
      <c r="BZ130" s="62"/>
      <c r="CA130" s="62"/>
      <c r="CB130" s="62"/>
      <c r="CC130" s="62"/>
      <c r="CD130" s="62"/>
      <c r="CE130" s="62"/>
      <c r="CF130" s="62"/>
      <c r="CG130" s="62"/>
      <c r="CH130" s="62"/>
      <c r="CI130" s="62"/>
      <c r="CJ130" s="62"/>
    </row>
    <row r="131" s="61" customFormat="1" ht="16" customHeight="1" spans="7:88">
      <c r="G131" s="63"/>
      <c r="M131" s="247"/>
      <c r="T131" s="64"/>
      <c r="AA131" s="63"/>
      <c r="AH131" s="63"/>
      <c r="AZ131" s="63"/>
      <c r="BR131" s="62"/>
      <c r="BS131" s="62"/>
      <c r="BT131" s="62"/>
      <c r="BU131" s="62"/>
      <c r="BV131" s="62"/>
      <c r="BW131" s="62"/>
      <c r="BX131" s="62"/>
      <c r="BY131" s="62"/>
      <c r="BZ131" s="62"/>
      <c r="CA131" s="62"/>
      <c r="CB131" s="62"/>
      <c r="CC131" s="62"/>
      <c r="CD131" s="62"/>
      <c r="CE131" s="62"/>
      <c r="CF131" s="62"/>
      <c r="CG131" s="62"/>
      <c r="CH131" s="62"/>
      <c r="CI131" s="62"/>
      <c r="CJ131" s="62"/>
    </row>
    <row r="132" s="61" customFormat="1" ht="16" customHeight="1" spans="7:88">
      <c r="G132" s="63"/>
      <c r="M132" s="247"/>
      <c r="T132" s="64"/>
      <c r="AA132" s="63"/>
      <c r="AH132" s="63"/>
      <c r="AZ132" s="63"/>
      <c r="BR132" s="62"/>
      <c r="BS132" s="62"/>
      <c r="BT132" s="62"/>
      <c r="BU132" s="62"/>
      <c r="BV132" s="62"/>
      <c r="BW132" s="62"/>
      <c r="BX132" s="62"/>
      <c r="BY132" s="62"/>
      <c r="BZ132" s="62"/>
      <c r="CA132" s="62"/>
      <c r="CB132" s="62"/>
      <c r="CC132" s="62"/>
      <c r="CD132" s="62"/>
      <c r="CE132" s="62"/>
      <c r="CF132" s="62"/>
      <c r="CG132" s="62"/>
      <c r="CH132" s="62"/>
      <c r="CI132" s="62"/>
      <c r="CJ132" s="62"/>
    </row>
    <row r="133" s="61" customFormat="1" ht="16" customHeight="1" spans="7:88">
      <c r="G133" s="63"/>
      <c r="M133" s="247"/>
      <c r="T133" s="64"/>
      <c r="AA133" s="63"/>
      <c r="AH133" s="63"/>
      <c r="AZ133" s="63"/>
      <c r="BR133" s="62"/>
      <c r="BS133" s="62"/>
      <c r="BT133" s="62"/>
      <c r="BU133" s="62"/>
      <c r="BV133" s="62"/>
      <c r="BW133" s="62"/>
      <c r="BX133" s="62"/>
      <c r="BY133" s="62"/>
      <c r="BZ133" s="62"/>
      <c r="CA133" s="62"/>
      <c r="CB133" s="62"/>
      <c r="CC133" s="62"/>
      <c r="CD133" s="62"/>
      <c r="CE133" s="62"/>
      <c r="CF133" s="62"/>
      <c r="CG133" s="62"/>
      <c r="CH133" s="62"/>
      <c r="CI133" s="62"/>
      <c r="CJ133" s="62"/>
    </row>
    <row r="134" s="61" customFormat="1" ht="16" customHeight="1" spans="7:88">
      <c r="G134" s="63"/>
      <c r="M134" s="247"/>
      <c r="T134" s="64"/>
      <c r="AA134" s="63"/>
      <c r="AH134" s="63"/>
      <c r="AZ134" s="63"/>
      <c r="BR134" s="62"/>
      <c r="BS134" s="62"/>
      <c r="BT134" s="62"/>
      <c r="BU134" s="62"/>
      <c r="BV134" s="62"/>
      <c r="BW134" s="62"/>
      <c r="BX134" s="62"/>
      <c r="BY134" s="62"/>
      <c r="BZ134" s="62"/>
      <c r="CA134" s="62"/>
      <c r="CB134" s="62"/>
      <c r="CC134" s="62"/>
      <c r="CD134" s="62"/>
      <c r="CE134" s="62"/>
      <c r="CF134" s="62"/>
      <c r="CG134" s="62"/>
      <c r="CH134" s="62"/>
      <c r="CI134" s="62"/>
      <c r="CJ134" s="62"/>
    </row>
    <row r="135" s="61" customFormat="1" ht="16" customHeight="1" spans="7:88">
      <c r="G135" s="63"/>
      <c r="M135" s="247"/>
      <c r="T135" s="64"/>
      <c r="AA135" s="63"/>
      <c r="AH135" s="63"/>
      <c r="AZ135" s="63"/>
      <c r="BR135" s="62"/>
      <c r="BS135" s="62"/>
      <c r="BT135" s="62"/>
      <c r="BU135" s="62"/>
      <c r="BV135" s="62"/>
      <c r="BW135" s="62"/>
      <c r="BX135" s="62"/>
      <c r="BY135" s="62"/>
      <c r="BZ135" s="62"/>
      <c r="CA135" s="62"/>
      <c r="CB135" s="62"/>
      <c r="CC135" s="62"/>
      <c r="CD135" s="62"/>
      <c r="CE135" s="62"/>
      <c r="CF135" s="62"/>
      <c r="CG135" s="62"/>
      <c r="CH135" s="62"/>
      <c r="CI135" s="62"/>
      <c r="CJ135" s="62"/>
    </row>
    <row r="136" s="61" customFormat="1" ht="16" customHeight="1" spans="7:88">
      <c r="G136" s="63"/>
      <c r="M136" s="247"/>
      <c r="T136" s="64"/>
      <c r="AA136" s="63"/>
      <c r="AH136" s="63"/>
      <c r="AZ136" s="63"/>
      <c r="BR136" s="62"/>
      <c r="BS136" s="62"/>
      <c r="BT136" s="62"/>
      <c r="BU136" s="62"/>
      <c r="BV136" s="62"/>
      <c r="BW136" s="62"/>
      <c r="BX136" s="62"/>
      <c r="BY136" s="62"/>
      <c r="BZ136" s="62"/>
      <c r="CA136" s="62"/>
      <c r="CB136" s="62"/>
      <c r="CC136" s="62"/>
      <c r="CD136" s="62"/>
      <c r="CE136" s="62"/>
      <c r="CF136" s="62"/>
      <c r="CG136" s="62"/>
      <c r="CH136" s="62"/>
      <c r="CI136" s="62"/>
      <c r="CJ136" s="62"/>
    </row>
    <row r="137" s="61" customFormat="1" ht="16" customHeight="1" spans="7:88">
      <c r="G137" s="63"/>
      <c r="M137" s="247"/>
      <c r="T137" s="64"/>
      <c r="AA137" s="63"/>
      <c r="AH137" s="63"/>
      <c r="AZ137" s="63"/>
      <c r="BR137" s="62"/>
      <c r="BS137" s="62"/>
      <c r="BT137" s="62"/>
      <c r="BU137" s="62"/>
      <c r="BV137" s="62"/>
      <c r="BW137" s="62"/>
      <c r="BX137" s="62"/>
      <c r="BY137" s="62"/>
      <c r="BZ137" s="62"/>
      <c r="CA137" s="62"/>
      <c r="CB137" s="62"/>
      <c r="CC137" s="62"/>
      <c r="CD137" s="62"/>
      <c r="CE137" s="62"/>
      <c r="CF137" s="62"/>
      <c r="CG137" s="62"/>
      <c r="CH137" s="62"/>
      <c r="CI137" s="62"/>
      <c r="CJ137" s="62"/>
    </row>
    <row r="138" s="61" customFormat="1" ht="16" customHeight="1" spans="7:88">
      <c r="G138" s="63"/>
      <c r="M138" s="247"/>
      <c r="T138" s="64"/>
      <c r="AA138" s="63"/>
      <c r="AH138" s="63"/>
      <c r="AZ138" s="63"/>
      <c r="BR138" s="62"/>
      <c r="BS138" s="62"/>
      <c r="BT138" s="62"/>
      <c r="BU138" s="62"/>
      <c r="BV138" s="62"/>
      <c r="BW138" s="62"/>
      <c r="BX138" s="62"/>
      <c r="BY138" s="62"/>
      <c r="BZ138" s="62"/>
      <c r="CA138" s="62"/>
      <c r="CB138" s="62"/>
      <c r="CC138" s="62"/>
      <c r="CD138" s="62"/>
      <c r="CE138" s="62"/>
      <c r="CF138" s="62"/>
      <c r="CG138" s="62"/>
      <c r="CH138" s="62"/>
      <c r="CI138" s="62"/>
      <c r="CJ138" s="62"/>
    </row>
    <row r="139" s="61" customFormat="1" ht="16" customHeight="1" spans="7:88">
      <c r="G139" s="63"/>
      <c r="M139" s="247"/>
      <c r="T139" s="64"/>
      <c r="AA139" s="63"/>
      <c r="AH139" s="63"/>
      <c r="AZ139" s="63"/>
      <c r="BR139" s="62"/>
      <c r="BS139" s="62"/>
      <c r="BT139" s="62"/>
      <c r="BU139" s="62"/>
      <c r="BV139" s="62"/>
      <c r="BW139" s="62"/>
      <c r="BX139" s="62"/>
      <c r="BY139" s="62"/>
      <c r="BZ139" s="62"/>
      <c r="CA139" s="62"/>
      <c r="CB139" s="62"/>
      <c r="CC139" s="62"/>
      <c r="CD139" s="62"/>
      <c r="CE139" s="62"/>
      <c r="CF139" s="62"/>
      <c r="CG139" s="62"/>
      <c r="CH139" s="62"/>
      <c r="CI139" s="62"/>
      <c r="CJ139" s="62"/>
    </row>
    <row r="140" s="61" customFormat="1" ht="16" customHeight="1" spans="7:88">
      <c r="G140" s="63"/>
      <c r="M140" s="247"/>
      <c r="T140" s="64"/>
      <c r="AA140" s="63"/>
      <c r="AH140" s="63"/>
      <c r="AZ140" s="63"/>
      <c r="BR140" s="62"/>
      <c r="BS140" s="62"/>
      <c r="BT140" s="62"/>
      <c r="BU140" s="62"/>
      <c r="BV140" s="62"/>
      <c r="BW140" s="62"/>
      <c r="BX140" s="62"/>
      <c r="BY140" s="62"/>
      <c r="BZ140" s="62"/>
      <c r="CA140" s="62"/>
      <c r="CB140" s="62"/>
      <c r="CC140" s="62"/>
      <c r="CD140" s="62"/>
      <c r="CE140" s="62"/>
      <c r="CF140" s="62"/>
      <c r="CG140" s="62"/>
      <c r="CH140" s="62"/>
      <c r="CI140" s="62"/>
      <c r="CJ140" s="62"/>
    </row>
    <row r="141" s="61" customFormat="1" ht="16" customHeight="1" spans="7:88">
      <c r="G141" s="63"/>
      <c r="M141" s="247"/>
      <c r="T141" s="64"/>
      <c r="AA141" s="63"/>
      <c r="AH141" s="63"/>
      <c r="AZ141" s="63"/>
      <c r="BR141" s="62"/>
      <c r="BS141" s="62"/>
      <c r="BT141" s="62"/>
      <c r="BU141" s="62"/>
      <c r="BV141" s="62"/>
      <c r="BW141" s="62"/>
      <c r="BX141" s="62"/>
      <c r="BY141" s="62"/>
      <c r="BZ141" s="62"/>
      <c r="CA141" s="62"/>
      <c r="CB141" s="62"/>
      <c r="CC141" s="62"/>
      <c r="CD141" s="62"/>
      <c r="CE141" s="62"/>
      <c r="CF141" s="62"/>
      <c r="CG141" s="62"/>
      <c r="CH141" s="62"/>
      <c r="CI141" s="62"/>
      <c r="CJ141" s="62"/>
    </row>
    <row r="142" s="61" customFormat="1" ht="16" customHeight="1" spans="7:88">
      <c r="G142" s="63"/>
      <c r="M142" s="247"/>
      <c r="T142" s="64"/>
      <c r="AA142" s="63"/>
      <c r="AH142" s="63"/>
      <c r="AZ142" s="63"/>
      <c r="BR142" s="62"/>
      <c r="BS142" s="62"/>
      <c r="BT142" s="62"/>
      <c r="BU142" s="62"/>
      <c r="BV142" s="62"/>
      <c r="BW142" s="62"/>
      <c r="BX142" s="62"/>
      <c r="BY142" s="62"/>
      <c r="BZ142" s="62"/>
      <c r="CA142" s="62"/>
      <c r="CB142" s="62"/>
      <c r="CC142" s="62"/>
      <c r="CD142" s="62"/>
      <c r="CE142" s="62"/>
      <c r="CF142" s="62"/>
      <c r="CG142" s="62"/>
      <c r="CH142" s="62"/>
      <c r="CI142" s="62"/>
      <c r="CJ142" s="62"/>
    </row>
    <row r="143" s="61" customFormat="1" ht="16" customHeight="1" spans="7:88">
      <c r="G143" s="63"/>
      <c r="M143" s="247"/>
      <c r="T143" s="64"/>
      <c r="AA143" s="63"/>
      <c r="AH143" s="63"/>
      <c r="AZ143" s="63"/>
      <c r="BR143" s="62"/>
      <c r="BS143" s="62"/>
      <c r="BT143" s="62"/>
      <c r="BU143" s="62"/>
      <c r="BV143" s="62"/>
      <c r="BW143" s="62"/>
      <c r="BX143" s="62"/>
      <c r="BY143" s="62"/>
      <c r="BZ143" s="62"/>
      <c r="CA143" s="62"/>
      <c r="CB143" s="62"/>
      <c r="CC143" s="62"/>
      <c r="CD143" s="62"/>
      <c r="CE143" s="62"/>
      <c r="CF143" s="62"/>
      <c r="CG143" s="62"/>
      <c r="CH143" s="62"/>
      <c r="CI143" s="62"/>
      <c r="CJ143" s="62"/>
    </row>
    <row r="144" s="61" customFormat="1" ht="16" customHeight="1" spans="7:88">
      <c r="G144" s="63"/>
      <c r="M144" s="247"/>
      <c r="T144" s="64"/>
      <c r="AA144" s="63"/>
      <c r="AH144" s="63"/>
      <c r="AZ144" s="63"/>
      <c r="BR144" s="62"/>
      <c r="BS144" s="62"/>
      <c r="BT144" s="62"/>
      <c r="BU144" s="62"/>
      <c r="BV144" s="62"/>
      <c r="BW144" s="62"/>
      <c r="BX144" s="62"/>
      <c r="BY144" s="62"/>
      <c r="BZ144" s="62"/>
      <c r="CA144" s="62"/>
      <c r="CB144" s="62"/>
      <c r="CC144" s="62"/>
      <c r="CD144" s="62"/>
      <c r="CE144" s="62"/>
      <c r="CF144" s="62"/>
      <c r="CG144" s="62"/>
      <c r="CH144" s="62"/>
      <c r="CI144" s="62"/>
      <c r="CJ144" s="62"/>
    </row>
    <row r="145" s="61" customFormat="1" ht="16" customHeight="1" spans="7:88">
      <c r="G145" s="63"/>
      <c r="M145" s="247"/>
      <c r="T145" s="64"/>
      <c r="AA145" s="63"/>
      <c r="AH145" s="63"/>
      <c r="AZ145" s="63"/>
      <c r="BR145" s="62"/>
      <c r="BS145" s="62"/>
      <c r="BT145" s="62"/>
      <c r="BU145" s="62"/>
      <c r="BV145" s="62"/>
      <c r="BW145" s="62"/>
      <c r="BX145" s="62"/>
      <c r="BY145" s="62"/>
      <c r="BZ145" s="62"/>
      <c r="CA145" s="62"/>
      <c r="CB145" s="62"/>
      <c r="CC145" s="62"/>
      <c r="CD145" s="62"/>
      <c r="CE145" s="62"/>
      <c r="CF145" s="62"/>
      <c r="CG145" s="62"/>
      <c r="CH145" s="62"/>
      <c r="CI145" s="62"/>
      <c r="CJ145" s="62"/>
    </row>
    <row r="146" s="61" customFormat="1" ht="16" customHeight="1" spans="7:88">
      <c r="G146" s="63"/>
      <c r="M146" s="247"/>
      <c r="T146" s="64"/>
      <c r="AA146" s="63"/>
      <c r="AH146" s="63"/>
      <c r="AZ146" s="63"/>
      <c r="BR146" s="62"/>
      <c r="BS146" s="62"/>
      <c r="BT146" s="62"/>
      <c r="BU146" s="62"/>
      <c r="BV146" s="62"/>
      <c r="BW146" s="62"/>
      <c r="BX146" s="62"/>
      <c r="BY146" s="62"/>
      <c r="BZ146" s="62"/>
      <c r="CA146" s="62"/>
      <c r="CB146" s="62"/>
      <c r="CC146" s="62"/>
      <c r="CD146" s="62"/>
      <c r="CE146" s="62"/>
      <c r="CF146" s="62"/>
      <c r="CG146" s="62"/>
      <c r="CH146" s="62"/>
      <c r="CI146" s="62"/>
      <c r="CJ146" s="62"/>
    </row>
    <row r="147" s="61" customFormat="1" ht="16" customHeight="1" spans="7:88">
      <c r="G147" s="63"/>
      <c r="M147" s="247"/>
      <c r="T147" s="64"/>
      <c r="AA147" s="63"/>
      <c r="AH147" s="63"/>
      <c r="AZ147" s="63"/>
      <c r="BR147" s="62"/>
      <c r="BS147" s="62"/>
      <c r="BT147" s="62"/>
      <c r="BU147" s="62"/>
      <c r="BV147" s="62"/>
      <c r="BW147" s="62"/>
      <c r="BX147" s="62"/>
      <c r="BY147" s="62"/>
      <c r="BZ147" s="62"/>
      <c r="CA147" s="62"/>
      <c r="CB147" s="62"/>
      <c r="CC147" s="62"/>
      <c r="CD147" s="62"/>
      <c r="CE147" s="62"/>
      <c r="CF147" s="62"/>
      <c r="CG147" s="62"/>
      <c r="CH147" s="62"/>
      <c r="CI147" s="62"/>
      <c r="CJ147" s="62"/>
    </row>
    <row r="148" s="61" customFormat="1" ht="16" customHeight="1" spans="7:88">
      <c r="G148" s="63"/>
      <c r="M148" s="247"/>
      <c r="T148" s="64"/>
      <c r="AA148" s="63"/>
      <c r="AH148" s="63"/>
      <c r="AZ148" s="63"/>
      <c r="BR148" s="62"/>
      <c r="BS148" s="62"/>
      <c r="BT148" s="62"/>
      <c r="BU148" s="62"/>
      <c r="BV148" s="62"/>
      <c r="BW148" s="62"/>
      <c r="BX148" s="62"/>
      <c r="BY148" s="62"/>
      <c r="BZ148" s="62"/>
      <c r="CA148" s="62"/>
      <c r="CB148" s="62"/>
      <c r="CC148" s="62"/>
      <c r="CD148" s="62"/>
      <c r="CE148" s="62"/>
      <c r="CF148" s="62"/>
      <c r="CG148" s="62"/>
      <c r="CH148" s="62"/>
      <c r="CI148" s="62"/>
      <c r="CJ148" s="62"/>
    </row>
    <row r="149" s="61" customFormat="1" ht="16" customHeight="1" spans="7:88">
      <c r="G149" s="63"/>
      <c r="M149" s="247"/>
      <c r="T149" s="64"/>
      <c r="AA149" s="63"/>
      <c r="AH149" s="63"/>
      <c r="AZ149" s="63"/>
      <c r="BR149" s="62"/>
      <c r="BS149" s="62"/>
      <c r="BT149" s="62"/>
      <c r="BU149" s="62"/>
      <c r="BV149" s="62"/>
      <c r="BW149" s="62"/>
      <c r="BX149" s="62"/>
      <c r="BY149" s="62"/>
      <c r="BZ149" s="62"/>
      <c r="CA149" s="62"/>
      <c r="CB149" s="62"/>
      <c r="CC149" s="62"/>
      <c r="CD149" s="62"/>
      <c r="CE149" s="62"/>
      <c r="CF149" s="62"/>
      <c r="CG149" s="62"/>
      <c r="CH149" s="62"/>
      <c r="CI149" s="62"/>
      <c r="CJ149" s="62"/>
    </row>
    <row r="150" s="61" customFormat="1" ht="16" customHeight="1" spans="7:88">
      <c r="G150" s="63"/>
      <c r="M150" s="247"/>
      <c r="T150" s="64"/>
      <c r="AA150" s="63"/>
      <c r="AH150" s="63"/>
      <c r="AZ150" s="63"/>
      <c r="BR150" s="62"/>
      <c r="BS150" s="62"/>
      <c r="BT150" s="62"/>
      <c r="BU150" s="62"/>
      <c r="BV150" s="62"/>
      <c r="BW150" s="62"/>
      <c r="BX150" s="62"/>
      <c r="BY150" s="62"/>
      <c r="BZ150" s="62"/>
      <c r="CA150" s="62"/>
      <c r="CB150" s="62"/>
      <c r="CC150" s="62"/>
      <c r="CD150" s="62"/>
      <c r="CE150" s="62"/>
      <c r="CF150" s="62"/>
      <c r="CG150" s="62"/>
      <c r="CH150" s="62"/>
      <c r="CI150" s="62"/>
      <c r="CJ150" s="62"/>
    </row>
    <row r="151" s="61" customFormat="1" ht="13.5" customHeight="1" spans="7:88">
      <c r="G151" s="63"/>
      <c r="M151" s="247"/>
      <c r="T151" s="64"/>
      <c r="AA151" s="63"/>
      <c r="AH151" s="63"/>
      <c r="AZ151" s="63"/>
      <c r="BR151" s="62"/>
      <c r="BS151" s="62"/>
      <c r="BT151" s="62"/>
      <c r="BU151" s="62"/>
      <c r="BV151" s="62"/>
      <c r="BW151" s="62"/>
      <c r="BX151" s="62"/>
      <c r="BY151" s="62"/>
      <c r="BZ151" s="62"/>
      <c r="CA151" s="62"/>
      <c r="CB151" s="62"/>
      <c r="CC151" s="62"/>
      <c r="CD151" s="62"/>
      <c r="CE151" s="62"/>
      <c r="CF151" s="62"/>
      <c r="CG151" s="62"/>
      <c r="CH151" s="62"/>
      <c r="CI151" s="62"/>
      <c r="CJ151" s="62"/>
    </row>
    <row r="152" s="61" customFormat="1" ht="13.5" customHeight="1" spans="7:88">
      <c r="G152" s="63"/>
      <c r="M152" s="247"/>
      <c r="T152" s="64"/>
      <c r="AA152" s="63"/>
      <c r="AH152" s="63"/>
      <c r="AZ152" s="63"/>
      <c r="BR152" s="62"/>
      <c r="BS152" s="62"/>
      <c r="BT152" s="62"/>
      <c r="BU152" s="62"/>
      <c r="BV152" s="62"/>
      <c r="BW152" s="62"/>
      <c r="BX152" s="62"/>
      <c r="BY152" s="62"/>
      <c r="BZ152" s="62"/>
      <c r="CA152" s="62"/>
      <c r="CB152" s="62"/>
      <c r="CC152" s="62"/>
      <c r="CD152" s="62"/>
      <c r="CE152" s="62"/>
      <c r="CF152" s="62"/>
      <c r="CG152" s="62"/>
      <c r="CH152" s="62"/>
      <c r="CI152" s="62"/>
      <c r="CJ152" s="62"/>
    </row>
    <row r="153" s="61" customFormat="1" ht="13.5" customHeight="1" spans="7:88">
      <c r="G153" s="63"/>
      <c r="M153" s="247"/>
      <c r="T153" s="64"/>
      <c r="AA153" s="63"/>
      <c r="AH153" s="63"/>
      <c r="AZ153" s="63"/>
      <c r="BR153" s="62"/>
      <c r="BS153" s="62"/>
      <c r="BT153" s="62"/>
      <c r="BU153" s="62"/>
      <c r="BV153" s="62"/>
      <c r="BW153" s="62"/>
      <c r="BX153" s="62"/>
      <c r="BY153" s="62"/>
      <c r="BZ153" s="62"/>
      <c r="CA153" s="62"/>
      <c r="CB153" s="62"/>
      <c r="CC153" s="62"/>
      <c r="CD153" s="62"/>
      <c r="CE153" s="62"/>
      <c r="CF153" s="62"/>
      <c r="CG153" s="62"/>
      <c r="CH153" s="62"/>
      <c r="CI153" s="62"/>
      <c r="CJ153" s="62"/>
    </row>
    <row r="154" s="61" customFormat="1" ht="13.5" customHeight="1" spans="7:88">
      <c r="G154" s="63"/>
      <c r="M154" s="247"/>
      <c r="T154" s="64"/>
      <c r="AA154" s="63"/>
      <c r="AH154" s="63"/>
      <c r="AZ154" s="63"/>
      <c r="BR154" s="62"/>
      <c r="BS154" s="62"/>
      <c r="BT154" s="62"/>
      <c r="BU154" s="62"/>
      <c r="BV154" s="62"/>
      <c r="BW154" s="62"/>
      <c r="BX154" s="62"/>
      <c r="BY154" s="62"/>
      <c r="BZ154" s="62"/>
      <c r="CA154" s="62"/>
      <c r="CB154" s="62"/>
      <c r="CC154" s="62"/>
      <c r="CD154" s="62"/>
      <c r="CE154" s="62"/>
      <c r="CF154" s="62"/>
      <c r="CG154" s="62"/>
      <c r="CH154" s="62"/>
      <c r="CI154" s="62"/>
      <c r="CJ154" s="62"/>
    </row>
    <row r="155" s="61" customFormat="1" ht="13.5" customHeight="1" spans="7:88">
      <c r="G155" s="63"/>
      <c r="M155" s="247"/>
      <c r="T155" s="64"/>
      <c r="AA155" s="63"/>
      <c r="AH155" s="63"/>
      <c r="AZ155" s="63"/>
      <c r="BR155" s="62"/>
      <c r="BS155" s="62"/>
      <c r="BT155" s="62"/>
      <c r="BU155" s="62"/>
      <c r="BV155" s="62"/>
      <c r="BW155" s="62"/>
      <c r="BX155" s="62"/>
      <c r="BY155" s="62"/>
      <c r="BZ155" s="62"/>
      <c r="CA155" s="62"/>
      <c r="CB155" s="62"/>
      <c r="CC155" s="62"/>
      <c r="CD155" s="62"/>
      <c r="CE155" s="62"/>
      <c r="CF155" s="62"/>
      <c r="CG155" s="62"/>
      <c r="CH155" s="62"/>
      <c r="CI155" s="62"/>
      <c r="CJ155" s="62"/>
    </row>
    <row r="156" s="61" customFormat="1" ht="13.5" customHeight="1" spans="7:88">
      <c r="G156" s="63"/>
      <c r="M156" s="247"/>
      <c r="T156" s="64"/>
      <c r="AA156" s="63"/>
      <c r="AH156" s="63"/>
      <c r="AZ156" s="63"/>
      <c r="BR156" s="62"/>
      <c r="BS156" s="62"/>
      <c r="BT156" s="62"/>
      <c r="BU156" s="62"/>
      <c r="BV156" s="62"/>
      <c r="BW156" s="62"/>
      <c r="BX156" s="62"/>
      <c r="BY156" s="62"/>
      <c r="BZ156" s="62"/>
      <c r="CA156" s="62"/>
      <c r="CB156" s="62"/>
      <c r="CC156" s="62"/>
      <c r="CD156" s="62"/>
      <c r="CE156" s="62"/>
      <c r="CF156" s="62"/>
      <c r="CG156" s="62"/>
      <c r="CH156" s="62"/>
      <c r="CI156" s="62"/>
      <c r="CJ156" s="62"/>
    </row>
    <row r="157" s="61" customFormat="1" ht="13.5" customHeight="1" spans="7:88">
      <c r="G157" s="63"/>
      <c r="M157" s="247"/>
      <c r="T157" s="64"/>
      <c r="AA157" s="63"/>
      <c r="AH157" s="63"/>
      <c r="AZ157" s="63"/>
      <c r="BR157" s="62"/>
      <c r="BS157" s="62"/>
      <c r="BT157" s="62"/>
      <c r="BU157" s="62"/>
      <c r="BV157" s="62"/>
      <c r="BW157" s="62"/>
      <c r="BX157" s="62"/>
      <c r="BY157" s="62"/>
      <c r="BZ157" s="62"/>
      <c r="CA157" s="62"/>
      <c r="CB157" s="62"/>
      <c r="CC157" s="62"/>
      <c r="CD157" s="62"/>
      <c r="CE157" s="62"/>
      <c r="CF157" s="62"/>
      <c r="CG157" s="62"/>
      <c r="CH157" s="62"/>
      <c r="CI157" s="62"/>
      <c r="CJ157" s="62"/>
    </row>
    <row r="158" s="61" customFormat="1" ht="13.5" customHeight="1" spans="7:88">
      <c r="G158" s="63"/>
      <c r="M158" s="247"/>
      <c r="T158" s="64"/>
      <c r="AA158" s="63"/>
      <c r="AH158" s="63"/>
      <c r="AZ158" s="63"/>
      <c r="BR158" s="62"/>
      <c r="BS158" s="62"/>
      <c r="BT158" s="62"/>
      <c r="BU158" s="62"/>
      <c r="BV158" s="62"/>
      <c r="BW158" s="62"/>
      <c r="BX158" s="62"/>
      <c r="BY158" s="62"/>
      <c r="BZ158" s="62"/>
      <c r="CA158" s="62"/>
      <c r="CB158" s="62"/>
      <c r="CC158" s="62"/>
      <c r="CD158" s="62"/>
      <c r="CE158" s="62"/>
      <c r="CF158" s="62"/>
      <c r="CG158" s="62"/>
      <c r="CH158" s="62"/>
      <c r="CI158" s="62"/>
      <c r="CJ158" s="62"/>
    </row>
    <row r="159" s="61" customFormat="1" ht="13.5" customHeight="1" spans="7:88">
      <c r="G159" s="63"/>
      <c r="M159" s="247"/>
      <c r="T159" s="64"/>
      <c r="AA159" s="63"/>
      <c r="AH159" s="63"/>
      <c r="AZ159" s="63"/>
      <c r="BR159" s="62"/>
      <c r="BS159" s="62"/>
      <c r="BT159" s="62"/>
      <c r="BU159" s="62"/>
      <c r="BV159" s="62"/>
      <c r="BW159" s="62"/>
      <c r="BX159" s="62"/>
      <c r="BY159" s="62"/>
      <c r="BZ159" s="62"/>
      <c r="CA159" s="62"/>
      <c r="CB159" s="62"/>
      <c r="CC159" s="62"/>
      <c r="CD159" s="62"/>
      <c r="CE159" s="62"/>
      <c r="CF159" s="62"/>
      <c r="CG159" s="62"/>
      <c r="CH159" s="62"/>
      <c r="CI159" s="62"/>
      <c r="CJ159" s="62"/>
    </row>
    <row r="160" s="61" customFormat="1" ht="13.5" customHeight="1" spans="7:88">
      <c r="G160" s="63"/>
      <c r="M160" s="247"/>
      <c r="T160" s="64"/>
      <c r="AA160" s="63"/>
      <c r="AH160" s="63"/>
      <c r="AZ160" s="63"/>
      <c r="BR160" s="62"/>
      <c r="BS160" s="62"/>
      <c r="BT160" s="62"/>
      <c r="BU160" s="62"/>
      <c r="BV160" s="62"/>
      <c r="BW160" s="62"/>
      <c r="BX160" s="62"/>
      <c r="BY160" s="62"/>
      <c r="BZ160" s="62"/>
      <c r="CA160" s="62"/>
      <c r="CB160" s="62"/>
      <c r="CC160" s="62"/>
      <c r="CD160" s="62"/>
      <c r="CE160" s="62"/>
      <c r="CF160" s="62"/>
      <c r="CG160" s="62"/>
      <c r="CH160" s="62"/>
      <c r="CI160" s="62"/>
      <c r="CJ160" s="62"/>
    </row>
    <row r="161" ht="13.5" customHeight="1" spans="13:13">
      <c r="M161" s="247"/>
    </row>
    <row r="162" ht="13.5" customHeight="1" spans="13:13">
      <c r="M162" s="247"/>
    </row>
    <row r="163" ht="13.5" customHeight="1" spans="13:13">
      <c r="M163" s="247"/>
    </row>
    <row r="164" ht="13.5" customHeight="1" spans="13:13">
      <c r="M164" s="247"/>
    </row>
    <row r="165" ht="13.5" customHeight="1" spans="13:13">
      <c r="M165" s="247"/>
    </row>
    <row r="166" ht="13.5" customHeight="1" spans="13:13">
      <c r="M166" s="247"/>
    </row>
    <row r="167" ht="13.5" customHeight="1" spans="13:13">
      <c r="M167" s="247"/>
    </row>
    <row r="168" ht="13.5" customHeight="1" spans="13:13">
      <c r="M168" s="247"/>
    </row>
    <row r="169" ht="13.5" customHeight="1" spans="13:13">
      <c r="M169" s="247"/>
    </row>
    <row r="170" ht="13.5" customHeight="1" spans="8:13">
      <c r="H170" s="265"/>
      <c r="I170" s="265"/>
      <c r="J170" s="265"/>
      <c r="K170" s="265"/>
      <c r="L170" s="265"/>
      <c r="M170" s="247"/>
    </row>
    <row r="171" ht="13.5" customHeight="1" spans="8:13">
      <c r="H171" s="266"/>
      <c r="I171" s="266"/>
      <c r="J171" s="266"/>
      <c r="K171" s="266"/>
      <c r="L171" s="266"/>
      <c r="M171" s="247"/>
    </row>
    <row r="172" ht="13.5" customHeight="1" spans="8:13">
      <c r="H172" s="266" t="e">
        <f>MIN(L177,INT(N49*520/H177))</f>
        <v>#DIV/0!</v>
      </c>
      <c r="I172" s="266"/>
      <c r="J172" s="266"/>
      <c r="K172" s="266"/>
      <c r="L172" s="266"/>
      <c r="M172" s="247"/>
    </row>
    <row r="173" ht="13.5" customHeight="1" spans="8:13">
      <c r="H173" s="266" t="e">
        <f>MIN(L178,MAX(0,INT((520*N49-H172*H177)/H178)))</f>
        <v>#DIV/0!</v>
      </c>
      <c r="I173" s="266"/>
      <c r="J173" s="266" t="e">
        <f>L178-H173</f>
        <v>#DIV/0!</v>
      </c>
      <c r="K173" s="266"/>
      <c r="L173" s="266"/>
      <c r="M173" s="247"/>
    </row>
    <row r="174" ht="13.5" customHeight="1" spans="8:13">
      <c r="H174" s="266" t="e">
        <f>MIN(L179,MAX(0,INT((520*N49-H172*H177-H173*H178)/H179)))</f>
        <v>#DIV/0!</v>
      </c>
      <c r="I174" s="266"/>
      <c r="J174" s="266" t="e">
        <f>IF(MIN((L179-H174),MIN(L179,INT((520*N49-J172*H177-J173*H178)/H179)))&lt;0,0,MIN((L179-H174),MIN(L179,INT((520*N49-J172*H177-J173*H178)/H179))))</f>
        <v>#DIV/0!</v>
      </c>
      <c r="K174" s="266" t="e">
        <f>MIN(L180,INT((260*N49-K175*H180)/H179))</f>
        <v>#DIV/0!</v>
      </c>
      <c r="L174" s="266"/>
      <c r="M174" s="247"/>
    </row>
    <row r="175" ht="13.5" customHeight="1" spans="8:13">
      <c r="H175" s="266" t="e">
        <f>MAX(0,INT((N49*520-H172*H177-H173*H178-H174*H179)/H180))</f>
        <v>#DIV/0!</v>
      </c>
      <c r="I175" s="266"/>
      <c r="J175" s="266" t="e">
        <f>IF(MIN(L180-K175,INT((520*N49-H177*J172-H178*J173-H179*J174)/H180))&lt;0,0,MIN(L180-K175,INT((520*N49-H177*J172-H178*J173-H179*J174)/H180)))</f>
        <v>#DIV/0!</v>
      </c>
      <c r="K175" s="266" t="e">
        <f>MIN(L180,INT(260*N49/H180))</f>
        <v>#DIV/0!</v>
      </c>
      <c r="L175" s="266"/>
      <c r="M175" s="247"/>
    </row>
    <row r="176" spans="8:12">
      <c r="H176" s="266"/>
      <c r="I176" s="266"/>
      <c r="J176" s="266"/>
      <c r="K176" s="266"/>
      <c r="L176" s="266"/>
    </row>
    <row r="177" spans="8:12">
      <c r="H177" s="266">
        <f>初始化表!E17</f>
        <v>0</v>
      </c>
      <c r="I177" s="266">
        <f>初始化表!E18</f>
        <v>0</v>
      </c>
      <c r="J177" s="266">
        <f>初始化表!E19</f>
        <v>0</v>
      </c>
      <c r="K177" s="266"/>
      <c r="L177" s="266">
        <f>L35</f>
        <v>0</v>
      </c>
    </row>
    <row r="178" spans="8:12">
      <c r="H178" s="266">
        <f>初始化表!F17</f>
        <v>0</v>
      </c>
      <c r="I178" s="266">
        <f>初始化表!F18</f>
        <v>0</v>
      </c>
      <c r="J178" s="266">
        <f>初始化表!F19</f>
        <v>0</v>
      </c>
      <c r="K178" s="266"/>
      <c r="L178" s="266">
        <f>L36</f>
        <v>0</v>
      </c>
    </row>
    <row r="179" spans="8:12">
      <c r="H179" s="266">
        <f>初始化表!G17</f>
        <v>0</v>
      </c>
      <c r="I179" s="266">
        <f>初始化表!G18</f>
        <v>0</v>
      </c>
      <c r="J179" s="266">
        <f>初始化表!G19</f>
        <v>0</v>
      </c>
      <c r="K179" s="266"/>
      <c r="L179" s="266">
        <f>L37</f>
        <v>0</v>
      </c>
    </row>
    <row r="180" spans="8:12">
      <c r="H180" s="266">
        <f>初始化表!H17</f>
        <v>0</v>
      </c>
      <c r="I180" s="266">
        <f>初始化表!H18</f>
        <v>0</v>
      </c>
      <c r="J180" s="266">
        <f>初始化表!H19</f>
        <v>0</v>
      </c>
      <c r="K180" s="266"/>
      <c r="L180" s="266">
        <f>L38</f>
        <v>0</v>
      </c>
    </row>
    <row r="181" spans="8:12">
      <c r="H181" s="266"/>
      <c r="I181" s="266"/>
      <c r="J181" s="266"/>
      <c r="K181" s="266"/>
      <c r="L181" s="266"/>
    </row>
    <row r="182" spans="8:12">
      <c r="H182" s="266" t="e">
        <f>MIN(L177,INT(N49*520/H177))</f>
        <v>#DIV/0!</v>
      </c>
      <c r="I182" s="266"/>
      <c r="J182" s="266"/>
      <c r="K182" s="266"/>
      <c r="L182" s="266"/>
    </row>
    <row r="183" spans="8:12">
      <c r="H183" s="266" t="e">
        <f>MIN(L178,MAX(0,INT((520*N49-H172*H177)/H178)))</f>
        <v>#DIV/0!</v>
      </c>
      <c r="I183" s="266"/>
      <c r="J183" s="266" t="e">
        <f>L188-H183</f>
        <v>#DIV/0!</v>
      </c>
      <c r="K183" s="266"/>
      <c r="L183" s="266"/>
    </row>
    <row r="184" spans="8:12">
      <c r="H184" s="266" t="e">
        <f>MIN(L179,MAX(0,INT((520*N49-H172*H177-H173*H178)/H179)))</f>
        <v>#DIV/0!</v>
      </c>
      <c r="I184" s="266"/>
      <c r="J184" s="266">
        <f>INT(L179/3*2)</f>
        <v>0</v>
      </c>
      <c r="K184" s="266">
        <f>INT(J184/2)</f>
        <v>0</v>
      </c>
      <c r="L184" s="266"/>
    </row>
    <row r="185" spans="8:12">
      <c r="H185" s="266" t="e">
        <f>MAX(0,INT((N49*520-H172*H177-H173*H178-H174*H179)/H180))</f>
        <v>#DIV/0!</v>
      </c>
      <c r="I185" s="266"/>
      <c r="J185" s="266">
        <f>INT(L180/3*2)</f>
        <v>0</v>
      </c>
      <c r="K185" s="266">
        <f>INT(J185/2)</f>
        <v>0</v>
      </c>
      <c r="L185" s="266"/>
    </row>
    <row r="186" spans="8:12">
      <c r="H186" s="265"/>
      <c r="I186" s="265"/>
      <c r="J186" s="265"/>
      <c r="K186" s="265"/>
      <c r="L186" s="265"/>
    </row>
    <row r="187" spans="8:12">
      <c r="H187" s="265"/>
      <c r="I187" s="265"/>
      <c r="J187" s="265"/>
      <c r="K187" s="265"/>
      <c r="L187" s="265"/>
    </row>
    <row r="200" spans="1:6">
      <c r="A200" s="265" t="s">
        <v>283</v>
      </c>
      <c r="B200" s="265" t="s">
        <v>314</v>
      </c>
      <c r="C200" s="265" t="s">
        <v>315</v>
      </c>
      <c r="D200" s="265" t="s">
        <v>316</v>
      </c>
      <c r="E200" s="265" t="s">
        <v>317</v>
      </c>
      <c r="F200" s="265" t="s">
        <v>318</v>
      </c>
    </row>
    <row r="201" spans="1:6">
      <c r="A201" s="265" t="s">
        <v>35</v>
      </c>
      <c r="B201" s="265">
        <v>100</v>
      </c>
      <c r="C201" s="267">
        <v>0</v>
      </c>
      <c r="D201" s="267">
        <v>100000</v>
      </c>
      <c r="E201" s="265">
        <v>1</v>
      </c>
      <c r="F201" s="265">
        <v>0.955</v>
      </c>
    </row>
    <row r="202" spans="1:6">
      <c r="A202" s="265" t="s">
        <v>36</v>
      </c>
      <c r="B202" s="265">
        <v>50</v>
      </c>
      <c r="C202" s="267">
        <v>0</v>
      </c>
      <c r="D202" s="267">
        <v>200000</v>
      </c>
      <c r="E202" s="265">
        <v>1</v>
      </c>
      <c r="F202" s="265">
        <v>0.955</v>
      </c>
    </row>
    <row r="203" spans="1:6">
      <c r="A203" s="265" t="s">
        <v>62</v>
      </c>
      <c r="B203" s="265">
        <v>0</v>
      </c>
      <c r="C203" s="265">
        <v>0</v>
      </c>
      <c r="D203" s="265">
        <v>0</v>
      </c>
      <c r="E203" s="265">
        <v>0</v>
      </c>
      <c r="F203" s="265">
        <v>0.955</v>
      </c>
    </row>
    <row r="204" spans="1:6">
      <c r="A204" s="265" t="s">
        <v>63</v>
      </c>
      <c r="B204" s="265">
        <v>0</v>
      </c>
      <c r="C204" s="265">
        <v>0</v>
      </c>
      <c r="D204" s="265">
        <v>0</v>
      </c>
      <c r="E204" s="265">
        <v>0</v>
      </c>
      <c r="F204" s="265">
        <v>0.954</v>
      </c>
    </row>
    <row r="222" spans="35:39">
      <c r="AI222" s="62" t="s">
        <v>789</v>
      </c>
      <c r="AJ222" s="62" t="s">
        <v>357</v>
      </c>
      <c r="AK222" s="62" t="s">
        <v>358</v>
      </c>
      <c r="AL222" s="62" t="s">
        <v>359</v>
      </c>
      <c r="AM222" s="62" t="s">
        <v>360</v>
      </c>
    </row>
    <row r="223" spans="35:36">
      <c r="AI223" s="62" t="s">
        <v>361</v>
      </c>
      <c r="AJ223" s="268">
        <v>5262269.8</v>
      </c>
    </row>
    <row r="224" spans="35:39">
      <c r="AI224" s="62" t="s">
        <v>309</v>
      </c>
      <c r="AJ224" s="268">
        <v>0</v>
      </c>
      <c r="AM224" s="268">
        <v>5262269.8</v>
      </c>
    </row>
    <row r="225" spans="35:39">
      <c r="AI225" s="62" t="s">
        <v>362</v>
      </c>
      <c r="AJ225" s="268">
        <v>0</v>
      </c>
      <c r="AM225" s="268">
        <v>5262269.8</v>
      </c>
    </row>
    <row r="226" spans="35:39">
      <c r="AI226" s="62" t="s">
        <v>363</v>
      </c>
      <c r="AJ226" s="268">
        <v>-50000</v>
      </c>
      <c r="AM226" s="268">
        <v>5212269.8</v>
      </c>
    </row>
    <row r="227" spans="35:39">
      <c r="AI227" s="62" t="s">
        <v>364</v>
      </c>
      <c r="AJ227" s="268">
        <v>-22750</v>
      </c>
      <c r="AL227" s="268">
        <v>22750</v>
      </c>
      <c r="AM227" s="268">
        <v>5189519.8</v>
      </c>
    </row>
    <row r="228" spans="35:39">
      <c r="AI228" s="62" t="s">
        <v>365</v>
      </c>
      <c r="AJ228" s="268">
        <v>-5000</v>
      </c>
      <c r="AL228" s="268">
        <v>27750</v>
      </c>
      <c r="AM228" s="268">
        <v>5184519.8</v>
      </c>
    </row>
    <row r="229" spans="35:39">
      <c r="AI229" s="62" t="s">
        <v>366</v>
      </c>
      <c r="AJ229" s="268">
        <v>-10000</v>
      </c>
      <c r="AL229" s="268">
        <v>37750</v>
      </c>
      <c r="AM229" s="268">
        <v>5174519.8</v>
      </c>
    </row>
    <row r="230" spans="35:39">
      <c r="AI230" s="62" t="s">
        <v>367</v>
      </c>
      <c r="AJ230" s="268">
        <v>-787800</v>
      </c>
      <c r="AL230" s="268">
        <v>825550</v>
      </c>
      <c r="AM230" s="268">
        <v>4386719.8</v>
      </c>
    </row>
    <row r="231" spans="35:39">
      <c r="AI231" s="62" t="s">
        <v>368</v>
      </c>
      <c r="AJ231" s="268">
        <v>-45000</v>
      </c>
      <c r="AL231" s="268">
        <v>870550</v>
      </c>
      <c r="AM231" s="268">
        <v>4341719.8</v>
      </c>
    </row>
    <row r="232" spans="35:39">
      <c r="AI232" s="62" t="s">
        <v>369</v>
      </c>
      <c r="AJ232" s="62">
        <v>0</v>
      </c>
      <c r="AM232" s="268">
        <v>4341719.8</v>
      </c>
    </row>
    <row r="233" spans="35:39">
      <c r="AI233" s="62" t="s">
        <v>370</v>
      </c>
      <c r="AJ233" s="268">
        <v>0</v>
      </c>
      <c r="AM233" s="268">
        <v>4341719.8</v>
      </c>
    </row>
    <row r="234" spans="35:38">
      <c r="AI234" s="62" t="s">
        <v>371</v>
      </c>
      <c r="AJ234" s="268">
        <v>0</v>
      </c>
      <c r="AL234" s="268">
        <v>870550</v>
      </c>
    </row>
    <row r="235" spans="35:39">
      <c r="AI235" s="62" t="s">
        <v>372</v>
      </c>
      <c r="AJ235" s="268">
        <v>-500000</v>
      </c>
      <c r="AM235" s="268">
        <v>3841719.8</v>
      </c>
    </row>
    <row r="236" spans="35:39">
      <c r="AI236" s="62" t="s">
        <v>373</v>
      </c>
      <c r="AJ236" s="268">
        <v>0</v>
      </c>
      <c r="AK236" s="268">
        <v>0</v>
      </c>
      <c r="AM236" s="268">
        <v>3841719.8</v>
      </c>
    </row>
    <row r="237" spans="35:39">
      <c r="AI237" s="62" t="s">
        <v>374</v>
      </c>
      <c r="AJ237" s="268">
        <v>-15000</v>
      </c>
      <c r="AL237" s="268">
        <v>885550</v>
      </c>
      <c r="AM237" s="268">
        <v>3826719.8</v>
      </c>
    </row>
    <row r="238" spans="35:39">
      <c r="AI238" s="62" t="s">
        <v>244</v>
      </c>
      <c r="AJ238" s="268">
        <v>-25000</v>
      </c>
      <c r="AL238" s="268">
        <v>910550</v>
      </c>
      <c r="AM238" s="268">
        <v>3801719.8</v>
      </c>
    </row>
    <row r="239" spans="35:39">
      <c r="AI239" s="62" t="s">
        <v>375</v>
      </c>
      <c r="AJ239" s="268">
        <v>-589140</v>
      </c>
      <c r="AL239" s="268">
        <v>1499690</v>
      </c>
      <c r="AM239" s="268">
        <v>3212579.8</v>
      </c>
    </row>
    <row r="240" spans="35:38">
      <c r="AI240" s="62" t="s">
        <v>376</v>
      </c>
      <c r="AJ240" s="268">
        <v>-471900</v>
      </c>
      <c r="AL240" s="268">
        <v>1971590</v>
      </c>
    </row>
    <row r="241" spans="35:39">
      <c r="AI241" s="62" t="s">
        <v>377</v>
      </c>
      <c r="AJ241" s="268">
        <v>-276050</v>
      </c>
      <c r="AL241" s="268">
        <v>2247640</v>
      </c>
      <c r="AM241" s="268">
        <v>2936529.8</v>
      </c>
    </row>
    <row r="242" spans="35:39">
      <c r="AI242" s="62" t="s">
        <v>276</v>
      </c>
      <c r="AJ242" s="268">
        <v>-30000</v>
      </c>
      <c r="AL242" s="268">
        <v>2277640</v>
      </c>
      <c r="AM242" s="268">
        <v>2906529.8</v>
      </c>
    </row>
    <row r="243" spans="35:39">
      <c r="AI243" s="62" t="s">
        <v>280</v>
      </c>
      <c r="AJ243" s="268">
        <v>-60000</v>
      </c>
      <c r="AL243" s="268">
        <v>2337640</v>
      </c>
      <c r="AM243" s="268">
        <v>2846529.8</v>
      </c>
    </row>
    <row r="244" spans="35:39">
      <c r="AI244" s="62" t="s">
        <v>378</v>
      </c>
      <c r="AJ244" s="268">
        <v>2994000</v>
      </c>
      <c r="AK244" s="268">
        <v>2994000</v>
      </c>
      <c r="AM244" s="268">
        <v>5840529.8</v>
      </c>
    </row>
    <row r="245" spans="35:39">
      <c r="AI245" s="62" t="s">
        <v>379</v>
      </c>
      <c r="AJ245" s="268">
        <v>-34720</v>
      </c>
      <c r="AL245" s="268">
        <v>2372360</v>
      </c>
      <c r="AM245" s="268">
        <v>5805809.8</v>
      </c>
    </row>
    <row r="246" spans="35:38">
      <c r="AI246" s="62" t="s">
        <v>380</v>
      </c>
      <c r="AJ246" s="268">
        <v>-600000</v>
      </c>
      <c r="AL246" s="268">
        <v>2972360</v>
      </c>
    </row>
    <row r="247" spans="35:38">
      <c r="AI247" s="62" t="s">
        <v>381</v>
      </c>
      <c r="AJ247" s="62">
        <v>0</v>
      </c>
      <c r="AL247" s="268">
        <v>2972360</v>
      </c>
    </row>
    <row r="248" spans="35:39">
      <c r="AI248" s="62" t="s">
        <v>382</v>
      </c>
      <c r="AJ248" s="268">
        <v>-8479.5</v>
      </c>
      <c r="AL248" s="268">
        <v>2980839.5</v>
      </c>
      <c r="AM248" s="268">
        <v>5797330.3</v>
      </c>
    </row>
    <row r="249" spans="35:39">
      <c r="AI249" s="62" t="s">
        <v>383</v>
      </c>
      <c r="AJ249" s="268">
        <v>-17060</v>
      </c>
      <c r="AL249" s="268">
        <v>2997899.5</v>
      </c>
      <c r="AM249" s="268">
        <v>5780270.3</v>
      </c>
    </row>
    <row r="250" spans="35:39">
      <c r="AI250" s="62" t="s">
        <v>384</v>
      </c>
      <c r="AJ250" s="268">
        <v>0</v>
      </c>
      <c r="AM250" s="268">
        <v>5780270.3</v>
      </c>
    </row>
    <row r="251" spans="35:39">
      <c r="AI251" s="62" t="s">
        <v>385</v>
      </c>
      <c r="AJ251" s="62">
        <v>0</v>
      </c>
      <c r="AK251" s="268">
        <v>2994000</v>
      </c>
      <c r="AM251" s="268">
        <v>5780270.3</v>
      </c>
    </row>
    <row r="252" spans="35:39">
      <c r="AI252" s="62" t="s">
        <v>386</v>
      </c>
      <c r="AJ252" s="268">
        <v>0</v>
      </c>
      <c r="AM252" s="268">
        <v>5780270.3</v>
      </c>
    </row>
    <row r="253" spans="35:39">
      <c r="AI253" s="62" t="s">
        <v>387</v>
      </c>
      <c r="AJ253" s="268">
        <v>0</v>
      </c>
      <c r="AL253" s="268">
        <v>2997899.5</v>
      </c>
      <c r="AM253" s="268">
        <v>5780270.3</v>
      </c>
    </row>
    <row r="254" spans="35:39">
      <c r="AI254" s="62" t="s">
        <v>388</v>
      </c>
      <c r="AJ254" s="62">
        <v>0</v>
      </c>
      <c r="AM254" s="268">
        <v>5780270.3</v>
      </c>
    </row>
    <row r="255" spans="35:39">
      <c r="AI255" s="62" t="s">
        <v>389</v>
      </c>
      <c r="AJ255" s="62">
        <v>0</v>
      </c>
      <c r="AL255" s="268">
        <v>2997899.5</v>
      </c>
      <c r="AM255" s="268">
        <v>5780270.3</v>
      </c>
    </row>
    <row r="256" spans="35:39">
      <c r="AI256" s="62" t="s">
        <v>390</v>
      </c>
      <c r="AJ256" s="268">
        <v>0</v>
      </c>
      <c r="AM256" s="268">
        <v>5780270.3</v>
      </c>
    </row>
    <row r="257" spans="35:39">
      <c r="AI257" s="62" t="s">
        <v>306</v>
      </c>
      <c r="AJ257" s="62">
        <v>0</v>
      </c>
      <c r="AM257" s="268">
        <v>5780270.3</v>
      </c>
    </row>
    <row r="258" spans="35:39">
      <c r="AI258" s="62" t="s">
        <v>391</v>
      </c>
      <c r="AJ258" s="268">
        <v>0</v>
      </c>
      <c r="AM258" s="268">
        <v>5780270.3</v>
      </c>
    </row>
    <row r="259" spans="35:39">
      <c r="AI259" s="62" t="s">
        <v>392</v>
      </c>
      <c r="AJ259" s="62">
        <v>0</v>
      </c>
      <c r="AM259" s="268">
        <v>5780270.3</v>
      </c>
    </row>
  </sheetData>
  <protectedRanges>
    <protectedRange sqref="A1:CI3 A4:F4 G16:Y19 AA16:BS20 G14:BS15 A45:Q45 U45:Y45 A44:Y44 A43:J43 L43:N43 S25:BZ26 AB5:AB8 CB25:CI27 S43:Y43 A40:BH40 A36:R37 Z37:BH39 N24:BS24 A25:G28 N25:N26 N27:BR27 A63:B63 D63:M63 A101:CS105 A38:Q38 G22:G24 BR31:CI45 A127:CS187 A106:AQ126 AB4:BS4 AH5:BS8 AA51:BS51 A48:T61 AA47:BH50 A64:M81 AA52:CS52 A41:Y42 AA41:BH45 AD9:BS9 U46:BH46 A46:R47 G20:N20 S20:Y20 N23 S21:BS23 V29:CI29 A62:M62 AA58:CS58 AF53:CS56 S62:T69 Z65:CS69 AA64:CS64 AG59:CS59 AX107:AX126 AF57:AH57 AZ57:CS57 S70:CS71 A82:G94 U91:Y94 G6:N8 S6:Z8 Z36:AI36 AZ36:BH36 AG61:CS63 AG60:AI60 AZ60:CS60 A95:F95 N95:CS95 A96:G100 U96:CS100 U30:Y34 U72:CS74 U85:U88 AZ106:CS126 A39:T39 H4:Z5 BJ30:CI30 BJ46:CI50 BJ31:BL45 G21:J21 M21:N22 U9:AB9 U10:BS13 N28:CI28 A29:T35 Z30:BH35 S79:T88 S90:T94 M89:T89 S38:T38 T75:T78 Z75:CS94 U75:Y84 G9:S9 G10:N13 P10:S13" name="区域1"/>
    <protectedRange sqref="AA4:AA8" name="区域1_1"/>
    <protectedRange sqref="Z16:Z20" name="区域1_2"/>
    <protectedRange sqref="R45" name="区域1_4"/>
    <protectedRange sqref="K43" name="区域1_6"/>
    <protectedRange sqref="O25:R26" name="区域2"/>
    <protectedRange sqref="BS27:BZ27" name="区域1_9"/>
    <protectedRange sqref="CA27" name="区域1_7"/>
    <protectedRange sqref="O43:R43" name="区域1_10"/>
    <protectedRange sqref="H23:M24 H25:H28 M25:M28" name="区域1_12"/>
    <protectedRange sqref="C63" name="区域1_13"/>
    <protectedRange sqref="N72:R72 N73:N76" name="区域2_1_1_3"/>
    <protectedRange sqref="N67:R67 N68:N71" name="区域2_1_1_3_1"/>
    <protectedRange sqref="O77:R77 N78:N81" name="区域2_1_1_3_1_4"/>
    <protectedRange sqref="O68:R71" name="区域2_1_1_3_1_2_1_1"/>
    <protectedRange sqref="O73:R76" name="区域2_1_1_3_2"/>
    <protectedRange sqref="R38" name="区域1_15"/>
    <protectedRange sqref="H22:L22" name="区域1_14_1"/>
    <protectedRange sqref="BM31:BQ40 BM42:BQ45 BN41:BQ41" name="区域1_14"/>
    <protectedRange sqref="AR107:AR126" name="区域2_1"/>
    <protectedRange sqref="AS107:AS126" name="区域2_2"/>
    <protectedRange sqref="AT107:AT126" name="区域2_3"/>
    <protectedRange sqref="AU107:AU126" name="区域2_5"/>
    <protectedRange sqref="AV107:AV126" name="区域1_18"/>
    <protectedRange sqref="AW107:AW126" name="区域1_14_2"/>
    <protectedRange sqref="AR106 AW106" name="区域1_17_3"/>
    <protectedRange sqref="AS106" name="区域1_17_1_1"/>
    <protectedRange sqref="AT106" name="区域1_17_2_1"/>
    <protectedRange sqref="AU106" name="区域1_17_4_1"/>
    <protectedRange sqref="AV106" name="区域1_18_1"/>
    <protectedRange sqref="CA25:CA26" name="区域1_7_1_1"/>
    <protectedRange sqref="CK4:CR24 CJ1:CS3 CJ25:CS51" name="区域1_19"/>
    <protectedRange sqref="BT4:CA4 BT5:BZ24" name="区域1_17_1"/>
    <protectedRange sqref="CA5:CA24" name="区域1_6_2_1"/>
    <protectedRange sqref="U58:Z58 Z47:Z57 U64:Z64" name="区域1_5"/>
    <protectedRange sqref="Z41:Z45" name="区域1_8"/>
    <protectedRange sqref="U54:Y57 V47:Y53" name="区域1_4_2"/>
    <protectedRange sqref="AD5:AG8" name="区域1_17"/>
    <protectedRange sqref="AC9" name="区域1_20"/>
    <protectedRange sqref="AC5:AC8" name="区域1_15_1_1"/>
    <protectedRange sqref="BT51:CI51" name="区域1_4_1"/>
    <protectedRange sqref="S45:T46 S47" name="区域3"/>
    <protectedRange sqref="T47" name="区域3_1"/>
    <protectedRange sqref="O20:R23" name="区域3_2"/>
    <protectedRange sqref="A5:F24" name="区域1_21"/>
    <protectedRange sqref="U47:U53" name="区域1_4_2_1"/>
    <protectedRange sqref="Z59:Z63" name="区域1_7_1"/>
    <protectedRange sqref="U59:Y63" name="区域1_4_2_2"/>
    <protectedRange sqref="U29" name="区域1_3"/>
    <protectedRange sqref="N62:R62 N63:N66" name="区域2_1_1_3_3"/>
    <protectedRange sqref="O63:R66" name="区域2_1_1_3_1_2_1_1_1"/>
    <protectedRange sqref="AB53:AE53 AA54:AE57" name="区域1_4_2_3"/>
    <protectedRange sqref="AA53" name="区域1_4_2_1_1"/>
    <protectedRange sqref="U65" name="区域1_16"/>
    <protectedRange sqref="U66:U69 V65:Y65" name="区域1_4_2_2_1"/>
    <protectedRange sqref="V66:Y69" name="区域1_22"/>
    <protectedRange sqref="CH4:CJ24" name="区域1_12_1"/>
    <protectedRange sqref="CG4:CG24" name="区域1_19_1"/>
    <protectedRange sqref="CF4:CF24" name="区域1_12_1_1"/>
    <protectedRange sqref="CB4:CE4 CB5:CB24" name="区域1_17_1_2"/>
    <protectedRange sqref="CC5:CE24" name="区域1_5_1_1_1"/>
    <protectedRange sqref="O78:R81" name="区域2_1_1_3_1_1"/>
    <protectedRange sqref="V85:Y88" name="区域1_11_1"/>
    <protectedRange sqref="AF59:AF63" name="区域1_23"/>
    <protectedRange sqref="AB59:AE59 AA60:AE63" name="区域1_4_2_3_1"/>
    <protectedRange sqref="AA59" name="区域1_4_2_1_2"/>
    <protectedRange sqref="AX106" name="区域1_11"/>
    <protectedRange sqref="H82:R83" name="区域2_4"/>
    <protectedRange sqref="H84:L88 N84:R88" name="区域2_6"/>
    <protectedRange sqref="AI57" name="区域1_14_3"/>
    <protectedRange sqref="AJ57:AY57" name="区域1_25_1"/>
    <protectedRange sqref="H89:L89" name="区域1_26"/>
    <protectedRange sqref="O6:R8" name="区域1_27"/>
    <protectedRange sqref="M84:M88" name="区域2_2_2"/>
    <protectedRange sqref="AJ36:AY36" name="区域1_1_1"/>
    <protectedRange sqref="AJ60:AY60" name="区域1_1_2"/>
    <protectedRange sqref="N90:R94" name="区域2_7"/>
    <protectedRange sqref="G95" name="区域2_8"/>
    <protectedRange sqref="M96:M100" name="区域3_3"/>
    <protectedRange sqref="H96:L100 N96:R100" name="区域2_6_1"/>
    <protectedRange sqref="T72:T74" name="区域1_1_5"/>
    <protectedRange sqref="S36" name="区域1_24"/>
    <protectedRange sqref="T36:T37" name="区域1_1_6"/>
    <protectedRange sqref="S73:S76" name="区域1_1_3_1"/>
    <protectedRange sqref="S72" name="区域1_1_3_3"/>
    <protectedRange sqref="S37" name="区域1_28"/>
    <protectedRange sqref="H95:M95" name="区域1_25"/>
    <protectedRange sqref="I90:L90 H91:L94" name="区域1_4_2_4"/>
    <protectedRange sqref="H90" name="区域1_4_2_1_3"/>
    <protectedRange sqref="N77" name="区域2_1_1_3_1_1_2"/>
    <protectedRange sqref="M90" name="区域2_7_1"/>
    <protectedRange sqref="S78" name="区域2_7_2"/>
    <protectedRange sqref="AY106" name="区域1_22_1"/>
    <protectedRange sqref="M91:M94" name="区域2_7_1_1"/>
    <protectedRange sqref="AY107:AY126" name="区域1_22_2"/>
    <protectedRange sqref="G5" name="区域1_29"/>
    <protectedRange sqref="S77" name="区域2_7_1_2"/>
    <protectedRange sqref="S96:S100" name="区域3_4"/>
    <protectedRange sqref="T96:T100" name="区域3_5"/>
    <protectedRange sqref="BI31:BI50" name="区域1_30"/>
    <protectedRange sqref="BI30" name="区域1_7_2"/>
    <protectedRange sqref="G4" name="区域1_31"/>
    <protectedRange sqref="K21" name="区域1_24_1"/>
    <protectedRange sqref="L21" name="区域1_26_1"/>
    <protectedRange sqref="T9" name="区域1_27_1"/>
    <protectedRange sqref="I25:L28" name="区域1_11_2"/>
    <protectedRange sqref="BM41" name="区域1_27_2"/>
    <protectedRange sqref="V35:Y35 U36:Y39" name="区域1_11_1_1"/>
    <protectedRange sqref="U35" name="区域1_6_1"/>
    <protectedRange sqref="T10:T13" name="区域2_9"/>
    <protectedRange sqref="O10:O13" name="区域3_7"/>
  </protectedRanges>
  <mergeCells count="104">
    <mergeCell ref="CK3:CS3"/>
    <mergeCell ref="A4:F4"/>
    <mergeCell ref="H4:L4"/>
    <mergeCell ref="N4:R4"/>
    <mergeCell ref="BA4:BQ4"/>
    <mergeCell ref="BB5:BE5"/>
    <mergeCell ref="BF5:BI5"/>
    <mergeCell ref="BJ5:BM5"/>
    <mergeCell ref="BN5:BQ5"/>
    <mergeCell ref="AI7:AQ7"/>
    <mergeCell ref="H11:L11"/>
    <mergeCell ref="H23:L23"/>
    <mergeCell ref="A26:F26"/>
    <mergeCell ref="BS27:BV27"/>
    <mergeCell ref="A28:B28"/>
    <mergeCell ref="C28:F28"/>
    <mergeCell ref="BT28:BW28"/>
    <mergeCell ref="BX28:CA28"/>
    <mergeCell ref="CB28:CE28"/>
    <mergeCell ref="CF28:CI28"/>
    <mergeCell ref="A29:B29"/>
    <mergeCell ref="K29:L29"/>
    <mergeCell ref="A30:B30"/>
    <mergeCell ref="BM30:BQ30"/>
    <mergeCell ref="A31:B31"/>
    <mergeCell ref="N31:R31"/>
    <mergeCell ref="A32:B32"/>
    <mergeCell ref="A33:B33"/>
    <mergeCell ref="A34:B34"/>
    <mergeCell ref="AI34:AY34"/>
    <mergeCell ref="A35:B35"/>
    <mergeCell ref="AJ35:AM35"/>
    <mergeCell ref="AN35:AQ35"/>
    <mergeCell ref="AR35:AU35"/>
    <mergeCell ref="AV35:AY35"/>
    <mergeCell ref="A36:B36"/>
    <mergeCell ref="A37:B37"/>
    <mergeCell ref="A38:B38"/>
    <mergeCell ref="N38:O38"/>
    <mergeCell ref="A39:B39"/>
    <mergeCell ref="N39:R39"/>
    <mergeCell ref="A40:B40"/>
    <mergeCell ref="AB40:AC40"/>
    <mergeCell ref="AD40:AE40"/>
    <mergeCell ref="A41:B41"/>
    <mergeCell ref="H41:L41"/>
    <mergeCell ref="AB41:AC41"/>
    <mergeCell ref="AD41:AE41"/>
    <mergeCell ref="A42:B42"/>
    <mergeCell ref="AB42:AC42"/>
    <mergeCell ref="AD42:AE42"/>
    <mergeCell ref="A43:B43"/>
    <mergeCell ref="A44:B44"/>
    <mergeCell ref="A45:B45"/>
    <mergeCell ref="H45:L45"/>
    <mergeCell ref="A46:B46"/>
    <mergeCell ref="A47:B47"/>
    <mergeCell ref="N47:R47"/>
    <mergeCell ref="A48:B48"/>
    <mergeCell ref="A49:B49"/>
    <mergeCell ref="A50:B50"/>
    <mergeCell ref="A51:B51"/>
    <mergeCell ref="A52:B52"/>
    <mergeCell ref="A53:B53"/>
    <mergeCell ref="A54:B54"/>
    <mergeCell ref="A55:B55"/>
    <mergeCell ref="A56:B56"/>
    <mergeCell ref="A57:B57"/>
    <mergeCell ref="A58:B58"/>
    <mergeCell ref="AI58:AY58"/>
    <mergeCell ref="A59:B59"/>
    <mergeCell ref="AJ59:AM59"/>
    <mergeCell ref="AN59:AQ59"/>
    <mergeCell ref="AR59:AU59"/>
    <mergeCell ref="AV59:AY59"/>
    <mergeCell ref="A60:B60"/>
    <mergeCell ref="A61:B61"/>
    <mergeCell ref="A62:B62"/>
    <mergeCell ref="A63:B63"/>
    <mergeCell ref="A64:B64"/>
    <mergeCell ref="A66:C66"/>
    <mergeCell ref="E66:F66"/>
    <mergeCell ref="H77:L77"/>
    <mergeCell ref="B80:C80"/>
    <mergeCell ref="AI82:AV82"/>
    <mergeCell ref="A21:A22"/>
    <mergeCell ref="A23:A24"/>
    <mergeCell ref="F21:F22"/>
    <mergeCell ref="M23:M24"/>
    <mergeCell ref="T18:T19"/>
    <mergeCell ref="AI35:AI36"/>
    <mergeCell ref="AI59:AI60"/>
    <mergeCell ref="BA5:BA6"/>
    <mergeCell ref="BS28:BS29"/>
    <mergeCell ref="A1:F2"/>
    <mergeCell ref="BS1:CI2"/>
    <mergeCell ref="H1:R2"/>
    <mergeCell ref="AI1:AY2"/>
    <mergeCell ref="U1:Z2"/>
    <mergeCell ref="AB1:AG2"/>
    <mergeCell ref="BA1:BQ2"/>
    <mergeCell ref="AI4:AY5"/>
    <mergeCell ref="AI31:AY32"/>
    <mergeCell ref="H82:R83"/>
  </mergeCells>
  <conditionalFormatting sqref="G4">
    <cfRule type="cellIs" dxfId="0" priority="1" operator="equal">
      <formula>"""价格打错"""</formula>
    </cfRule>
  </conditionalFormatting>
  <conditionalFormatting sqref="AG11">
    <cfRule type="cellIs" dxfId="3" priority="28" stopIfTrue="1" operator="equal">
      <formula>"正确"</formula>
    </cfRule>
    <cfRule type="cellIs" dxfId="4" priority="29" stopIfTrue="1" operator="equal">
      <formula>“错误”</formula>
    </cfRule>
    <cfRule type="cellIs" dxfId="5" priority="30" stopIfTrue="1" operator="equal">
      <formula>"未粘报表"</formula>
    </cfRule>
  </conditionalFormatting>
  <conditionalFormatting sqref="AH11">
    <cfRule type="cellIs" dxfId="6" priority="21" stopIfTrue="1" operator="equal">
      <formula>"未粘报表"</formula>
    </cfRule>
    <cfRule type="cellIs" dxfId="6" priority="26" stopIfTrue="1" operator="equal">
      <formula>"现金错误"</formula>
    </cfRule>
    <cfRule type="cellIs" dxfId="7" priority="27" stopIfTrue="1" operator="equal">
      <formula>"现金正确"</formula>
    </cfRule>
  </conditionalFormatting>
  <conditionalFormatting sqref="AG13">
    <cfRule type="cellIs" dxfId="6" priority="20" stopIfTrue="1" operator="equal">
      <formula>"未粘报表"</formula>
    </cfRule>
    <cfRule type="cellIs" dxfId="6" priority="24" stopIfTrue="1" operator="equal">
      <formula>"成本错误"</formula>
    </cfRule>
    <cfRule type="cellIs" dxfId="7" priority="25" stopIfTrue="1" operator="equal">
      <formula>"成本正确"</formula>
    </cfRule>
  </conditionalFormatting>
  <conditionalFormatting sqref="AH13">
    <cfRule type="cellIs" dxfId="6" priority="19" stopIfTrue="1" operator="equal">
      <formula>"未粘报表"</formula>
    </cfRule>
    <cfRule type="cellIs" dxfId="6" priority="22" stopIfTrue="1" operator="equal">
      <formula>"分红错误"</formula>
    </cfRule>
    <cfRule type="cellIs" dxfId="7" priority="23" stopIfTrue="1" operator="equal">
      <formula>"分红正确"</formula>
    </cfRule>
  </conditionalFormatting>
  <conditionalFormatting sqref="K18">
    <cfRule type="cellIs" dxfId="8" priority="43" stopIfTrue="1" operator="lessThan">
      <formula>$J$17</formula>
    </cfRule>
  </conditionalFormatting>
  <conditionalFormatting sqref="S37">
    <cfRule type="expression" dxfId="9" priority="9">
      <formula>"&gt;0"</formula>
    </cfRule>
  </conditionalFormatting>
  <conditionalFormatting sqref="T37">
    <cfRule type="expression" dxfId="9" priority="11">
      <formula>"&gt;0"</formula>
    </cfRule>
  </conditionalFormatting>
  <conditionalFormatting sqref="K43">
    <cfRule type="cellIs" dxfId="8" priority="18" stopIfTrue="1" operator="lessThan">
      <formula>$I$43</formula>
    </cfRule>
  </conditionalFormatting>
  <conditionalFormatting sqref="T47">
    <cfRule type="expression" dxfId="9" priority="16">
      <formula>"&gt;0"</formula>
    </cfRule>
  </conditionalFormatting>
  <conditionalFormatting sqref="S78">
    <cfRule type="cellIs" dxfId="6" priority="4" stopIfTrue="1" operator="equal">
      <formula>"未粘报表"</formula>
    </cfRule>
    <cfRule type="cellIs" dxfId="6" priority="5" stopIfTrue="1" operator="equal">
      <formula>"分红错误"</formula>
    </cfRule>
    <cfRule type="cellIs" dxfId="7" priority="6" stopIfTrue="1" operator="equal">
      <formula>"分红正确"</formula>
    </cfRule>
  </conditionalFormatting>
  <conditionalFormatting sqref="K85:K88">
    <cfRule type="cellIs" dxfId="0" priority="15" operator="greaterThan">
      <formula>$L$85+15</formula>
    </cfRule>
  </conditionalFormatting>
  <conditionalFormatting sqref="L85:L88">
    <cfRule type="cellIs" dxfId="0" priority="14" operator="greaterThan">
      <formula>$K$85+15</formula>
    </cfRule>
  </conditionalFormatting>
  <conditionalFormatting sqref="M85:M88">
    <cfRule type="cellIs" dxfId="0" priority="13" operator="greaterThan">
      <formula>$K$85+15</formula>
    </cfRule>
  </conditionalFormatting>
  <conditionalFormatting sqref="M91:M94">
    <cfRule type="cellIs" dxfId="6" priority="2" stopIfTrue="1" operator="equal">
      <formula>"市场异常"</formula>
    </cfRule>
    <cfRule type="cellIs" dxfId="7" priority="3" stopIfTrue="1" operator="equal">
      <formula>"市场正常"</formula>
    </cfRule>
  </conditionalFormatting>
  <dataValidations count="2">
    <dataValidation type="whole" operator="between" allowBlank="1" showInputMessage="1" showErrorMessage="1" error="请输入正确" sqref="K43">
      <formula1>I43</formula1>
      <formula2>10000000000</formula2>
    </dataValidation>
    <dataValidation type="decimal" operator="between" allowBlank="1" showInputMessage="1" showErrorMessage="1" error="请输入正确" sqref="R45">
      <formula1>1</formula1>
      <formula2>2</formula2>
    </dataValidation>
  </dataValidations>
  <pageMargins left="0.698611111111111" right="0.698611111111111" top="0.75" bottom="0.75" header="0.3" footer="0.3"/>
  <pageSetup paperSize="9" firstPageNumber="4294963191" orientation="portrait" useFirstPageNumber="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325" name="Spinner 13" r:id="rId4">
              <controlPr defaultSize="0">
                <anchor moveWithCells="1" sizeWithCells="1">
                  <from>
                    <xdr:col>9</xdr:col>
                    <xdr:colOff>793750</xdr:colOff>
                    <xdr:row>24</xdr:row>
                    <xdr:rowOff>12700</xdr:rowOff>
                  </from>
                  <to>
                    <xdr:col>9</xdr:col>
                    <xdr:colOff>927100</xdr:colOff>
                    <xdr:row>25</xdr:row>
                    <xdr:rowOff>0</xdr:rowOff>
                  </to>
                </anchor>
              </controlPr>
            </control>
          </mc:Choice>
        </mc:AlternateContent>
        <mc:AlternateContent xmlns:mc="http://schemas.openxmlformats.org/markup-compatibility/2006">
          <mc:Choice Requires="x14">
            <control shapeId="13327" name="Spinner 15" r:id="rId5">
              <controlPr defaultSize="0">
                <anchor moveWithCells="1" sizeWithCells="1">
                  <from>
                    <xdr:col>9</xdr:col>
                    <xdr:colOff>793750</xdr:colOff>
                    <xdr:row>25</xdr:row>
                    <xdr:rowOff>12700</xdr:rowOff>
                  </from>
                  <to>
                    <xdr:col>9</xdr:col>
                    <xdr:colOff>927100</xdr:colOff>
                    <xdr:row>26</xdr:row>
                    <xdr:rowOff>0</xdr:rowOff>
                  </to>
                </anchor>
              </controlPr>
            </control>
          </mc:Choice>
        </mc:AlternateContent>
        <mc:AlternateContent xmlns:mc="http://schemas.openxmlformats.org/markup-compatibility/2006">
          <mc:Choice Requires="x14">
            <control shapeId="13329" name="Spinner 17" r:id="rId6">
              <controlPr defaultSize="0">
                <anchor moveWithCells="1" sizeWithCells="1">
                  <from>
                    <xdr:col>9</xdr:col>
                    <xdr:colOff>793750</xdr:colOff>
                    <xdr:row>26</xdr:row>
                    <xdr:rowOff>12700</xdr:rowOff>
                  </from>
                  <to>
                    <xdr:col>9</xdr:col>
                    <xdr:colOff>927100</xdr:colOff>
                    <xdr:row>27</xdr:row>
                    <xdr:rowOff>0</xdr:rowOff>
                  </to>
                </anchor>
              </controlPr>
            </control>
          </mc:Choice>
        </mc:AlternateContent>
        <mc:AlternateContent xmlns:mc="http://schemas.openxmlformats.org/markup-compatibility/2006">
          <mc:Choice Requires="x14">
            <control shapeId="13331" name="Spinner 19" r:id="rId7">
              <controlPr defaultSize="0">
                <anchor moveWithCells="1" sizeWithCells="1">
                  <from>
                    <xdr:col>9</xdr:col>
                    <xdr:colOff>793750</xdr:colOff>
                    <xdr:row>27</xdr:row>
                    <xdr:rowOff>12700</xdr:rowOff>
                  </from>
                  <to>
                    <xdr:col>9</xdr:col>
                    <xdr:colOff>927100</xdr:colOff>
                    <xdr:row>28</xdr:row>
                    <xdr:rowOff>0</xdr:rowOff>
                  </to>
                </anchor>
              </controlPr>
            </control>
          </mc:Choice>
        </mc:AlternateContent>
        <mc:AlternateContent xmlns:mc="http://schemas.openxmlformats.org/markup-compatibility/2006">
          <mc:Choice Requires="x14">
            <control shapeId="13335" name="Spinner 23" r:id="rId8">
              <controlPr defaultSize="0">
                <anchor moveWithCells="1" sizeWithCells="1">
                  <from>
                    <xdr:col>11</xdr:col>
                    <xdr:colOff>952500</xdr:colOff>
                    <xdr:row>25</xdr:row>
                    <xdr:rowOff>12700</xdr:rowOff>
                  </from>
                  <to>
                    <xdr:col>11</xdr:col>
                    <xdr:colOff>1079500</xdr:colOff>
                    <xdr:row>26</xdr:row>
                    <xdr:rowOff>0</xdr:rowOff>
                  </to>
                </anchor>
              </controlPr>
            </control>
          </mc:Choice>
        </mc:AlternateContent>
        <mc:AlternateContent xmlns:mc="http://schemas.openxmlformats.org/markup-compatibility/2006">
          <mc:Choice Requires="x14">
            <control shapeId="13339" name="Spinner 27" r:id="rId9">
              <controlPr defaultSize="0">
                <anchor moveWithCells="1" sizeWithCells="1">
                  <from>
                    <xdr:col>11</xdr:col>
                    <xdr:colOff>952500</xdr:colOff>
                    <xdr:row>27</xdr:row>
                    <xdr:rowOff>12700</xdr:rowOff>
                  </from>
                  <to>
                    <xdr:col>11</xdr:col>
                    <xdr:colOff>1079500</xdr:colOff>
                    <xdr:row>28</xdr:row>
                    <xdr:rowOff>0</xdr:rowOff>
                  </to>
                </anchor>
              </controlPr>
            </control>
          </mc:Choice>
        </mc:AlternateContent>
        <mc:AlternateContent xmlns:mc="http://schemas.openxmlformats.org/markup-compatibility/2006">
          <mc:Choice Requires="x14">
            <control shapeId="13348" name="Spinner 36" r:id="rId10">
              <controlPr defaultSize="0">
                <anchor moveWithCells="1" sizeWithCells="1">
                  <from>
                    <xdr:col>10</xdr:col>
                    <xdr:colOff>800100</xdr:colOff>
                    <xdr:row>24</xdr:row>
                    <xdr:rowOff>12700</xdr:rowOff>
                  </from>
                  <to>
                    <xdr:col>10</xdr:col>
                    <xdr:colOff>952500</xdr:colOff>
                    <xdr:row>25</xdr:row>
                    <xdr:rowOff>12700</xdr:rowOff>
                  </to>
                </anchor>
              </controlPr>
            </control>
          </mc:Choice>
        </mc:AlternateContent>
        <mc:AlternateContent xmlns:mc="http://schemas.openxmlformats.org/markup-compatibility/2006">
          <mc:Choice Requires="x14">
            <control shapeId="13349" name="Spinner 37" r:id="rId11">
              <controlPr defaultSize="0">
                <anchor moveWithCells="1" sizeWithCells="1">
                  <from>
                    <xdr:col>11</xdr:col>
                    <xdr:colOff>952500</xdr:colOff>
                    <xdr:row>24</xdr:row>
                    <xdr:rowOff>12700</xdr:rowOff>
                  </from>
                  <to>
                    <xdr:col>11</xdr:col>
                    <xdr:colOff>1092200</xdr:colOff>
                    <xdr:row>25</xdr:row>
                    <xdr:rowOff>0</xdr:rowOff>
                  </to>
                </anchor>
              </controlPr>
            </control>
          </mc:Choice>
        </mc:AlternateContent>
        <mc:AlternateContent xmlns:mc="http://schemas.openxmlformats.org/markup-compatibility/2006">
          <mc:Choice Requires="x14">
            <control shapeId="13350" name="Spinner 38" r:id="rId12">
              <controlPr defaultSize="0">
                <anchor moveWithCells="1" sizeWithCells="1">
                  <from>
                    <xdr:col>10</xdr:col>
                    <xdr:colOff>800100</xdr:colOff>
                    <xdr:row>25</xdr:row>
                    <xdr:rowOff>31750</xdr:rowOff>
                  </from>
                  <to>
                    <xdr:col>10</xdr:col>
                    <xdr:colOff>946150</xdr:colOff>
                    <xdr:row>26</xdr:row>
                    <xdr:rowOff>12700</xdr:rowOff>
                  </to>
                </anchor>
              </controlPr>
            </control>
          </mc:Choice>
        </mc:AlternateContent>
        <mc:AlternateContent xmlns:mc="http://schemas.openxmlformats.org/markup-compatibility/2006">
          <mc:Choice Requires="x14">
            <control shapeId="13352" name="Spinner 40" r:id="rId13">
              <controlPr defaultSize="0">
                <anchor moveWithCells="1" sizeWithCells="1">
                  <from>
                    <xdr:col>10</xdr:col>
                    <xdr:colOff>800100</xdr:colOff>
                    <xdr:row>26</xdr:row>
                    <xdr:rowOff>31750</xdr:rowOff>
                  </from>
                  <to>
                    <xdr:col>10</xdr:col>
                    <xdr:colOff>946150</xdr:colOff>
                    <xdr:row>27</xdr:row>
                    <xdr:rowOff>12700</xdr:rowOff>
                  </to>
                </anchor>
              </controlPr>
            </control>
          </mc:Choice>
        </mc:AlternateContent>
        <mc:AlternateContent xmlns:mc="http://schemas.openxmlformats.org/markup-compatibility/2006">
          <mc:Choice Requires="x14">
            <control shapeId="13353" name="Spinner 41" r:id="rId14">
              <controlPr defaultSize="0">
                <anchor moveWithCells="1" sizeWithCells="1">
                  <from>
                    <xdr:col>11</xdr:col>
                    <xdr:colOff>965200</xdr:colOff>
                    <xdr:row>26</xdr:row>
                    <xdr:rowOff>12700</xdr:rowOff>
                  </from>
                  <to>
                    <xdr:col>11</xdr:col>
                    <xdr:colOff>1092200</xdr:colOff>
                    <xdr:row>27</xdr:row>
                    <xdr:rowOff>12700</xdr:rowOff>
                  </to>
                </anchor>
              </controlPr>
            </control>
          </mc:Choice>
        </mc:AlternateContent>
        <mc:AlternateContent xmlns:mc="http://schemas.openxmlformats.org/markup-compatibility/2006">
          <mc:Choice Requires="x14">
            <control shapeId="13354" name="Spinner 42" r:id="rId15">
              <controlPr defaultSize="0">
                <anchor moveWithCells="1" sizeWithCells="1">
                  <from>
                    <xdr:col>10</xdr:col>
                    <xdr:colOff>800100</xdr:colOff>
                    <xdr:row>27</xdr:row>
                    <xdr:rowOff>31750</xdr:rowOff>
                  </from>
                  <to>
                    <xdr:col>10</xdr:col>
                    <xdr:colOff>946150</xdr:colOff>
                    <xdr:row>28</xdr:row>
                    <xdr:rowOff>12700</xdr:rowOff>
                  </to>
                </anchor>
              </controlPr>
            </control>
          </mc:Choice>
        </mc:AlternateContent>
        <mc:AlternateContent xmlns:mc="http://schemas.openxmlformats.org/markup-compatibility/2006">
          <mc:Choice Requires="x14">
            <control shapeId="13356" name="Spinner 44" r:id="rId16">
              <controlPr defaultSize="0">
                <anchor moveWithCells="1" sizeWithCells="1">
                  <from>
                    <xdr:col>8</xdr:col>
                    <xdr:colOff>812800</xdr:colOff>
                    <xdr:row>24</xdr:row>
                    <xdr:rowOff>0</xdr:rowOff>
                  </from>
                  <to>
                    <xdr:col>8</xdr:col>
                    <xdr:colOff>927100</xdr:colOff>
                    <xdr:row>24</xdr:row>
                    <xdr:rowOff>190500</xdr:rowOff>
                  </to>
                </anchor>
              </controlPr>
            </control>
          </mc:Choice>
        </mc:AlternateContent>
        <mc:AlternateContent xmlns:mc="http://schemas.openxmlformats.org/markup-compatibility/2006">
          <mc:Choice Requires="x14">
            <control shapeId="13357" name="Spinner 45" r:id="rId17">
              <controlPr defaultSize="0">
                <anchor moveWithCells="1" sizeWithCells="1">
                  <from>
                    <xdr:col>8</xdr:col>
                    <xdr:colOff>812800</xdr:colOff>
                    <xdr:row>25</xdr:row>
                    <xdr:rowOff>0</xdr:rowOff>
                  </from>
                  <to>
                    <xdr:col>8</xdr:col>
                    <xdr:colOff>927100</xdr:colOff>
                    <xdr:row>25</xdr:row>
                    <xdr:rowOff>190500</xdr:rowOff>
                  </to>
                </anchor>
              </controlPr>
            </control>
          </mc:Choice>
        </mc:AlternateContent>
        <mc:AlternateContent xmlns:mc="http://schemas.openxmlformats.org/markup-compatibility/2006">
          <mc:Choice Requires="x14">
            <control shapeId="13358" name="Spinner 46" r:id="rId18">
              <controlPr defaultSize="0">
                <anchor moveWithCells="1" sizeWithCells="1">
                  <from>
                    <xdr:col>8</xdr:col>
                    <xdr:colOff>812800</xdr:colOff>
                    <xdr:row>26</xdr:row>
                    <xdr:rowOff>0</xdr:rowOff>
                  </from>
                  <to>
                    <xdr:col>8</xdr:col>
                    <xdr:colOff>927100</xdr:colOff>
                    <xdr:row>26</xdr:row>
                    <xdr:rowOff>190500</xdr:rowOff>
                  </to>
                </anchor>
              </controlPr>
            </control>
          </mc:Choice>
        </mc:AlternateContent>
        <mc:AlternateContent xmlns:mc="http://schemas.openxmlformats.org/markup-compatibility/2006">
          <mc:Choice Requires="x14">
            <control shapeId="13359" name="Spinner 47" r:id="rId19">
              <controlPr defaultSize="0">
                <anchor moveWithCells="1" sizeWithCells="1">
                  <from>
                    <xdr:col>8</xdr:col>
                    <xdr:colOff>812800</xdr:colOff>
                    <xdr:row>27</xdr:row>
                    <xdr:rowOff>0</xdr:rowOff>
                  </from>
                  <to>
                    <xdr:col>8</xdr:col>
                    <xdr:colOff>927100</xdr:colOff>
                    <xdr:row>27</xdr:row>
                    <xdr:rowOff>190500</xdr:rowOff>
                  </to>
                </anchor>
              </controlPr>
            </control>
          </mc:Choice>
        </mc:AlternateContent>
        <mc:AlternateContent xmlns:mc="http://schemas.openxmlformats.org/markup-compatibility/2006">
          <mc:Choice Requires="x14">
            <control shapeId="13360" name="Spinner 48" r:id="rId20">
              <controlPr defaultSize="0">
                <anchor moveWithCells="1" sizeWithCells="1">
                  <from>
                    <xdr:col>8</xdr:col>
                    <xdr:colOff>825500</xdr:colOff>
                    <xdr:row>62</xdr:row>
                    <xdr:rowOff>0</xdr:rowOff>
                  </from>
                  <to>
                    <xdr:col>8</xdr:col>
                    <xdr:colOff>946150</xdr:colOff>
                    <xdr:row>62</xdr:row>
                    <xdr:rowOff>190500</xdr:rowOff>
                  </to>
                </anchor>
              </controlPr>
            </control>
          </mc:Choice>
        </mc:AlternateContent>
        <mc:AlternateContent xmlns:mc="http://schemas.openxmlformats.org/markup-compatibility/2006">
          <mc:Choice Requires="x14">
            <control shapeId="13361" name="Spinner 49" r:id="rId21">
              <controlPr defaultSize="0">
                <anchor moveWithCells="1" sizeWithCells="1">
                  <from>
                    <xdr:col>9</xdr:col>
                    <xdr:colOff>812800</xdr:colOff>
                    <xdr:row>62</xdr:row>
                    <xdr:rowOff>0</xdr:rowOff>
                  </from>
                  <to>
                    <xdr:col>9</xdr:col>
                    <xdr:colOff>927100</xdr:colOff>
                    <xdr:row>62</xdr:row>
                    <xdr:rowOff>190500</xdr:rowOff>
                  </to>
                </anchor>
              </controlPr>
            </control>
          </mc:Choice>
        </mc:AlternateContent>
        <mc:AlternateContent xmlns:mc="http://schemas.openxmlformats.org/markup-compatibility/2006">
          <mc:Choice Requires="x14">
            <control shapeId="13362" name="Spinner 50" r:id="rId22">
              <controlPr defaultSize="0">
                <anchor moveWithCells="1" sizeWithCells="1">
                  <from>
                    <xdr:col>10</xdr:col>
                    <xdr:colOff>812800</xdr:colOff>
                    <xdr:row>62</xdr:row>
                    <xdr:rowOff>0</xdr:rowOff>
                  </from>
                  <to>
                    <xdr:col>10</xdr:col>
                    <xdr:colOff>946150</xdr:colOff>
                    <xdr:row>62</xdr:row>
                    <xdr:rowOff>190500</xdr:rowOff>
                  </to>
                </anchor>
              </controlPr>
            </control>
          </mc:Choice>
        </mc:AlternateContent>
        <mc:AlternateContent xmlns:mc="http://schemas.openxmlformats.org/markup-compatibility/2006">
          <mc:Choice Requires="x14">
            <control shapeId="13363" name="Spinner 51" r:id="rId23">
              <controlPr defaultSize="0">
                <anchor moveWithCells="1" sizeWithCells="1">
                  <from>
                    <xdr:col>11</xdr:col>
                    <xdr:colOff>965200</xdr:colOff>
                    <xdr:row>61</xdr:row>
                    <xdr:rowOff>190500</xdr:rowOff>
                  </from>
                  <to>
                    <xdr:col>11</xdr:col>
                    <xdr:colOff>1092200</xdr:colOff>
                    <xdr:row>62</xdr:row>
                    <xdr:rowOff>184150</xdr:rowOff>
                  </to>
                </anchor>
              </controlPr>
            </control>
          </mc:Choice>
        </mc:AlternateContent>
        <mc:AlternateContent xmlns:mc="http://schemas.openxmlformats.org/markup-compatibility/2006">
          <mc:Choice Requires="x14">
            <control shapeId="13364" name="Spinner 52" r:id="rId24">
              <controlPr defaultSize="0">
                <anchor moveWithCells="1" sizeWithCells="1">
                  <from>
                    <xdr:col>8</xdr:col>
                    <xdr:colOff>825500</xdr:colOff>
                    <xdr:row>63</xdr:row>
                    <xdr:rowOff>0</xdr:rowOff>
                  </from>
                  <to>
                    <xdr:col>8</xdr:col>
                    <xdr:colOff>946150</xdr:colOff>
                    <xdr:row>63</xdr:row>
                    <xdr:rowOff>190500</xdr:rowOff>
                  </to>
                </anchor>
              </controlPr>
            </control>
          </mc:Choice>
        </mc:AlternateContent>
        <mc:AlternateContent xmlns:mc="http://schemas.openxmlformats.org/markup-compatibility/2006">
          <mc:Choice Requires="x14">
            <control shapeId="13365" name="Spinner 53" r:id="rId25">
              <controlPr defaultSize="0">
                <anchor moveWithCells="1" sizeWithCells="1">
                  <from>
                    <xdr:col>9</xdr:col>
                    <xdr:colOff>812800</xdr:colOff>
                    <xdr:row>63</xdr:row>
                    <xdr:rowOff>0</xdr:rowOff>
                  </from>
                  <to>
                    <xdr:col>9</xdr:col>
                    <xdr:colOff>927100</xdr:colOff>
                    <xdr:row>63</xdr:row>
                    <xdr:rowOff>190500</xdr:rowOff>
                  </to>
                </anchor>
              </controlPr>
            </control>
          </mc:Choice>
        </mc:AlternateContent>
        <mc:AlternateContent xmlns:mc="http://schemas.openxmlformats.org/markup-compatibility/2006">
          <mc:Choice Requires="x14">
            <control shapeId="13366" name="Spinner 54" r:id="rId26">
              <controlPr defaultSize="0">
                <anchor moveWithCells="1" sizeWithCells="1">
                  <from>
                    <xdr:col>10</xdr:col>
                    <xdr:colOff>812800</xdr:colOff>
                    <xdr:row>63</xdr:row>
                    <xdr:rowOff>0</xdr:rowOff>
                  </from>
                  <to>
                    <xdr:col>10</xdr:col>
                    <xdr:colOff>946150</xdr:colOff>
                    <xdr:row>63</xdr:row>
                    <xdr:rowOff>190500</xdr:rowOff>
                  </to>
                </anchor>
              </controlPr>
            </control>
          </mc:Choice>
        </mc:AlternateContent>
        <mc:AlternateContent xmlns:mc="http://schemas.openxmlformats.org/markup-compatibility/2006">
          <mc:Choice Requires="x14">
            <control shapeId="13367" name="Spinner 55" r:id="rId27">
              <controlPr defaultSize="0">
                <anchor moveWithCells="1" sizeWithCells="1">
                  <from>
                    <xdr:col>11</xdr:col>
                    <xdr:colOff>965200</xdr:colOff>
                    <xdr:row>62</xdr:row>
                    <xdr:rowOff>190500</xdr:rowOff>
                  </from>
                  <to>
                    <xdr:col>11</xdr:col>
                    <xdr:colOff>1092200</xdr:colOff>
                    <xdr:row>63</xdr:row>
                    <xdr:rowOff>184150</xdr:rowOff>
                  </to>
                </anchor>
              </controlPr>
            </control>
          </mc:Choice>
        </mc:AlternateContent>
        <mc:AlternateContent xmlns:mc="http://schemas.openxmlformats.org/markup-compatibility/2006">
          <mc:Choice Requires="x14">
            <control shapeId="13368" name="Spinner 56" r:id="rId28">
              <controlPr defaultSize="0">
                <anchor moveWithCells="1" sizeWithCells="1">
                  <from>
                    <xdr:col>8</xdr:col>
                    <xdr:colOff>825500</xdr:colOff>
                    <xdr:row>64</xdr:row>
                    <xdr:rowOff>0</xdr:rowOff>
                  </from>
                  <to>
                    <xdr:col>8</xdr:col>
                    <xdr:colOff>946150</xdr:colOff>
                    <xdr:row>64</xdr:row>
                    <xdr:rowOff>190500</xdr:rowOff>
                  </to>
                </anchor>
              </controlPr>
            </control>
          </mc:Choice>
        </mc:AlternateContent>
        <mc:AlternateContent xmlns:mc="http://schemas.openxmlformats.org/markup-compatibility/2006">
          <mc:Choice Requires="x14">
            <control shapeId="13369" name="Spinner 57" r:id="rId29">
              <controlPr defaultSize="0">
                <anchor moveWithCells="1" sizeWithCells="1">
                  <from>
                    <xdr:col>9</xdr:col>
                    <xdr:colOff>812800</xdr:colOff>
                    <xdr:row>64</xdr:row>
                    <xdr:rowOff>0</xdr:rowOff>
                  </from>
                  <to>
                    <xdr:col>9</xdr:col>
                    <xdr:colOff>927100</xdr:colOff>
                    <xdr:row>64</xdr:row>
                    <xdr:rowOff>190500</xdr:rowOff>
                  </to>
                </anchor>
              </controlPr>
            </control>
          </mc:Choice>
        </mc:AlternateContent>
        <mc:AlternateContent xmlns:mc="http://schemas.openxmlformats.org/markup-compatibility/2006">
          <mc:Choice Requires="x14">
            <control shapeId="13370" name="Spinner 58" r:id="rId30">
              <controlPr defaultSize="0">
                <anchor moveWithCells="1" sizeWithCells="1">
                  <from>
                    <xdr:col>10</xdr:col>
                    <xdr:colOff>812800</xdr:colOff>
                    <xdr:row>64</xdr:row>
                    <xdr:rowOff>0</xdr:rowOff>
                  </from>
                  <to>
                    <xdr:col>10</xdr:col>
                    <xdr:colOff>946150</xdr:colOff>
                    <xdr:row>64</xdr:row>
                    <xdr:rowOff>190500</xdr:rowOff>
                  </to>
                </anchor>
              </controlPr>
            </control>
          </mc:Choice>
        </mc:AlternateContent>
        <mc:AlternateContent xmlns:mc="http://schemas.openxmlformats.org/markup-compatibility/2006">
          <mc:Choice Requires="x14">
            <control shapeId="13371" name="Spinner 59" r:id="rId31">
              <controlPr defaultSize="0">
                <anchor moveWithCells="1" sizeWithCells="1">
                  <from>
                    <xdr:col>11</xdr:col>
                    <xdr:colOff>965200</xdr:colOff>
                    <xdr:row>63</xdr:row>
                    <xdr:rowOff>190500</xdr:rowOff>
                  </from>
                  <to>
                    <xdr:col>11</xdr:col>
                    <xdr:colOff>1092200</xdr:colOff>
                    <xdr:row>64</xdr:row>
                    <xdr:rowOff>184150</xdr:rowOff>
                  </to>
                </anchor>
              </controlPr>
            </control>
          </mc:Choice>
        </mc:AlternateContent>
        <mc:AlternateContent xmlns:mc="http://schemas.openxmlformats.org/markup-compatibility/2006">
          <mc:Choice Requires="x14">
            <control shapeId="13372" name="Spinner 60" r:id="rId32">
              <controlPr defaultSize="0">
                <anchor moveWithCells="1" sizeWithCells="1">
                  <from>
                    <xdr:col>8</xdr:col>
                    <xdr:colOff>825500</xdr:colOff>
                    <xdr:row>65</xdr:row>
                    <xdr:rowOff>0</xdr:rowOff>
                  </from>
                  <to>
                    <xdr:col>8</xdr:col>
                    <xdr:colOff>946150</xdr:colOff>
                    <xdr:row>65</xdr:row>
                    <xdr:rowOff>190500</xdr:rowOff>
                  </to>
                </anchor>
              </controlPr>
            </control>
          </mc:Choice>
        </mc:AlternateContent>
        <mc:AlternateContent xmlns:mc="http://schemas.openxmlformats.org/markup-compatibility/2006">
          <mc:Choice Requires="x14">
            <control shapeId="13373" name="Spinner 61" r:id="rId33">
              <controlPr defaultSize="0">
                <anchor moveWithCells="1" sizeWithCells="1">
                  <from>
                    <xdr:col>9</xdr:col>
                    <xdr:colOff>812800</xdr:colOff>
                    <xdr:row>65</xdr:row>
                    <xdr:rowOff>0</xdr:rowOff>
                  </from>
                  <to>
                    <xdr:col>9</xdr:col>
                    <xdr:colOff>927100</xdr:colOff>
                    <xdr:row>65</xdr:row>
                    <xdr:rowOff>190500</xdr:rowOff>
                  </to>
                </anchor>
              </controlPr>
            </control>
          </mc:Choice>
        </mc:AlternateContent>
        <mc:AlternateContent xmlns:mc="http://schemas.openxmlformats.org/markup-compatibility/2006">
          <mc:Choice Requires="x14">
            <control shapeId="13374" name="Spinner 62" r:id="rId34">
              <controlPr defaultSize="0">
                <anchor moveWithCells="1" sizeWithCells="1">
                  <from>
                    <xdr:col>10</xdr:col>
                    <xdr:colOff>812800</xdr:colOff>
                    <xdr:row>65</xdr:row>
                    <xdr:rowOff>0</xdr:rowOff>
                  </from>
                  <to>
                    <xdr:col>10</xdr:col>
                    <xdr:colOff>946150</xdr:colOff>
                    <xdr:row>65</xdr:row>
                    <xdr:rowOff>190500</xdr:rowOff>
                  </to>
                </anchor>
              </controlPr>
            </control>
          </mc:Choice>
        </mc:AlternateContent>
        <mc:AlternateContent xmlns:mc="http://schemas.openxmlformats.org/markup-compatibility/2006">
          <mc:Choice Requires="x14">
            <control shapeId="13375" name="Spinner 63" r:id="rId35">
              <controlPr defaultSize="0">
                <anchor moveWithCells="1" sizeWithCells="1">
                  <from>
                    <xdr:col>11</xdr:col>
                    <xdr:colOff>965200</xdr:colOff>
                    <xdr:row>64</xdr:row>
                    <xdr:rowOff>190500</xdr:rowOff>
                  </from>
                  <to>
                    <xdr:col>11</xdr:col>
                    <xdr:colOff>1092200</xdr:colOff>
                    <xdr:row>65</xdr:row>
                    <xdr:rowOff>184150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1"/>
  <dimension ref="A1:DQ259"/>
  <sheetViews>
    <sheetView showGridLines="0" tabSelected="1" zoomScale="70" zoomScaleNormal="70" topLeftCell="F1" workbookViewId="0">
      <selection activeCell="U28" sqref="U28"/>
    </sheetView>
  </sheetViews>
  <sheetFormatPr defaultColWidth="9" defaultRowHeight="35.25"/>
  <cols>
    <col min="1" max="1" width="16.3628318584071" style="62" customWidth="1"/>
    <col min="2" max="2" width="10.6371681415929" style="62" customWidth="1"/>
    <col min="3" max="3" width="11.9026548672566" style="62" customWidth="1"/>
    <col min="4" max="4" width="12.9026548672566" style="62" customWidth="1"/>
    <col min="5" max="5" width="13.9026548672566" style="62" customWidth="1"/>
    <col min="6" max="6" width="14.6371681415929" style="62" customWidth="1"/>
    <col min="7" max="7" width="10.9026548672566" style="63" customWidth="1"/>
    <col min="8" max="8" width="11.9026548672566" style="62" customWidth="1"/>
    <col min="9" max="9" width="13.4513274336283" style="62" customWidth="1"/>
    <col min="10" max="10" width="13" style="62" customWidth="1"/>
    <col min="11" max="11" width="12.9026548672566" style="62" customWidth="1"/>
    <col min="12" max="12" width="10" style="62" customWidth="1"/>
    <col min="13" max="13" width="10.9026548672566" style="62" customWidth="1"/>
    <col min="14" max="16" width="13.9026548672566" style="62" customWidth="1"/>
    <col min="17" max="17" width="14" style="62" customWidth="1"/>
    <col min="18" max="19" width="13.9026548672566" style="62" customWidth="1"/>
    <col min="20" max="20" width="14.6371681415929" style="64" customWidth="1"/>
    <col min="21" max="21" width="13.9026548672566" style="62" customWidth="1"/>
    <col min="22" max="26" width="9.63716814159292" style="62" customWidth="1"/>
    <col min="27" max="27" width="18.9026548672566" style="63" customWidth="1"/>
    <col min="28" max="28" width="13.9026548672566" style="62" customWidth="1"/>
    <col min="29" max="29" width="10" style="62" customWidth="1"/>
    <col min="30" max="33" width="9.63716814159292" style="62" customWidth="1"/>
    <col min="34" max="34" width="9" style="63"/>
    <col min="35" max="35" width="8.90265486725664" style="62" customWidth="1"/>
    <col min="36" max="51" width="10.6371681415929" style="62" customWidth="1"/>
    <col min="52" max="52" width="9" style="63"/>
    <col min="53" max="53" width="11.9026548672566" style="62" customWidth="1"/>
    <col min="54" max="57" width="11" style="62" customWidth="1"/>
    <col min="58" max="58" width="11.9026548672566" style="62" customWidth="1"/>
    <col min="59" max="59" width="10" style="62" customWidth="1"/>
    <col min="60" max="69" width="9.63716814159292" style="62" customWidth="1"/>
    <col min="70" max="71" width="9" style="62"/>
    <col min="72" max="74" width="9.63716814159292" style="62" customWidth="1"/>
    <col min="75" max="75" width="10" style="62" customWidth="1"/>
    <col min="76" max="76" width="9.63716814159292" style="62" customWidth="1"/>
    <col min="77" max="77" width="10" style="62" customWidth="1"/>
    <col min="78" max="78" width="9" style="62"/>
    <col min="79" max="87" width="9.63716814159292" style="62" customWidth="1"/>
    <col min="88" max="16384" width="9" style="62"/>
  </cols>
  <sheetData>
    <row r="1" s="59" customFormat="1" ht="16" customHeight="1" spans="1:121">
      <c r="A1" s="65" t="s">
        <v>489</v>
      </c>
      <c r="B1" s="65"/>
      <c r="C1" s="65"/>
      <c r="D1" s="65"/>
      <c r="E1" s="65"/>
      <c r="F1" s="65"/>
      <c r="G1" s="65"/>
      <c r="H1" s="65" t="s">
        <v>490</v>
      </c>
      <c r="I1" s="65"/>
      <c r="J1" s="65"/>
      <c r="K1" s="65"/>
      <c r="L1" s="65"/>
      <c r="M1" s="65"/>
      <c r="N1" s="65"/>
      <c r="O1" s="65"/>
      <c r="P1" s="65"/>
      <c r="Q1" s="65"/>
      <c r="R1" s="65"/>
      <c r="S1" s="65"/>
      <c r="T1" s="119"/>
      <c r="U1" s="65" t="s">
        <v>491</v>
      </c>
      <c r="V1" s="65"/>
      <c r="W1" s="65"/>
      <c r="X1" s="65"/>
      <c r="Y1" s="65"/>
      <c r="Z1" s="65"/>
      <c r="AA1" s="65"/>
      <c r="AB1" s="65" t="s">
        <v>492</v>
      </c>
      <c r="AC1" s="65"/>
      <c r="AD1" s="65"/>
      <c r="AE1" s="65"/>
      <c r="AF1" s="65"/>
      <c r="AG1" s="65"/>
      <c r="AH1" s="65"/>
      <c r="AI1" s="65" t="s">
        <v>493</v>
      </c>
      <c r="AJ1" s="65"/>
      <c r="AK1" s="65"/>
      <c r="AL1" s="65"/>
      <c r="AM1" s="65"/>
      <c r="AN1" s="65"/>
      <c r="AO1" s="65"/>
      <c r="AP1" s="65"/>
      <c r="AQ1" s="65"/>
      <c r="AR1" s="65"/>
      <c r="AS1" s="65"/>
      <c r="AT1" s="65"/>
      <c r="AU1" s="65"/>
      <c r="AV1" s="65"/>
      <c r="AW1" s="65"/>
      <c r="AX1" s="65"/>
      <c r="AY1" s="65"/>
      <c r="AZ1" s="191"/>
      <c r="BA1" s="191" t="s">
        <v>494</v>
      </c>
      <c r="BB1" s="191"/>
      <c r="BC1" s="191"/>
      <c r="BD1" s="191"/>
      <c r="BE1" s="191"/>
      <c r="BF1" s="191"/>
      <c r="BG1" s="191"/>
      <c r="BH1" s="191"/>
      <c r="BI1" s="191"/>
      <c r="BJ1" s="191"/>
      <c r="BK1" s="191"/>
      <c r="BL1" s="191"/>
      <c r="BM1" s="191"/>
      <c r="BN1" s="191"/>
      <c r="BO1" s="191"/>
      <c r="BP1" s="191"/>
      <c r="BQ1" s="191"/>
      <c r="BR1" s="210"/>
      <c r="BS1" s="191" t="s">
        <v>495</v>
      </c>
      <c r="BT1" s="191"/>
      <c r="BU1" s="191"/>
      <c r="BV1" s="191"/>
      <c r="BW1" s="191"/>
      <c r="BX1" s="191"/>
      <c r="BY1" s="191"/>
      <c r="BZ1" s="191"/>
      <c r="CA1" s="191"/>
      <c r="CB1" s="191"/>
      <c r="CC1" s="191"/>
      <c r="CD1" s="191"/>
      <c r="CE1" s="191"/>
      <c r="CF1" s="191"/>
      <c r="CG1" s="191"/>
      <c r="CH1" s="191"/>
      <c r="CI1" s="191"/>
      <c r="CJ1" s="224"/>
      <c r="CK1" s="232"/>
      <c r="CL1" s="232"/>
      <c r="CM1" s="232"/>
      <c r="CN1" s="232"/>
      <c r="CO1" s="232"/>
      <c r="CP1" s="232"/>
      <c r="CQ1" s="232"/>
      <c r="CR1" s="232"/>
      <c r="CS1" s="232"/>
      <c r="CT1" s="232"/>
      <c r="CU1" s="232"/>
      <c r="CV1" s="232"/>
      <c r="CW1" s="232"/>
      <c r="CX1" s="232"/>
      <c r="CY1" s="232"/>
      <c r="CZ1" s="232"/>
      <c r="DA1" s="232"/>
      <c r="DB1" s="232"/>
      <c r="DC1" s="232"/>
      <c r="DD1" s="232"/>
      <c r="DE1" s="232"/>
      <c r="DF1" s="232"/>
      <c r="DG1" s="232"/>
      <c r="DH1" s="232"/>
      <c r="DI1" s="232"/>
      <c r="DJ1" s="232"/>
      <c r="DK1" s="232"/>
      <c r="DL1" s="232"/>
      <c r="DM1" s="232"/>
      <c r="DN1" s="232"/>
      <c r="DO1" s="232"/>
      <c r="DP1" s="232"/>
      <c r="DQ1" s="232"/>
    </row>
    <row r="2" s="59" customFormat="1" ht="16" customHeight="1" spans="1:121">
      <c r="A2" s="65"/>
      <c r="B2" s="65"/>
      <c r="C2" s="65"/>
      <c r="D2" s="65"/>
      <c r="E2" s="65"/>
      <c r="F2" s="65"/>
      <c r="G2" s="65"/>
      <c r="H2" s="65"/>
      <c r="I2" s="65"/>
      <c r="J2" s="65"/>
      <c r="K2" s="65"/>
      <c r="L2" s="65"/>
      <c r="M2" s="65"/>
      <c r="N2" s="65"/>
      <c r="O2" s="65"/>
      <c r="P2" s="65"/>
      <c r="Q2" s="65"/>
      <c r="R2" s="65"/>
      <c r="S2" s="65"/>
      <c r="T2" s="119"/>
      <c r="U2" s="65"/>
      <c r="V2" s="65"/>
      <c r="W2" s="65"/>
      <c r="X2" s="65"/>
      <c r="Y2" s="65"/>
      <c r="Z2" s="65"/>
      <c r="AA2" s="65"/>
      <c r="AB2" s="65"/>
      <c r="AC2" s="65"/>
      <c r="AD2" s="65"/>
      <c r="AE2" s="65"/>
      <c r="AF2" s="65"/>
      <c r="AG2" s="65"/>
      <c r="AH2" s="65"/>
      <c r="AI2" s="65"/>
      <c r="AJ2" s="65"/>
      <c r="AK2" s="65"/>
      <c r="AL2" s="65"/>
      <c r="AM2" s="65"/>
      <c r="AN2" s="65"/>
      <c r="AO2" s="65"/>
      <c r="AP2" s="65"/>
      <c r="AQ2" s="65"/>
      <c r="AR2" s="65"/>
      <c r="AS2" s="65"/>
      <c r="AT2" s="65"/>
      <c r="AU2" s="65"/>
      <c r="AV2" s="65"/>
      <c r="AW2" s="65"/>
      <c r="AX2" s="65"/>
      <c r="AY2" s="65"/>
      <c r="AZ2" s="191"/>
      <c r="BA2" s="191"/>
      <c r="BB2" s="191"/>
      <c r="BC2" s="191"/>
      <c r="BD2" s="191"/>
      <c r="BE2" s="191"/>
      <c r="BF2" s="191"/>
      <c r="BG2" s="191"/>
      <c r="BH2" s="191"/>
      <c r="BI2" s="191"/>
      <c r="BJ2" s="191"/>
      <c r="BK2" s="191"/>
      <c r="BL2" s="191"/>
      <c r="BM2" s="191"/>
      <c r="BN2" s="191"/>
      <c r="BO2" s="191"/>
      <c r="BP2" s="191"/>
      <c r="BQ2" s="191"/>
      <c r="BR2" s="210"/>
      <c r="BS2" s="191"/>
      <c r="BT2" s="191"/>
      <c r="BU2" s="191"/>
      <c r="BV2" s="191"/>
      <c r="BW2" s="191"/>
      <c r="BX2" s="191"/>
      <c r="BY2" s="191"/>
      <c r="BZ2" s="191"/>
      <c r="CA2" s="191"/>
      <c r="CB2" s="191"/>
      <c r="CC2" s="191"/>
      <c r="CD2" s="191"/>
      <c r="CE2" s="191"/>
      <c r="CF2" s="191"/>
      <c r="CG2" s="191"/>
      <c r="CH2" s="191"/>
      <c r="CI2" s="191"/>
      <c r="CJ2" s="224"/>
      <c r="CK2" s="232"/>
      <c r="CL2" s="232"/>
      <c r="CM2" s="232"/>
      <c r="CN2" s="232"/>
      <c r="CO2" s="232"/>
      <c r="CP2" s="232"/>
      <c r="CQ2" s="232"/>
      <c r="CR2" s="232"/>
      <c r="CS2" s="232"/>
      <c r="CT2" s="232"/>
      <c r="CU2" s="232"/>
      <c r="CV2" s="232"/>
      <c r="CW2" s="232"/>
      <c r="CX2" s="232"/>
      <c r="CY2" s="232"/>
      <c r="CZ2" s="232"/>
      <c r="DA2" s="232"/>
      <c r="DB2" s="232"/>
      <c r="DC2" s="232"/>
      <c r="DD2" s="232"/>
      <c r="DE2" s="232"/>
      <c r="DF2" s="232"/>
      <c r="DG2" s="232"/>
      <c r="DH2" s="232"/>
      <c r="DI2" s="232"/>
      <c r="DJ2" s="232"/>
      <c r="DK2" s="232"/>
      <c r="DL2" s="232"/>
      <c r="DM2" s="232"/>
      <c r="DN2" s="232"/>
      <c r="DO2" s="232"/>
      <c r="DP2" s="232"/>
      <c r="DQ2" s="232"/>
    </row>
    <row r="3" s="60" customFormat="1" ht="16" customHeight="1" spans="1:121">
      <c r="A3" s="66"/>
      <c r="B3" s="66"/>
      <c r="C3" s="66"/>
      <c r="D3" s="66"/>
      <c r="E3" s="66"/>
      <c r="F3" s="66"/>
      <c r="G3" s="65"/>
      <c r="H3" s="67"/>
      <c r="I3" s="67"/>
      <c r="J3" s="67"/>
      <c r="K3" s="67"/>
      <c r="L3" s="67"/>
      <c r="M3" s="84"/>
      <c r="N3" s="67"/>
      <c r="O3" s="67"/>
      <c r="P3" s="67"/>
      <c r="Q3" s="67"/>
      <c r="R3" s="67"/>
      <c r="S3" s="67"/>
      <c r="T3" s="119"/>
      <c r="U3" s="67"/>
      <c r="V3" s="67"/>
      <c r="W3" s="67"/>
      <c r="X3" s="67"/>
      <c r="Y3" s="67"/>
      <c r="Z3" s="67"/>
      <c r="AA3" s="65"/>
      <c r="AB3" s="67"/>
      <c r="AC3" s="67"/>
      <c r="AD3" s="67"/>
      <c r="AE3" s="67"/>
      <c r="AF3" s="67"/>
      <c r="AG3" s="67"/>
      <c r="AH3" s="65"/>
      <c r="AI3" s="67"/>
      <c r="AJ3" s="67"/>
      <c r="AK3" s="67"/>
      <c r="AL3" s="67"/>
      <c r="AM3" s="67"/>
      <c r="AN3" s="67"/>
      <c r="AO3" s="67"/>
      <c r="AP3" s="67"/>
      <c r="AQ3" s="67"/>
      <c r="AR3" s="67"/>
      <c r="AS3" s="67"/>
      <c r="AT3" s="67"/>
      <c r="AU3" s="67"/>
      <c r="AV3" s="67"/>
      <c r="AW3" s="67"/>
      <c r="AX3" s="67"/>
      <c r="AY3" s="67"/>
      <c r="AZ3" s="191"/>
      <c r="BA3" s="192"/>
      <c r="BB3" s="192"/>
      <c r="BC3" s="192"/>
      <c r="BD3" s="192"/>
      <c r="BE3" s="192"/>
      <c r="BF3" s="192"/>
      <c r="BG3" s="192"/>
      <c r="BH3" s="192"/>
      <c r="BI3" s="192"/>
      <c r="BJ3" s="192"/>
      <c r="BK3" s="192"/>
      <c r="BL3" s="192"/>
      <c r="BM3" s="192"/>
      <c r="BN3" s="192"/>
      <c r="BO3" s="192"/>
      <c r="BP3" s="192"/>
      <c r="BQ3" s="192"/>
      <c r="BR3" s="210"/>
      <c r="BS3" s="192"/>
      <c r="BT3" s="192"/>
      <c r="BU3" s="192"/>
      <c r="BV3" s="192"/>
      <c r="BW3" s="192"/>
      <c r="BX3" s="192"/>
      <c r="BY3" s="192"/>
      <c r="BZ3" s="192"/>
      <c r="CA3" s="192"/>
      <c r="CB3" s="192"/>
      <c r="CC3" s="192"/>
      <c r="CD3" s="192"/>
      <c r="CE3" s="225" t="s">
        <v>738</v>
      </c>
      <c r="CF3" s="192"/>
      <c r="CG3" s="192"/>
      <c r="CH3" s="192"/>
      <c r="CI3" s="192"/>
      <c r="CJ3" s="224"/>
      <c r="CK3" s="233"/>
      <c r="CL3" s="233"/>
      <c r="CM3" s="233"/>
      <c r="CN3" s="233"/>
      <c r="CO3" s="233"/>
      <c r="CP3" s="233"/>
      <c r="CQ3" s="233"/>
      <c r="CR3" s="233"/>
      <c r="CS3" s="233"/>
      <c r="CT3" s="234"/>
      <c r="CU3" s="234"/>
      <c r="CV3" s="234"/>
      <c r="CW3" s="234"/>
      <c r="CX3" s="234"/>
      <c r="CY3" s="234"/>
      <c r="CZ3" s="234"/>
      <c r="DA3" s="234"/>
      <c r="DB3" s="234"/>
      <c r="DC3" s="234"/>
      <c r="DD3" s="234"/>
      <c r="DE3" s="234"/>
      <c r="DF3" s="234"/>
      <c r="DG3" s="234"/>
      <c r="DH3" s="234"/>
      <c r="DI3" s="234"/>
      <c r="DJ3" s="234"/>
      <c r="DK3" s="234"/>
      <c r="DL3" s="234"/>
      <c r="DM3" s="234"/>
      <c r="DN3" s="234"/>
      <c r="DO3" s="234"/>
      <c r="DP3" s="234"/>
      <c r="DQ3" s="234"/>
    </row>
    <row r="4" s="61" customFormat="1" ht="16" customHeight="1" spans="1:119">
      <c r="A4" s="68" t="s">
        <v>274</v>
      </c>
      <c r="B4" s="69"/>
      <c r="C4" s="69"/>
      <c r="D4" s="69"/>
      <c r="E4" s="69"/>
      <c r="F4" s="69"/>
      <c r="G4" s="70" t="e">
        <f>IF(O20=0,"未做决策",IF(MAX(T20:T23)&gt;=6,"价格打错","决策无误"))</f>
        <v>#DIV/0!</v>
      </c>
      <c r="H4" s="68" t="s">
        <v>497</v>
      </c>
      <c r="I4" s="69"/>
      <c r="J4" s="69"/>
      <c r="K4" s="69"/>
      <c r="L4" s="69"/>
      <c r="M4" s="85"/>
      <c r="N4" s="68" t="s">
        <v>475</v>
      </c>
      <c r="O4" s="69"/>
      <c r="P4" s="69"/>
      <c r="Q4" s="69"/>
      <c r="R4" s="69"/>
      <c r="S4" s="74"/>
      <c r="T4" s="120"/>
      <c r="U4" s="68" t="s">
        <v>498</v>
      </c>
      <c r="V4" s="68" t="s">
        <v>459</v>
      </c>
      <c r="W4" s="68" t="s">
        <v>460</v>
      </c>
      <c r="X4" s="68" t="s">
        <v>461</v>
      </c>
      <c r="Y4" s="68" t="s">
        <v>462</v>
      </c>
      <c r="Z4" s="68" t="s">
        <v>499</v>
      </c>
      <c r="AA4" s="68" t="s">
        <v>500</v>
      </c>
      <c r="AB4" s="151" t="s">
        <v>501</v>
      </c>
      <c r="AC4" s="151" t="s">
        <v>241</v>
      </c>
      <c r="AD4" s="151" t="s">
        <v>38</v>
      </c>
      <c r="AE4" s="151" t="s">
        <v>39</v>
      </c>
      <c r="AF4" s="151" t="s">
        <v>40</v>
      </c>
      <c r="AG4" s="151" t="s">
        <v>41</v>
      </c>
      <c r="AH4" s="73"/>
      <c r="AI4" s="68" t="s">
        <v>502</v>
      </c>
      <c r="AJ4" s="69"/>
      <c r="AK4" s="69"/>
      <c r="AL4" s="69"/>
      <c r="AM4" s="69"/>
      <c r="AN4" s="69"/>
      <c r="AO4" s="69"/>
      <c r="AP4" s="69"/>
      <c r="AQ4" s="69"/>
      <c r="AR4" s="69"/>
      <c r="AS4" s="69"/>
      <c r="AT4" s="69"/>
      <c r="AU4" s="69"/>
      <c r="AV4" s="69"/>
      <c r="AW4" s="69"/>
      <c r="AX4" s="69"/>
      <c r="AY4" s="69"/>
      <c r="AZ4" s="193"/>
      <c r="BA4" s="194" t="s">
        <v>503</v>
      </c>
      <c r="BB4" s="195"/>
      <c r="BC4" s="195"/>
      <c r="BD4" s="195"/>
      <c r="BE4" s="195"/>
      <c r="BF4" s="195"/>
      <c r="BG4" s="195"/>
      <c r="BH4" s="195"/>
      <c r="BI4" s="195"/>
      <c r="BJ4" s="195"/>
      <c r="BK4" s="195"/>
      <c r="BL4" s="195"/>
      <c r="BM4" s="195"/>
      <c r="BN4" s="195"/>
      <c r="BO4" s="195"/>
      <c r="BP4" s="195"/>
      <c r="BQ4" s="195"/>
      <c r="BR4" s="211"/>
      <c r="BS4" s="194" t="s">
        <v>504</v>
      </c>
      <c r="BT4" s="194" t="s">
        <v>505</v>
      </c>
      <c r="BU4" s="194" t="s">
        <v>506</v>
      </c>
      <c r="BV4" s="194" t="s">
        <v>262</v>
      </c>
      <c r="BW4" s="194" t="s">
        <v>507</v>
      </c>
      <c r="BX4" s="194" t="s">
        <v>508</v>
      </c>
      <c r="BY4" s="194" t="s">
        <v>264</v>
      </c>
      <c r="BZ4" s="194" t="s">
        <v>268</v>
      </c>
      <c r="CA4" s="194" t="s">
        <v>272</v>
      </c>
      <c r="CB4" s="194" t="s">
        <v>270</v>
      </c>
      <c r="CC4" s="194" t="s">
        <v>509</v>
      </c>
      <c r="CD4" s="194" t="s">
        <v>510</v>
      </c>
      <c r="CE4" s="194" t="s">
        <v>511</v>
      </c>
      <c r="CF4" s="194" t="s">
        <v>512</v>
      </c>
      <c r="CG4" s="226"/>
      <c r="CH4" s="226"/>
      <c r="CI4" s="227"/>
      <c r="CJ4" s="228"/>
      <c r="CK4" s="228"/>
      <c r="CL4" s="228"/>
      <c r="CM4" s="228"/>
      <c r="CN4" s="228"/>
      <c r="CO4" s="228"/>
      <c r="CP4" s="228"/>
      <c r="CQ4" s="228"/>
      <c r="CR4" s="227"/>
      <c r="CS4" s="227"/>
      <c r="CT4" s="227"/>
      <c r="CU4" s="227"/>
      <c r="CV4" s="227"/>
      <c r="CW4" s="227"/>
      <c r="CX4" s="227"/>
      <c r="CY4" s="227"/>
      <c r="CZ4" s="228"/>
      <c r="DA4" s="228"/>
      <c r="DB4" s="228"/>
      <c r="DC4" s="228"/>
      <c r="DD4" s="228"/>
      <c r="DE4" s="228"/>
      <c r="DF4" s="228"/>
      <c r="DG4" s="228"/>
      <c r="DH4" s="228"/>
      <c r="DI4" s="228"/>
      <c r="DJ4" s="228"/>
      <c r="DK4" s="228"/>
      <c r="DL4" s="228"/>
      <c r="DM4" s="228"/>
      <c r="DN4" s="228"/>
      <c r="DO4" s="228"/>
    </row>
    <row r="5" s="61" customFormat="1" ht="16" customHeight="1" spans="1:119">
      <c r="A5" s="68" t="s">
        <v>475</v>
      </c>
      <c r="B5" s="68" t="s">
        <v>459</v>
      </c>
      <c r="C5" s="68" t="s">
        <v>460</v>
      </c>
      <c r="D5" s="68" t="s">
        <v>461</v>
      </c>
      <c r="E5" s="68" t="s">
        <v>462</v>
      </c>
      <c r="F5" s="68" t="s">
        <v>276</v>
      </c>
      <c r="G5" s="70" t="str">
        <f>IF(AI24="","未粘报表","已粘报表")</f>
        <v>未粘报表</v>
      </c>
      <c r="H5" s="68" t="s">
        <v>283</v>
      </c>
      <c r="I5" s="68" t="s">
        <v>347</v>
      </c>
      <c r="J5" s="68" t="s">
        <v>517</v>
      </c>
      <c r="K5" s="68" t="s">
        <v>518</v>
      </c>
      <c r="L5" s="68" t="s">
        <v>519</v>
      </c>
      <c r="M5" s="85"/>
      <c r="N5" s="68" t="s">
        <v>520</v>
      </c>
      <c r="O5" s="68" t="s">
        <v>464</v>
      </c>
      <c r="P5" s="68" t="s">
        <v>465</v>
      </c>
      <c r="Q5" s="68" t="s">
        <v>466</v>
      </c>
      <c r="R5" s="68" t="s">
        <v>468</v>
      </c>
      <c r="S5" s="121"/>
      <c r="T5" s="120"/>
      <c r="U5" s="68" t="s">
        <v>464</v>
      </c>
      <c r="V5" s="77">
        <f>第7期!AP9</f>
        <v>0</v>
      </c>
      <c r="W5" s="77">
        <f>第7期!AP10</f>
        <v>0</v>
      </c>
      <c r="X5" s="77">
        <f>第7期!AP11</f>
        <v>0</v>
      </c>
      <c r="Y5" s="77">
        <f>第7期!AP12</f>
        <v>0</v>
      </c>
      <c r="Z5" s="77">
        <f>第7期!AJ26</f>
        <v>0</v>
      </c>
      <c r="AA5" s="77" t="e">
        <f>(V5+W5+X5+Y5)*AC11</f>
        <v>#DIV/0!</v>
      </c>
      <c r="AB5" s="151" t="s">
        <v>464</v>
      </c>
      <c r="AC5" s="152" t="e">
        <f>初始化表!$B$8*初始化表!E17*初始化表!$H$5/1300+初始化表!$B$12*初始化表!E17/1300+初始化表!E19+初始化表!E18*(-C35-C44)/(SUM(B17:E17)*初始化表!E18+SUM(B18:E18)*初始化表!F18+SUM(B19:E19)*初始化表!G18+SUM(B20:E20)*初始化表!H18)</f>
        <v>#DIV/0!</v>
      </c>
      <c r="AD5" s="153" t="e">
        <f>$AC5+初始化表!L19+$F6*B6/SUMPRODUCT($B6:$E6,$V42:$Y42)+B$10*B6/SUMPRODUCT(B$6:B$9,V$42:V$45)+初始化表!L13/I63+(IF(I25+J25=0,0,1)*初始化表!H25+IF(K25+L25=0,0,1)*初始化表!I25)/(I63+J63+K63+L63)</f>
        <v>#DIV/0!</v>
      </c>
      <c r="AE5" s="153" t="e">
        <f>$AC5+初始化表!M19+$F6*C6/SUMPRODUCT($B6:$E6,$V42:$Y42)+C$10*C6/SUMPRODUCT(C$6:C$9,W$42:W$45)+初始化表!M13/J63+(IF(I25+J25=0,0,1)*初始化表!H25+IF(K25+L25=0,0,1)*初始化表!I25)/(I63+J63+K63+L63)</f>
        <v>#DIV/0!</v>
      </c>
      <c r="AF5" s="153" t="e">
        <f>$AC5+初始化表!N19+$F6*D6/SUMPRODUCT($B6:$E6,$V42:$Y42)+D$10*D6/SUMPRODUCT(D$6:D$9,X$42:X$45)+初始化表!N13/K63+(IF(I25+J25=0,0,1)*初始化表!H25+IF(K25+L25=0,0,1)*初始化表!I25)/(I63+J63+K63+L63)</f>
        <v>#DIV/0!</v>
      </c>
      <c r="AG5" s="153" t="e">
        <f>$AC5+初始化表!O19+$F6*E6/SUMPRODUCT($B6:$E6,$V42:$Y42)+E$10*E6/SUMPRODUCT(E$6:E$9,Y$42:Y$45)+初始化表!O13/L63+(IF(I25+J25=0,0,1)*初始化表!H25+IF(K25+L25=0,0,1)*初始化表!I25)/(I63+J63+K63+L63)</f>
        <v>#DIV/0!</v>
      </c>
      <c r="AH5" s="73"/>
      <c r="AI5" s="69"/>
      <c r="AJ5" s="69"/>
      <c r="AK5" s="69"/>
      <c r="AL5" s="69"/>
      <c r="AM5" s="69"/>
      <c r="AN5" s="69"/>
      <c r="AO5" s="69"/>
      <c r="AP5" s="69"/>
      <c r="AQ5" s="69"/>
      <c r="AR5" s="69"/>
      <c r="AS5" s="69"/>
      <c r="AT5" s="69"/>
      <c r="AU5" s="69"/>
      <c r="AV5" s="69"/>
      <c r="AW5" s="69"/>
      <c r="AX5" s="69"/>
      <c r="AY5" s="69"/>
      <c r="AZ5" s="193"/>
      <c r="BA5" s="194" t="s">
        <v>37</v>
      </c>
      <c r="BB5" s="194" t="s">
        <v>521</v>
      </c>
      <c r="BC5" s="195"/>
      <c r="BD5" s="195"/>
      <c r="BE5" s="195"/>
      <c r="BF5" s="194" t="s">
        <v>522</v>
      </c>
      <c r="BG5" s="195"/>
      <c r="BH5" s="195"/>
      <c r="BI5" s="195"/>
      <c r="BJ5" s="194" t="s">
        <v>523</v>
      </c>
      <c r="BK5" s="195"/>
      <c r="BL5" s="195"/>
      <c r="BM5" s="195"/>
      <c r="BN5" s="194" t="s">
        <v>524</v>
      </c>
      <c r="BO5" s="195"/>
      <c r="BP5" s="195"/>
      <c r="BQ5" s="195"/>
      <c r="BR5" s="211"/>
      <c r="BS5" s="195">
        <f t="shared" ref="BS5:BS24" si="0">BA7</f>
        <v>0</v>
      </c>
      <c r="BT5" s="201">
        <f t="shared" ref="BT5:BT24" si="1">IF(BS5=0,0,1)</f>
        <v>0</v>
      </c>
      <c r="BU5" s="201">
        <f>第7期!AQ107*0.5</f>
        <v>0</v>
      </c>
      <c r="BV5" s="205" t="e">
        <f>AVERAGE(BT30:CI30)*初始化表!B$31</f>
        <v>#DIV/0!</v>
      </c>
      <c r="BW5" s="205" t="e">
        <f>$BT5*(AL107-BW$25)/BW$26*初始化表!B$30</f>
        <v>#DIV/0!</v>
      </c>
      <c r="BX5" s="205" t="e">
        <f>$BT5*(AM107-BX$25)/BX$26*初始化表!B$33</f>
        <v>#DIV/0!</v>
      </c>
      <c r="BY5" s="205" t="e">
        <f>$BT5*(AN107-BY$25)/BY$26*初始化表!B$32</f>
        <v>#DIV/0!</v>
      </c>
      <c r="BZ5" s="205" t="e">
        <f>$BT5*(AP107-BZ$25)/BZ$26*初始化表!B$34</f>
        <v>#DIV/0!</v>
      </c>
      <c r="CA5" s="205" t="e">
        <f>$BT$5*(AW107-CA$25)/CA$26*初始化表!B$36</f>
        <v>#DIV/0!</v>
      </c>
      <c r="CB5" s="205" t="e">
        <f>CE5-CC5-BU5-SUM(BV5:CA5)/2</f>
        <v>#DIV/0!</v>
      </c>
      <c r="CC5" s="201">
        <f>IF(AO107-AR107&gt;=0,0,-0.1*(1-EXP(2*10^(-6)*(AO107-AR107))))</f>
        <v>0</v>
      </c>
      <c r="CD5" s="229" t="e">
        <f>SUM(BV5:CB5)</f>
        <v>#DIV/0!</v>
      </c>
      <c r="CE5" s="229">
        <f>AQ107</f>
        <v>0</v>
      </c>
      <c r="CF5" s="229">
        <f>BU5*2</f>
        <v>0</v>
      </c>
      <c r="CG5" s="226"/>
      <c r="CH5" s="226"/>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row>
    <row r="6" s="61" customFormat="1" ht="16" customHeight="1" spans="1:119">
      <c r="A6" s="68" t="s">
        <v>464</v>
      </c>
      <c r="B6" s="71" t="e">
        <f>O20</f>
        <v>#DIV/0!</v>
      </c>
      <c r="C6" s="71" t="e">
        <f t="shared" ref="C6:E9" si="2">P20</f>
        <v>#DIV/0!</v>
      </c>
      <c r="D6" s="71" t="e">
        <f t="shared" si="2"/>
        <v>#DIV/0!</v>
      </c>
      <c r="E6" s="71" t="e">
        <f t="shared" si="2"/>
        <v>#DIV/0!</v>
      </c>
      <c r="F6" s="72" t="e">
        <f>O28</f>
        <v>#DIV/0!</v>
      </c>
      <c r="G6" s="73"/>
      <c r="H6" s="68" t="s">
        <v>464</v>
      </c>
      <c r="I6" s="72">
        <f>第7期!I6+第7期!J6</f>
        <v>0</v>
      </c>
      <c r="J6" s="86"/>
      <c r="K6" s="87">
        <f>IF(IF((I6+F17)&gt;=初始化表!I31,5,IF((I6+F17)&gt;=初始化表!H31,4,IF((I6+F17)&gt;=初始化表!G31,3,IF((I6+F17)&gt;=初始化表!F31,2,IF((I6+F17)&gt;=初始化表!E31,1,0)))))+IF(I6+F17&gt;初始化表!E31,O$45)&lt;第7期!K6+1,IF((I6+F17)&gt;=初始化表!I31,5,IF((I6+F17)&gt;=初始化表!H31,4,IF((I6+F17)&gt;=初始化表!G31,3,IF((I6+F17)&gt;=初始化表!F31,2,IF((I6+F17)&gt;=初始化表!E31,1,0)))))+IF(I6+F17&gt;初始化表!E31,O$45),第7期!K6+1)</f>
        <v>5</v>
      </c>
      <c r="L6" s="72">
        <f>IF(I6&lt;初始化表!E31,初始化表!E31-I6,IF(I6&lt;初始化表!F31,初始化表!F31-I6,IF(I6&lt;初始化表!G31,初始化表!G31-I6,IF(I6&lt;初始化表!H31,初始化表!H31-I6,IF(I6&lt;初始化表!I31,初始化表!I31-I6,0)))))</f>
        <v>0</v>
      </c>
      <c r="M6" s="85"/>
      <c r="N6" s="68" t="s">
        <v>525</v>
      </c>
      <c r="O6" s="88">
        <f>第7期!O6+0.001</f>
        <v>0.042</v>
      </c>
      <c r="P6" s="88">
        <f>第7期!P6+0.001</f>
        <v>0.042</v>
      </c>
      <c r="Q6" s="88">
        <f>第7期!Q6+0.001</f>
        <v>0.042</v>
      </c>
      <c r="R6" s="88">
        <f>第7期!R6+0.001</f>
        <v>0.042</v>
      </c>
      <c r="S6" s="122"/>
      <c r="T6" s="120"/>
      <c r="U6" s="68" t="s">
        <v>465</v>
      </c>
      <c r="V6" s="77">
        <f>第7期!AP13</f>
        <v>0</v>
      </c>
      <c r="W6" s="77">
        <f>第7期!AP14</f>
        <v>0</v>
      </c>
      <c r="X6" s="77">
        <f>第7期!AP15</f>
        <v>0</v>
      </c>
      <c r="Y6" s="77">
        <f>第7期!AP16</f>
        <v>0</v>
      </c>
      <c r="Z6" s="77">
        <f>第7期!AJ27</f>
        <v>0</v>
      </c>
      <c r="AA6" s="77" t="e">
        <f t="shared" ref="AA6:AA8" si="3">(V6+W6+X6+Y6)*AC12</f>
        <v>#DIV/0!</v>
      </c>
      <c r="AB6" s="151" t="s">
        <v>465</v>
      </c>
      <c r="AC6" s="152" t="e">
        <f>初始化表!$B$8*初始化表!F17*初始化表!$H$5/1300+初始化表!$B$12*初始化表!F17/1300+初始化表!F19+初始化表!F18*(-C35-C44)/(SUM(B17:E17)*初始化表!E18+SUM(B18:E18)*初始化表!F18+SUM(B19:E19)*初始化表!G18+SUM(B20:E20)*初始化表!H18)</f>
        <v>#DIV/0!</v>
      </c>
      <c r="AD6" s="153" t="e">
        <f>$AC6+初始化表!L20+$F7*B7/SUMPRODUCT($B7:$E7,$V43:$Y43)+B$10*B7/SUMPRODUCT(B$6:B$9,V$42:V$45)+初始化表!L14/I64+(IF(I26+J26=0,0,1)*初始化表!H26+IF(K26+L26=0,0,1)*初始化表!I26)/(I64+J64+K64+L64)</f>
        <v>#DIV/0!</v>
      </c>
      <c r="AE6" s="153" t="e">
        <f>$AC6+初始化表!M20+$F7*C7/SUMPRODUCT($B7:$E7,$V43:$Y43)+C$10*C7/SUMPRODUCT(C$6:C$9,W$42:W$45)+初始化表!M14/J64+(IF(I26+J26=0,0,1)*初始化表!H26+IF(K26+L26=0,0,1)*初始化表!I26)/(I64+J64+K64+L64)</f>
        <v>#DIV/0!</v>
      </c>
      <c r="AF6" s="153" t="e">
        <f>$AC6+初始化表!N20+$F7*D7/SUMPRODUCT($B7:$E7,$V43:$Y43)+D$10*D7/SUMPRODUCT(D$6:D$9,X$42:X$45)+初始化表!N14/K64+(IF(I26+J26=0,0,1)*初始化表!H26+IF(K26+L26=0,0,1)*初始化表!I26)/(I64+J64+K64+L64)</f>
        <v>#DIV/0!</v>
      </c>
      <c r="AG6" s="153" t="e">
        <f>$AC6+初始化表!O20+$F7*E7/SUMPRODUCT($B7:$E7,$V43:$Y43)+E$10*E7/SUMPRODUCT(E$6:E$9,Y$42:Y$45)+初始化表!O14/L64+(IF(I26+J26=0,0,1)*初始化表!H26+IF(K26+L26=0,0,1)*初始化表!I26)/(I64+J64+K64+L64)</f>
        <v>#DIV/0!</v>
      </c>
      <c r="AH6" s="73"/>
      <c r="AZ6" s="193"/>
      <c r="BA6" s="195"/>
      <c r="BB6" s="194" t="s">
        <v>513</v>
      </c>
      <c r="BC6" s="194" t="s">
        <v>514</v>
      </c>
      <c r="BD6" s="194" t="s">
        <v>515</v>
      </c>
      <c r="BE6" s="194" t="s">
        <v>516</v>
      </c>
      <c r="BF6" s="194" t="s">
        <v>513</v>
      </c>
      <c r="BG6" s="194" t="s">
        <v>514</v>
      </c>
      <c r="BH6" s="194" t="s">
        <v>515</v>
      </c>
      <c r="BI6" s="194" t="s">
        <v>516</v>
      </c>
      <c r="BJ6" s="194" t="s">
        <v>513</v>
      </c>
      <c r="BK6" s="194" t="s">
        <v>514</v>
      </c>
      <c r="BL6" s="194" t="s">
        <v>515</v>
      </c>
      <c r="BM6" s="194" t="s">
        <v>516</v>
      </c>
      <c r="BN6" s="194" t="s">
        <v>513</v>
      </c>
      <c r="BO6" s="194" t="s">
        <v>514</v>
      </c>
      <c r="BP6" s="194" t="s">
        <v>515</v>
      </c>
      <c r="BQ6" s="194" t="s">
        <v>516</v>
      </c>
      <c r="BR6" s="211"/>
      <c r="BS6" s="195">
        <f t="shared" si="0"/>
        <v>0</v>
      </c>
      <c r="BT6" s="201">
        <f t="shared" si="1"/>
        <v>0</v>
      </c>
      <c r="BU6" s="201">
        <f>第7期!AQ108*0.5</f>
        <v>0</v>
      </c>
      <c r="BV6" s="205" t="e">
        <f>AVERAGE(BT31:CI31)*初始化表!B$31</f>
        <v>#DIV/0!</v>
      </c>
      <c r="BW6" s="205" t="e">
        <f>$BT6*(AL108-BW$25)/BW$26*初始化表!B$30</f>
        <v>#DIV/0!</v>
      </c>
      <c r="BX6" s="205" t="e">
        <f>$BT6*(AM108-BX$25)/BX$26*初始化表!B$33</f>
        <v>#DIV/0!</v>
      </c>
      <c r="BY6" s="205" t="e">
        <f>$BT6*(AN108-BY$25)/BY$26*初始化表!B$32</f>
        <v>#DIV/0!</v>
      </c>
      <c r="BZ6" s="205" t="e">
        <f>$BT6*(AP108-BZ$25)/BZ$26*初始化表!B$34</f>
        <v>#DIV/0!</v>
      </c>
      <c r="CA6" s="205" t="e">
        <f>$BT$5*(AW108-CA$25)/CA$26*初始化表!B$36</f>
        <v>#DIV/0!</v>
      </c>
      <c r="CB6" s="205" t="e">
        <f t="shared" ref="CB6:CB24" si="4">CE6-CC6-BU6-SUM(BV6:CA6)/2</f>
        <v>#DIV/0!</v>
      </c>
      <c r="CC6" s="201">
        <f t="shared" ref="CC6:CC24" si="5">IF(AO108-AR108&gt;=0,0,-0.1*(1-EXP(2*10^(-6)*(AO108-AR108))))</f>
        <v>0</v>
      </c>
      <c r="CD6" s="229" t="e">
        <f t="shared" ref="CD6:CD24" si="6">SUM(BV6:CB6)</f>
        <v>#DIV/0!</v>
      </c>
      <c r="CE6" s="229">
        <f t="shared" ref="CE6:CE24" si="7">AQ108</f>
        <v>0</v>
      </c>
      <c r="CF6" s="229">
        <f t="shared" ref="CF6:CF24" si="8">BU6*2</f>
        <v>0</v>
      </c>
      <c r="CG6" s="226"/>
      <c r="CH6" s="226"/>
      <c r="CI6" s="227"/>
      <c r="CJ6" s="228"/>
      <c r="CK6" s="228"/>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row>
    <row r="7" s="61" customFormat="1" ht="16" customHeight="1" spans="1:119">
      <c r="A7" s="68" t="s">
        <v>465</v>
      </c>
      <c r="B7" s="71" t="e">
        <f t="shared" ref="B7:B9" si="9">O21</f>
        <v>#DIV/0!</v>
      </c>
      <c r="C7" s="71" t="e">
        <f t="shared" si="2"/>
        <v>#DIV/0!</v>
      </c>
      <c r="D7" s="71" t="e">
        <f t="shared" si="2"/>
        <v>#DIV/0!</v>
      </c>
      <c r="E7" s="71" t="e">
        <f t="shared" si="2"/>
        <v>#DIV/0!</v>
      </c>
      <c r="F7" s="72" t="e">
        <f>P28</f>
        <v>#DIV/0!</v>
      </c>
      <c r="G7" s="73"/>
      <c r="H7" s="68" t="s">
        <v>465</v>
      </c>
      <c r="I7" s="72">
        <f>第7期!I7+第7期!J7</f>
        <v>0</v>
      </c>
      <c r="J7" s="86"/>
      <c r="K7" s="87">
        <f>IF(IF((I7+F18)&gt;=初始化表!I32,5,IF((I7+F18)&gt;=初始化表!H32,4,IF((I7+F18)&gt;=初始化表!G32,3,IF((I7+F18)&gt;=初始化表!F32,2,IF((I7+F18)&gt;=初始化表!E32,1,0)))))+IF(I7+F18&gt;初始化表!E32,O$45)&lt;第7期!K7+1,IF((I7+F18)&gt;=初始化表!I32,5,IF((I7+F18)&gt;=初始化表!H32,4,IF((I7+F18)&gt;=初始化表!G32,3,IF((I7+F18)&gt;=初始化表!F32,2,IF((I7+F18)&gt;=初始化表!E32,1,0)))))+IF(I7+F18&gt;初始化表!E32,O$45),第7期!K7+1)</f>
        <v>5</v>
      </c>
      <c r="L7" s="72">
        <f>IF(I7&lt;初始化表!E32,初始化表!E32-I7,IF(I7&lt;初始化表!F32,初始化表!F32-I7,IF(I7&lt;初始化表!G32,初始化表!G32-I7,IF(I7&lt;初始化表!H32,初始化表!H32-I7,IF(I7&lt;初始化表!I32,初始化表!I32-I7,0)))))</f>
        <v>0</v>
      </c>
      <c r="M7" s="85"/>
      <c r="N7" s="68" t="s">
        <v>526</v>
      </c>
      <c r="O7" s="68" t="s">
        <v>459</v>
      </c>
      <c r="P7" s="68" t="s">
        <v>460</v>
      </c>
      <c r="Q7" s="68" t="s">
        <v>461</v>
      </c>
      <c r="R7" s="68" t="s">
        <v>462</v>
      </c>
      <c r="S7" s="121"/>
      <c r="T7" s="120"/>
      <c r="U7" s="68" t="s">
        <v>466</v>
      </c>
      <c r="V7" s="77">
        <f>第7期!AP17</f>
        <v>0</v>
      </c>
      <c r="W7" s="77">
        <f>第7期!AP18</f>
        <v>0</v>
      </c>
      <c r="X7" s="77">
        <f>第7期!AP19</f>
        <v>0</v>
      </c>
      <c r="Y7" s="77">
        <f>第7期!AP20</f>
        <v>0</v>
      </c>
      <c r="Z7" s="77">
        <f>第7期!AJ28</f>
        <v>0</v>
      </c>
      <c r="AA7" s="77" t="e">
        <f t="shared" si="3"/>
        <v>#DIV/0!</v>
      </c>
      <c r="AB7" s="151" t="s">
        <v>466</v>
      </c>
      <c r="AC7" s="152" t="e">
        <f>初始化表!$B$8*初始化表!G17*初始化表!$H$5/1300+初始化表!$B$12*初始化表!G17/1300+初始化表!G19+初始化表!G18*(-C35-C44)/(SUM(B17:E17)*初始化表!E18+SUM(B18:E18)*初始化表!F18+SUM(B19:E19)*初始化表!G18+SUM(B20:E20)*初始化表!H18)</f>
        <v>#DIV/0!</v>
      </c>
      <c r="AD7" s="153" t="e">
        <f>$AC7+初始化表!L21+$F8*B8/SUMPRODUCT($B8:$E8,$V44:$Y44)+B$10*B8/SUMPRODUCT(B$6:B$9,V$42:V$45)+初始化表!L15/I65+(IF(I27+J27=0,0,1)*初始化表!H27+IF(K27+L27=0,0,1)*初始化表!I27)/(I65+J65+K65+L65)</f>
        <v>#DIV/0!</v>
      </c>
      <c r="AE7" s="153" t="e">
        <f>$AC7+初始化表!M21+$F8*C8/SUMPRODUCT($B8:$E8,$V44:$Y44)+C$10*C8/SUMPRODUCT(C$6:C$9,W$42:W$45)+初始化表!M15/J65+(IF(I27+J27=0,0,1)*初始化表!H27+IF(K27+L27=0,0,1)*初始化表!I27)/(I65+J65+K65+L65)</f>
        <v>#DIV/0!</v>
      </c>
      <c r="AF7" s="153" t="e">
        <f>$AC7+初始化表!N21+$F8*D8/SUMPRODUCT($B8:$E8,$V44:$Y44)+D$10*D8/SUMPRODUCT(D$6:D$9,X$42:X$45)+初始化表!N15/K65+(IF(I27+J27=0,0,1)*初始化表!H27+IF(K27+L27=0,0,1)*初始化表!I27)/(I65+J65+K65+L65)</f>
        <v>#DIV/0!</v>
      </c>
      <c r="AG7" s="153" t="e">
        <f>$AC7+初始化表!O21+$F8*E8/SUMPRODUCT($B8:$E8,$V44:$Y44)+E$10*E8/SUMPRODUCT(E$6:E$9,Y$42:Y$45)+初始化表!O15/L65+(IF(I27+J27=0,0,1)*初始化表!H27+IF(K27+L27=0,0,1)*初始化表!I27)/(I65+J65+K65+L65)</f>
        <v>#DIV/0!</v>
      </c>
      <c r="AH7" s="73"/>
      <c r="AI7" s="68" t="s">
        <v>424</v>
      </c>
      <c r="AJ7" s="69"/>
      <c r="AK7" s="69"/>
      <c r="AL7" s="69"/>
      <c r="AM7" s="69"/>
      <c r="AN7" s="69"/>
      <c r="AO7" s="69"/>
      <c r="AP7" s="69"/>
      <c r="AQ7" s="69"/>
      <c r="AZ7" s="193"/>
      <c r="BA7" s="196">
        <f t="shared" ref="BA7:BA26" si="10">AI37</f>
        <v>0</v>
      </c>
      <c r="BB7" s="197">
        <f t="shared" ref="BB7:BB26" si="11">IF($BA7="","",INT(BB$28*AJ61))</f>
        <v>0</v>
      </c>
      <c r="BC7" s="197">
        <f t="shared" ref="BC7:BC26" si="12">IF($BA7="","",INT(BC$28*AK61))</f>
        <v>0</v>
      </c>
      <c r="BD7" s="197">
        <f t="shared" ref="BD7:BD26" si="13">IF($BA7="","",INT(BD$28*AL61))</f>
        <v>0</v>
      </c>
      <c r="BE7" s="197">
        <f t="shared" ref="BE7:BE26" si="14">IF($BA7="","",INT(BE$28*AM61))</f>
        <v>0</v>
      </c>
      <c r="BF7" s="197">
        <f t="shared" ref="BF7:BF26" si="15">IF($BA7="","",INT(BF$28*AN61))</f>
        <v>0</v>
      </c>
      <c r="BG7" s="197">
        <f t="shared" ref="BG7:BG26" si="16">IF($BA7="","",INT(BG$28*AO61))</f>
        <v>0</v>
      </c>
      <c r="BH7" s="197">
        <f t="shared" ref="BH7:BH26" si="17">IF($BA7="","",INT(BH$28*AP61))</f>
        <v>0</v>
      </c>
      <c r="BI7" s="197">
        <f t="shared" ref="BI7:BI26" si="18">IF($BA7="","",INT(BI$28*AQ61))</f>
        <v>0</v>
      </c>
      <c r="BJ7" s="197">
        <f t="shared" ref="BJ7:BJ26" si="19">IF($BA7="","",INT(BJ$28*AR61))</f>
        <v>0</v>
      </c>
      <c r="BK7" s="197">
        <f t="shared" ref="BK7:BK26" si="20">IF($BA7="","",INT(BK$28*AS61))</f>
        <v>0</v>
      </c>
      <c r="BL7" s="197">
        <f t="shared" ref="BL7:BL26" si="21">IF($BA7="","",INT(BL$28*AT61))</f>
        <v>0</v>
      </c>
      <c r="BM7" s="197">
        <f t="shared" ref="BM7:BM26" si="22">IF($BA7="","",INT(BM$28*AU61))</f>
        <v>0</v>
      </c>
      <c r="BN7" s="197">
        <f t="shared" ref="BN7:BN26" si="23">IF($BA7="","",INT(BN$28*AV61))</f>
        <v>0</v>
      </c>
      <c r="BO7" s="197">
        <f t="shared" ref="BO7:BO26" si="24">IF($BA7="","",INT(BO$28*AW61))</f>
        <v>0</v>
      </c>
      <c r="BP7" s="197">
        <f t="shared" ref="BP7:BP26" si="25">IF($BA7="","",INT(BP$28*AX61))</f>
        <v>0</v>
      </c>
      <c r="BQ7" s="197">
        <f t="shared" ref="BQ7:BQ26" si="26">IF($BA7="","",INT(BQ$28*AY61))</f>
        <v>0</v>
      </c>
      <c r="BR7" s="211"/>
      <c r="BS7" s="195">
        <f t="shared" si="0"/>
        <v>0</v>
      </c>
      <c r="BT7" s="201">
        <f t="shared" si="1"/>
        <v>0</v>
      </c>
      <c r="BU7" s="201">
        <f>第7期!AQ109*0.5</f>
        <v>0</v>
      </c>
      <c r="BV7" s="205" t="e">
        <f>AVERAGE(BT32:CI32)*初始化表!B$31</f>
        <v>#DIV/0!</v>
      </c>
      <c r="BW7" s="205" t="e">
        <f>$BT7*(AL109-BW$25)/BW$26*初始化表!B$30</f>
        <v>#DIV/0!</v>
      </c>
      <c r="BX7" s="205" t="e">
        <f>$BT7*(AM109-BX$25)/BX$26*初始化表!B$33</f>
        <v>#DIV/0!</v>
      </c>
      <c r="BY7" s="205" t="e">
        <f>$BT7*(AN109-BY$25)/BY$26*初始化表!B$32</f>
        <v>#DIV/0!</v>
      </c>
      <c r="BZ7" s="205" t="e">
        <f>$BT7*(AP109-BZ$25)/BZ$26*初始化表!B$34</f>
        <v>#DIV/0!</v>
      </c>
      <c r="CA7" s="205" t="e">
        <f>$BT$5*(AW109-CA$25)/CA$26*初始化表!B$36</f>
        <v>#DIV/0!</v>
      </c>
      <c r="CB7" s="205" t="e">
        <f t="shared" si="4"/>
        <v>#DIV/0!</v>
      </c>
      <c r="CC7" s="201">
        <f t="shared" si="5"/>
        <v>0</v>
      </c>
      <c r="CD7" s="229" t="e">
        <f t="shared" si="6"/>
        <v>#DIV/0!</v>
      </c>
      <c r="CE7" s="229">
        <f t="shared" si="7"/>
        <v>0</v>
      </c>
      <c r="CF7" s="229">
        <f t="shared" si="8"/>
        <v>0</v>
      </c>
      <c r="CG7" s="226"/>
      <c r="CH7" s="226"/>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row>
    <row r="8" s="61" customFormat="1" ht="16" customHeight="1" spans="1:119">
      <c r="A8" s="68" t="s">
        <v>466</v>
      </c>
      <c r="B8" s="71" t="e">
        <f t="shared" si="9"/>
        <v>#DIV/0!</v>
      </c>
      <c r="C8" s="71" t="e">
        <f t="shared" si="2"/>
        <v>#DIV/0!</v>
      </c>
      <c r="D8" s="71" t="e">
        <f t="shared" si="2"/>
        <v>#DIV/0!</v>
      </c>
      <c r="E8" s="71" t="e">
        <f t="shared" si="2"/>
        <v>#DIV/0!</v>
      </c>
      <c r="F8" s="72" t="e">
        <f>Q28</f>
        <v>#DIV/0!</v>
      </c>
      <c r="G8" s="73"/>
      <c r="H8" s="68" t="s">
        <v>466</v>
      </c>
      <c r="I8" s="72">
        <f>第7期!I8+第7期!J8</f>
        <v>0</v>
      </c>
      <c r="J8" s="86"/>
      <c r="K8" s="87">
        <f>IF(IF((I8+F19)&gt;=初始化表!I33,5,IF((I8+F19)&gt;=初始化表!H33,4,IF((I8+F19)&gt;=初始化表!G33,3,IF((I8+F19)&gt;=初始化表!F33,2,IF((I8+F19)&gt;=初始化表!E33,1,0)))))+IF(I8+F19&gt;初始化表!E33,O$45)&lt;第7期!K8+1,IF((I8+F19)&gt;=初始化表!I33,5,IF((I8+F19)&gt;=初始化表!H33,4,IF((I8+F19)&gt;=初始化表!G33,3,IF((I8+F19)&gt;=初始化表!F33,2,IF((I8+F19)&gt;=初始化表!E33,1,0)))))+IF(I8+F19&gt;初始化表!E33,O$45),第7期!K8+1)</f>
        <v>5</v>
      </c>
      <c r="L8" s="72">
        <f>IF(I8&lt;初始化表!E33,初始化表!E33-I8,IF(I8&lt;初始化表!F33,初始化表!F33-I8,IF(I8&lt;初始化表!G33,初始化表!G33-I8,IF(I8&lt;初始化表!H33,初始化表!H33-I8,IF(I8&lt;初始化表!I33,初始化表!I33-I8,0)))))</f>
        <v>0</v>
      </c>
      <c r="M8" s="85"/>
      <c r="N8" s="68" t="s">
        <v>525</v>
      </c>
      <c r="O8" s="88">
        <f>第7期!O8+0.001</f>
        <v>0.042</v>
      </c>
      <c r="P8" s="88">
        <f>第7期!P8+0.001</f>
        <v>0.042</v>
      </c>
      <c r="Q8" s="88">
        <f>第7期!Q8+0.001</f>
        <v>0.042</v>
      </c>
      <c r="R8" s="88">
        <f>第7期!R8+0.001</f>
        <v>0.042</v>
      </c>
      <c r="S8" s="122"/>
      <c r="T8" s="120"/>
      <c r="U8" s="68" t="s">
        <v>468</v>
      </c>
      <c r="V8" s="77">
        <f>第7期!AP21</f>
        <v>0</v>
      </c>
      <c r="W8" s="77">
        <f>第7期!AP22</f>
        <v>0</v>
      </c>
      <c r="X8" s="77">
        <f>第7期!AP23</f>
        <v>0</v>
      </c>
      <c r="Y8" s="77">
        <f>第7期!AP24</f>
        <v>0</v>
      </c>
      <c r="Z8" s="77">
        <f>第7期!AJ29</f>
        <v>0</v>
      </c>
      <c r="AA8" s="77" t="e">
        <f t="shared" si="3"/>
        <v>#DIV/0!</v>
      </c>
      <c r="AB8" s="154" t="s">
        <v>524</v>
      </c>
      <c r="AC8" s="152" t="e">
        <f>初始化表!$B$8*初始化表!H17*初始化表!$H$5/1300+初始化表!$B$12*初始化表!H17/1300+初始化表!H19+初始化表!H18*(-C35-C44)/(SUM(B17:E17)*初始化表!E18+SUM(B18:E18)*初始化表!F18+SUM(B19:E19)*初始化表!G18+SUM(B20:E20)*初始化表!H18)</f>
        <v>#DIV/0!</v>
      </c>
      <c r="AD8" s="153" t="e">
        <f>$AC8+初始化表!L22+$F9*B9/SUMPRODUCT($B9:$E9,$V45:$Y45)+B$10*B9/SUMPRODUCT(B$6:B$9,V$42:V$45)+初始化表!L16/I66+(IF(I28+J28=0,0,1)*初始化表!H28+IF(K28+L28=0,0,1)*初始化表!I28)/(I66+J66+K66+L66)</f>
        <v>#DIV/0!</v>
      </c>
      <c r="AE8" s="153" t="e">
        <f>$AC8+初始化表!M22+$F9*C9/SUMPRODUCT($B9:$E9,$V45:$Y45)+C$10*C9/SUMPRODUCT(C$6:C$9,W$42:W$45)+初始化表!M16/J66+(IF(I28+J28=0,0,1)*初始化表!H28+IF(K28+L28=0,0,1)*初始化表!I28)/(I66+J66+K66+L66)</f>
        <v>#DIV/0!</v>
      </c>
      <c r="AF8" s="153" t="e">
        <f>$AC8+初始化表!N22+$F9*D9/SUMPRODUCT($B9:$E9,$V45:$Y45)+D$10*D9/SUMPRODUCT(D$6:D$9,X$42:X$45)+初始化表!N16/K66+(IF(I28+J28=0,0,1)*初始化表!H28+IF(K28+L28=0,0,1)*初始化表!I28)/(I66+J66+K66+L66)</f>
        <v>#DIV/0!</v>
      </c>
      <c r="AG8" s="153" t="e">
        <f>$AC8+初始化表!O22+$F9*E9/SUMPRODUCT($B9:$E9,$V45:$Y45)+E$10*E9/SUMPRODUCT(E$6:E$9,Y$42:Y$45)+初始化表!O16/L66+(IF(I28+J28=0,0,1)*初始化表!H28+IF(K28+L28=0,0,1)*初始化表!I28)/(I66+J66+K66+L66)</f>
        <v>#DIV/0!</v>
      </c>
      <c r="AH8" s="73"/>
      <c r="AI8" s="163" t="s">
        <v>283</v>
      </c>
      <c r="AJ8" s="163" t="s">
        <v>284</v>
      </c>
      <c r="AK8" s="163" t="s">
        <v>285</v>
      </c>
      <c r="AL8" s="163" t="s">
        <v>286</v>
      </c>
      <c r="AM8" s="163" t="s">
        <v>287</v>
      </c>
      <c r="AN8" s="163" t="s">
        <v>288</v>
      </c>
      <c r="AO8" s="163" t="s">
        <v>289</v>
      </c>
      <c r="AP8" s="163" t="s">
        <v>290</v>
      </c>
      <c r="AQ8" s="184" t="s">
        <v>291</v>
      </c>
      <c r="AR8" s="185" t="s">
        <v>433</v>
      </c>
      <c r="AS8" s="185" t="s">
        <v>434</v>
      </c>
      <c r="AT8" s="185" t="s">
        <v>435</v>
      </c>
      <c r="AU8" s="185" t="s">
        <v>436</v>
      </c>
      <c r="AV8" s="185" t="s">
        <v>437</v>
      </c>
      <c r="AW8" s="185" t="s">
        <v>438</v>
      </c>
      <c r="AZ8" s="193"/>
      <c r="BA8" s="196">
        <f t="shared" si="10"/>
        <v>0</v>
      </c>
      <c r="BB8" s="197">
        <f t="shared" si="11"/>
        <v>0</v>
      </c>
      <c r="BC8" s="197">
        <f t="shared" si="12"/>
        <v>0</v>
      </c>
      <c r="BD8" s="197">
        <f t="shared" si="13"/>
        <v>0</v>
      </c>
      <c r="BE8" s="197">
        <f t="shared" si="14"/>
        <v>0</v>
      </c>
      <c r="BF8" s="197">
        <f t="shared" si="15"/>
        <v>0</v>
      </c>
      <c r="BG8" s="197">
        <f t="shared" si="16"/>
        <v>0</v>
      </c>
      <c r="BH8" s="197">
        <f t="shared" si="17"/>
        <v>0</v>
      </c>
      <c r="BI8" s="197">
        <f t="shared" si="18"/>
        <v>0</v>
      </c>
      <c r="BJ8" s="197">
        <f t="shared" si="19"/>
        <v>0</v>
      </c>
      <c r="BK8" s="197">
        <f t="shared" si="20"/>
        <v>0</v>
      </c>
      <c r="BL8" s="197">
        <f t="shared" si="21"/>
        <v>0</v>
      </c>
      <c r="BM8" s="197">
        <f t="shared" si="22"/>
        <v>0</v>
      </c>
      <c r="BN8" s="197">
        <f t="shared" si="23"/>
        <v>0</v>
      </c>
      <c r="BO8" s="197">
        <f t="shared" si="24"/>
        <v>0</v>
      </c>
      <c r="BP8" s="197">
        <f t="shared" si="25"/>
        <v>0</v>
      </c>
      <c r="BQ8" s="197">
        <f t="shared" si="26"/>
        <v>0</v>
      </c>
      <c r="BR8" s="211"/>
      <c r="BS8" s="195">
        <f t="shared" si="0"/>
        <v>0</v>
      </c>
      <c r="BT8" s="201">
        <f t="shared" si="1"/>
        <v>0</v>
      </c>
      <c r="BU8" s="201">
        <f>第7期!AQ110*0.5</f>
        <v>0</v>
      </c>
      <c r="BV8" s="205" t="e">
        <f>AVERAGE(BT33:CI33)*初始化表!B$31</f>
        <v>#DIV/0!</v>
      </c>
      <c r="BW8" s="205" t="e">
        <f>$BT8*(AL110-BW$25)/BW$26*初始化表!B$30</f>
        <v>#DIV/0!</v>
      </c>
      <c r="BX8" s="205" t="e">
        <f>$BT8*(AM110-BX$25)/BX$26*初始化表!B$33</f>
        <v>#DIV/0!</v>
      </c>
      <c r="BY8" s="205" t="e">
        <f>$BT8*(AN110-BY$25)/BY$26*初始化表!B$32</f>
        <v>#DIV/0!</v>
      </c>
      <c r="BZ8" s="205" t="e">
        <f>$BT8*(AP110-BZ$25)/BZ$26*初始化表!B$34</f>
        <v>#DIV/0!</v>
      </c>
      <c r="CA8" s="205" t="e">
        <f>$BT$5*(AW110-CA$25)/CA$26*初始化表!B$36</f>
        <v>#DIV/0!</v>
      </c>
      <c r="CB8" s="205" t="e">
        <f t="shared" si="4"/>
        <v>#DIV/0!</v>
      </c>
      <c r="CC8" s="201">
        <f t="shared" si="5"/>
        <v>0</v>
      </c>
      <c r="CD8" s="229" t="e">
        <f t="shared" si="6"/>
        <v>#DIV/0!</v>
      </c>
      <c r="CE8" s="229">
        <f t="shared" si="7"/>
        <v>0</v>
      </c>
      <c r="CF8" s="229">
        <f t="shared" si="8"/>
        <v>0</v>
      </c>
      <c r="CG8" s="226"/>
      <c r="CH8" s="226"/>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row>
    <row r="9" s="61" customFormat="1" ht="16" customHeight="1" spans="1:119">
      <c r="A9" s="68" t="s">
        <v>468</v>
      </c>
      <c r="B9" s="71" t="e">
        <f t="shared" si="9"/>
        <v>#DIV/0!</v>
      </c>
      <c r="C9" s="71" t="e">
        <f t="shared" si="2"/>
        <v>#DIV/0!</v>
      </c>
      <c r="D9" s="71" t="e">
        <f t="shared" si="2"/>
        <v>#DIV/0!</v>
      </c>
      <c r="E9" s="71" t="e">
        <f t="shared" si="2"/>
        <v>#DIV/0!</v>
      </c>
      <c r="F9" s="72" t="e">
        <f>R28</f>
        <v>#DIV/0!</v>
      </c>
      <c r="G9" s="73"/>
      <c r="H9" s="68" t="s">
        <v>468</v>
      </c>
      <c r="I9" s="72">
        <f>第7期!I9+第7期!J9</f>
        <v>0</v>
      </c>
      <c r="J9" s="86"/>
      <c r="K9" s="87">
        <f>IF(IF((I9+F20)&gt;=初始化表!I34,5,IF((I9+F20)&gt;=初始化表!H34,4,IF((I9+F20)&gt;=初始化表!G34,3,IF((I9+F20)&gt;=初始化表!F34,2,IF((I9+F20)&gt;=初始化表!E34,1,0)))))+IF(I9+F20&gt;初始化表!E34,O$45)&lt;第7期!K9+1,IF((I9+F20)&gt;=初始化表!I34,5,IF((I9+F20)&gt;=初始化表!H34,4,IF((I9+F20)&gt;=初始化表!G34,3,IF((I9+F20)&gt;=初始化表!F34,2,IF((I9+F20)&gt;=初始化表!E34,1,0)))))+IF(I9+F20&gt;初始化表!E34,O$45),第7期!K9+1)</f>
        <v>5</v>
      </c>
      <c r="L9" s="72">
        <f>IF(I9&lt;初始化表!E34,初始化表!E34-I9,IF(I9&lt;初始化表!F34,初始化表!F34-I9,IF(I9&lt;初始化表!G34,初始化表!G34-I9,IF(I9&lt;初始化表!H34,初始化表!H34-I9,IF(I9&lt;初始化表!I34,初始化表!I34-I9,0)))))</f>
        <v>0</v>
      </c>
      <c r="M9" s="85"/>
      <c r="N9" s="68" t="s">
        <v>527</v>
      </c>
      <c r="O9" s="68" t="s">
        <v>459</v>
      </c>
      <c r="P9" s="68" t="s">
        <v>460</v>
      </c>
      <c r="Q9" s="68" t="s">
        <v>461</v>
      </c>
      <c r="R9" s="68" t="s">
        <v>462</v>
      </c>
      <c r="S9" s="121"/>
      <c r="T9" s="68" t="s">
        <v>528</v>
      </c>
      <c r="U9" s="123"/>
      <c r="V9" s="74"/>
      <c r="W9" s="74"/>
      <c r="X9" s="74"/>
      <c r="Y9" s="74"/>
      <c r="Z9" s="74" t="e">
        <f>SUMPRODUCT(V5:Y8,V23:Y26)</f>
        <v>#DIV/0!</v>
      </c>
      <c r="AA9" s="73"/>
      <c r="AB9" s="155"/>
      <c r="AC9" s="155"/>
      <c r="AD9" s="155"/>
      <c r="AE9" s="155"/>
      <c r="AF9" s="155"/>
      <c r="AG9" s="155"/>
      <c r="AH9" s="73"/>
      <c r="AI9" s="164"/>
      <c r="AJ9" s="164"/>
      <c r="AK9" s="164"/>
      <c r="AL9" s="164">
        <f>V42</f>
        <v>0</v>
      </c>
      <c r="AM9" s="165"/>
      <c r="AN9" s="166"/>
      <c r="AO9" s="164"/>
      <c r="AP9" s="164"/>
      <c r="AQ9" s="186"/>
      <c r="AR9" s="103"/>
      <c r="AS9" s="103">
        <f t="shared" ref="AS9:AS24" si="27">AM9-AK9</f>
        <v>0</v>
      </c>
      <c r="AT9" s="103"/>
      <c r="AU9" s="103"/>
      <c r="AV9" s="103"/>
      <c r="AW9" s="103"/>
      <c r="AZ9" s="193"/>
      <c r="BA9" s="196">
        <f t="shared" si="10"/>
        <v>0</v>
      </c>
      <c r="BB9" s="197">
        <f t="shared" si="11"/>
        <v>0</v>
      </c>
      <c r="BC9" s="197">
        <f t="shared" si="12"/>
        <v>0</v>
      </c>
      <c r="BD9" s="197">
        <f t="shared" si="13"/>
        <v>0</v>
      </c>
      <c r="BE9" s="197">
        <f t="shared" si="14"/>
        <v>0</v>
      </c>
      <c r="BF9" s="197">
        <f t="shared" si="15"/>
        <v>0</v>
      </c>
      <c r="BG9" s="197">
        <f t="shared" si="16"/>
        <v>0</v>
      </c>
      <c r="BH9" s="197">
        <f t="shared" si="17"/>
        <v>0</v>
      </c>
      <c r="BI9" s="197">
        <f t="shared" si="18"/>
        <v>0</v>
      </c>
      <c r="BJ9" s="197">
        <f t="shared" si="19"/>
        <v>0</v>
      </c>
      <c r="BK9" s="197">
        <f t="shared" si="20"/>
        <v>0</v>
      </c>
      <c r="BL9" s="197">
        <f t="shared" si="21"/>
        <v>0</v>
      </c>
      <c r="BM9" s="197">
        <f t="shared" si="22"/>
        <v>0</v>
      </c>
      <c r="BN9" s="197">
        <f t="shared" si="23"/>
        <v>0</v>
      </c>
      <c r="BO9" s="197">
        <f t="shared" si="24"/>
        <v>0</v>
      </c>
      <c r="BP9" s="197">
        <f t="shared" si="25"/>
        <v>0</v>
      </c>
      <c r="BQ9" s="197">
        <f t="shared" si="26"/>
        <v>0</v>
      </c>
      <c r="BR9" s="211"/>
      <c r="BS9" s="195">
        <f t="shared" si="0"/>
        <v>0</v>
      </c>
      <c r="BT9" s="201">
        <f t="shared" si="1"/>
        <v>0</v>
      </c>
      <c r="BU9" s="201">
        <f>第7期!AQ111*0.5</f>
        <v>0</v>
      </c>
      <c r="BV9" s="205" t="e">
        <f>AVERAGE(BT34:CI34)*初始化表!B$31</f>
        <v>#DIV/0!</v>
      </c>
      <c r="BW9" s="205" t="e">
        <f>$BT9*(AL111-BW$25)/BW$26*初始化表!B$30</f>
        <v>#DIV/0!</v>
      </c>
      <c r="BX9" s="205" t="e">
        <f>$BT9*(AM111-BX$25)/BX$26*初始化表!B$33</f>
        <v>#DIV/0!</v>
      </c>
      <c r="BY9" s="205" t="e">
        <f>$BT9*(AN111-BY$25)/BY$26*初始化表!B$32</f>
        <v>#DIV/0!</v>
      </c>
      <c r="BZ9" s="205" t="e">
        <f>$BT9*(AP111-BZ$25)/BZ$26*初始化表!B$34</f>
        <v>#DIV/0!</v>
      </c>
      <c r="CA9" s="205" t="e">
        <f>$BT$5*(AW111-CA$25)/CA$26*初始化表!B$36</f>
        <v>#DIV/0!</v>
      </c>
      <c r="CB9" s="205" t="e">
        <f t="shared" si="4"/>
        <v>#DIV/0!</v>
      </c>
      <c r="CC9" s="201">
        <f t="shared" si="5"/>
        <v>0</v>
      </c>
      <c r="CD9" s="229" t="e">
        <f t="shared" si="6"/>
        <v>#DIV/0!</v>
      </c>
      <c r="CE9" s="229">
        <f t="shared" si="7"/>
        <v>0</v>
      </c>
      <c r="CF9" s="229">
        <f t="shared" si="8"/>
        <v>0</v>
      </c>
      <c r="CG9" s="226"/>
      <c r="CH9" s="226"/>
      <c r="CI9" s="228"/>
      <c r="CJ9" s="230"/>
      <c r="CK9" s="230"/>
      <c r="CL9" s="230"/>
      <c r="CM9" s="230"/>
      <c r="CN9" s="228"/>
      <c r="CO9" s="228"/>
      <c r="CP9" s="228"/>
      <c r="CQ9" s="228"/>
      <c r="CR9" s="228"/>
      <c r="CS9" s="228"/>
      <c r="CT9" s="231"/>
      <c r="CU9" s="231"/>
      <c r="CV9" s="231"/>
      <c r="CW9" s="231"/>
      <c r="CX9" s="228"/>
      <c r="CY9" s="228"/>
      <c r="CZ9" s="228"/>
      <c r="DA9" s="228"/>
      <c r="DB9" s="228"/>
      <c r="DC9" s="228"/>
      <c r="DD9" s="228"/>
      <c r="DE9" s="228"/>
      <c r="DF9" s="228"/>
      <c r="DG9" s="228"/>
      <c r="DH9" s="228"/>
      <c r="DI9" s="228"/>
      <c r="DJ9" s="228"/>
      <c r="DK9" s="228"/>
      <c r="DL9" s="228"/>
      <c r="DM9" s="228"/>
      <c r="DN9" s="228"/>
      <c r="DO9" s="228"/>
    </row>
    <row r="10" s="61" customFormat="1" ht="16" customHeight="1" spans="1:119">
      <c r="A10" s="68" t="s">
        <v>280</v>
      </c>
      <c r="B10" s="72" t="e">
        <f>O29</f>
        <v>#DIV/0!</v>
      </c>
      <c r="C10" s="72" t="e">
        <f>P29</f>
        <v>#DIV/0!</v>
      </c>
      <c r="D10" s="72" t="e">
        <f t="shared" ref="D10:E10" si="28">Q29</f>
        <v>#DIV/0!</v>
      </c>
      <c r="E10" s="72" t="e">
        <f t="shared" si="28"/>
        <v>#DIV/0!</v>
      </c>
      <c r="F10" s="68" t="s">
        <v>281</v>
      </c>
      <c r="G10" s="73"/>
      <c r="H10" s="74"/>
      <c r="I10" s="74"/>
      <c r="J10" s="74"/>
      <c r="K10" s="74"/>
      <c r="L10" s="74"/>
      <c r="M10" s="85"/>
      <c r="N10" s="68" t="s">
        <v>198</v>
      </c>
      <c r="O10" s="89">
        <f t="shared" ref="O10:O13" si="29">S10+T10</f>
        <v>0</v>
      </c>
      <c r="P10" s="89"/>
      <c r="Q10" s="89"/>
      <c r="R10" s="89"/>
      <c r="S10" s="124">
        <v>0</v>
      </c>
      <c r="T10" s="125">
        <f t="shared" ref="T10:T13" si="30">(Z17-Z42)/10000</f>
        <v>0</v>
      </c>
      <c r="U10" s="68" t="s">
        <v>529</v>
      </c>
      <c r="V10" s="68" t="s">
        <v>459</v>
      </c>
      <c r="W10" s="68" t="s">
        <v>460</v>
      </c>
      <c r="X10" s="68" t="s">
        <v>461</v>
      </c>
      <c r="Y10" s="68" t="s">
        <v>462</v>
      </c>
      <c r="Z10" s="74"/>
      <c r="AA10" s="73"/>
      <c r="AB10" s="151" t="s">
        <v>530</v>
      </c>
      <c r="AC10" s="151" t="s">
        <v>459</v>
      </c>
      <c r="AD10" s="151" t="s">
        <v>460</v>
      </c>
      <c r="AE10" s="151" t="s">
        <v>461</v>
      </c>
      <c r="AF10" s="151" t="s">
        <v>462</v>
      </c>
      <c r="AG10" s="167" t="s">
        <v>402</v>
      </c>
      <c r="AH10" s="168" t="s">
        <v>531</v>
      </c>
      <c r="AI10" s="164"/>
      <c r="AJ10" s="164"/>
      <c r="AK10" s="164"/>
      <c r="AL10" s="164">
        <f>W42</f>
        <v>0</v>
      </c>
      <c r="AM10" s="165"/>
      <c r="AN10" s="166"/>
      <c r="AO10" s="164"/>
      <c r="AP10" s="164"/>
      <c r="AQ10" s="186"/>
      <c r="AR10" s="103"/>
      <c r="AS10" s="103">
        <f t="shared" si="27"/>
        <v>0</v>
      </c>
      <c r="AT10" s="103"/>
      <c r="AU10" s="103"/>
      <c r="AV10" s="103"/>
      <c r="AW10" s="103"/>
      <c r="AZ10" s="193"/>
      <c r="BA10" s="196">
        <f t="shared" si="10"/>
        <v>0</v>
      </c>
      <c r="BB10" s="197">
        <f t="shared" si="11"/>
        <v>0</v>
      </c>
      <c r="BC10" s="197">
        <f t="shared" si="12"/>
        <v>0</v>
      </c>
      <c r="BD10" s="197">
        <f t="shared" si="13"/>
        <v>0</v>
      </c>
      <c r="BE10" s="197">
        <f t="shared" si="14"/>
        <v>0</v>
      </c>
      <c r="BF10" s="197">
        <f t="shared" si="15"/>
        <v>0</v>
      </c>
      <c r="BG10" s="197">
        <f t="shared" si="16"/>
        <v>0</v>
      </c>
      <c r="BH10" s="197">
        <f t="shared" si="17"/>
        <v>0</v>
      </c>
      <c r="BI10" s="197">
        <f t="shared" si="18"/>
        <v>0</v>
      </c>
      <c r="BJ10" s="197">
        <f t="shared" si="19"/>
        <v>0</v>
      </c>
      <c r="BK10" s="197">
        <f t="shared" si="20"/>
        <v>0</v>
      </c>
      <c r="BL10" s="197">
        <f t="shared" si="21"/>
        <v>0</v>
      </c>
      <c r="BM10" s="197">
        <f t="shared" si="22"/>
        <v>0</v>
      </c>
      <c r="BN10" s="197">
        <f t="shared" si="23"/>
        <v>0</v>
      </c>
      <c r="BO10" s="197">
        <f t="shared" si="24"/>
        <v>0</v>
      </c>
      <c r="BP10" s="197">
        <f t="shared" si="25"/>
        <v>0</v>
      </c>
      <c r="BQ10" s="197">
        <f t="shared" si="26"/>
        <v>0</v>
      </c>
      <c r="BR10" s="211"/>
      <c r="BS10" s="195">
        <f t="shared" si="0"/>
        <v>0</v>
      </c>
      <c r="BT10" s="201">
        <f t="shared" si="1"/>
        <v>0</v>
      </c>
      <c r="BU10" s="201">
        <f>第7期!AQ112*0.5</f>
        <v>0</v>
      </c>
      <c r="BV10" s="205" t="e">
        <f>AVERAGE(BT35:CI35)*初始化表!B$31</f>
        <v>#DIV/0!</v>
      </c>
      <c r="BW10" s="205" t="e">
        <f>$BT10*(AL112-BW$25)/BW$26*初始化表!B$30</f>
        <v>#DIV/0!</v>
      </c>
      <c r="BX10" s="205" t="e">
        <f>$BT10*(AM112-BX$25)/BX$26*初始化表!B$33</f>
        <v>#DIV/0!</v>
      </c>
      <c r="BY10" s="205" t="e">
        <f>$BT10*(AN112-BY$25)/BY$26*初始化表!B$32</f>
        <v>#DIV/0!</v>
      </c>
      <c r="BZ10" s="205" t="e">
        <f>$BT10*(AP112-BZ$25)/BZ$26*初始化表!B$34</f>
        <v>#DIV/0!</v>
      </c>
      <c r="CA10" s="205" t="e">
        <f>$BT$5*(AW112-CA$25)/CA$26*初始化表!B$36</f>
        <v>#DIV/0!</v>
      </c>
      <c r="CB10" s="205" t="e">
        <f t="shared" si="4"/>
        <v>#DIV/0!</v>
      </c>
      <c r="CC10" s="201">
        <f t="shared" si="5"/>
        <v>0</v>
      </c>
      <c r="CD10" s="229" t="e">
        <f t="shared" si="6"/>
        <v>#DIV/0!</v>
      </c>
      <c r="CE10" s="229">
        <f t="shared" si="7"/>
        <v>0</v>
      </c>
      <c r="CF10" s="229">
        <f t="shared" si="8"/>
        <v>0</v>
      </c>
      <c r="CG10" s="226"/>
      <c r="CH10" s="226"/>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row>
    <row r="11" s="61" customFormat="1" ht="16" customHeight="1" spans="1:119">
      <c r="A11" s="68" t="s">
        <v>282</v>
      </c>
      <c r="B11" s="68" t="s">
        <v>459</v>
      </c>
      <c r="C11" s="68" t="s">
        <v>460</v>
      </c>
      <c r="D11" s="68" t="s">
        <v>461</v>
      </c>
      <c r="E11" s="68" t="s">
        <v>462</v>
      </c>
      <c r="F11" s="75" t="e">
        <f>F77</f>
        <v>#DIV/0!</v>
      </c>
      <c r="G11" s="73"/>
      <c r="H11" s="68" t="s">
        <v>532</v>
      </c>
      <c r="I11" s="69"/>
      <c r="J11" s="69"/>
      <c r="K11" s="69"/>
      <c r="L11" s="69"/>
      <c r="M11" s="85"/>
      <c r="N11" s="68" t="s">
        <v>202</v>
      </c>
      <c r="O11" s="89">
        <f t="shared" si="29"/>
        <v>0</v>
      </c>
      <c r="P11" s="89"/>
      <c r="Q11" s="89"/>
      <c r="R11" s="89"/>
      <c r="S11" s="124">
        <v>0</v>
      </c>
      <c r="T11" s="125">
        <f t="shared" si="30"/>
        <v>0</v>
      </c>
      <c r="U11" s="68" t="s">
        <v>464</v>
      </c>
      <c r="V11" s="115">
        <f>第7期!AO9</f>
        <v>0</v>
      </c>
      <c r="W11" s="115">
        <f>第7期!AO10</f>
        <v>0</v>
      </c>
      <c r="X11" s="115">
        <f>第7期!AO11</f>
        <v>0</v>
      </c>
      <c r="Y11" s="115">
        <f>第7期!AO12</f>
        <v>0</v>
      </c>
      <c r="Z11" s="74"/>
      <c r="AA11" s="73"/>
      <c r="AB11" s="151" t="s">
        <v>198</v>
      </c>
      <c r="AC11" s="153" t="e">
        <f t="shared" ref="AC11:AF14" si="31">B6-AD5</f>
        <v>#DIV/0!</v>
      </c>
      <c r="AD11" s="153" t="e">
        <f t="shared" si="31"/>
        <v>#DIV/0!</v>
      </c>
      <c r="AE11" s="153" t="e">
        <f t="shared" si="31"/>
        <v>#DIV/0!</v>
      </c>
      <c r="AF11" s="153" t="e">
        <f t="shared" si="31"/>
        <v>#DIV/0!</v>
      </c>
      <c r="AG11" s="169" t="str">
        <f>IF(AJ24="","未粘报表",IF(AND(V84=AQ9,W84=AQ10,X84=AQ11,Y84=AQ12,V85=AQ13,W85=AQ14,X85=AQ15,Y85=AQ16,V86=AQ17,W86=AQ18,X86=AQ19,Y86=AQ20,V87=AQ21,W87=AQ22,X87=AQ23,Y87=AQ24),"正确","错误"))</f>
        <v>未粘报表</v>
      </c>
      <c r="AH11" s="170" t="str">
        <f>IF(AJ24="","未粘报表",IF(INT(VLOOKUP(初期!$G$52,$AI$107:$AQ$126,7,0))=INT(F64),"现金正确","现金错误"))</f>
        <v>未粘报表</v>
      </c>
      <c r="AI11" s="164"/>
      <c r="AJ11" s="164"/>
      <c r="AK11" s="164"/>
      <c r="AL11" s="164">
        <f>X42</f>
        <v>0</v>
      </c>
      <c r="AM11" s="165"/>
      <c r="AN11" s="166"/>
      <c r="AO11" s="164"/>
      <c r="AP11" s="164"/>
      <c r="AQ11" s="186"/>
      <c r="AR11" s="103"/>
      <c r="AS11" s="103">
        <f t="shared" si="27"/>
        <v>0</v>
      </c>
      <c r="AT11" s="103"/>
      <c r="AU11" s="103"/>
      <c r="AV11" s="103"/>
      <c r="AW11" s="103"/>
      <c r="AZ11" s="193"/>
      <c r="BA11" s="196">
        <f t="shared" si="10"/>
        <v>0</v>
      </c>
      <c r="BB11" s="197">
        <f t="shared" si="11"/>
        <v>0</v>
      </c>
      <c r="BC11" s="197">
        <f t="shared" si="12"/>
        <v>0</v>
      </c>
      <c r="BD11" s="197">
        <f t="shared" si="13"/>
        <v>0</v>
      </c>
      <c r="BE11" s="197">
        <f t="shared" si="14"/>
        <v>0</v>
      </c>
      <c r="BF11" s="197">
        <f t="shared" si="15"/>
        <v>0</v>
      </c>
      <c r="BG11" s="197">
        <f t="shared" si="16"/>
        <v>0</v>
      </c>
      <c r="BH11" s="197">
        <f t="shared" si="17"/>
        <v>0</v>
      </c>
      <c r="BI11" s="197">
        <f t="shared" si="18"/>
        <v>0</v>
      </c>
      <c r="BJ11" s="197">
        <f t="shared" si="19"/>
        <v>0</v>
      </c>
      <c r="BK11" s="197">
        <f t="shared" si="20"/>
        <v>0</v>
      </c>
      <c r="BL11" s="197">
        <f t="shared" si="21"/>
        <v>0</v>
      </c>
      <c r="BM11" s="197">
        <f t="shared" si="22"/>
        <v>0</v>
      </c>
      <c r="BN11" s="197">
        <f t="shared" si="23"/>
        <v>0</v>
      </c>
      <c r="BO11" s="197">
        <f t="shared" si="24"/>
        <v>0</v>
      </c>
      <c r="BP11" s="197">
        <f t="shared" si="25"/>
        <v>0</v>
      </c>
      <c r="BQ11" s="197">
        <f t="shared" si="26"/>
        <v>0</v>
      </c>
      <c r="BR11" s="211"/>
      <c r="BS11" s="195">
        <f t="shared" si="0"/>
        <v>0</v>
      </c>
      <c r="BT11" s="201">
        <f t="shared" si="1"/>
        <v>0</v>
      </c>
      <c r="BU11" s="201">
        <f>第7期!AQ113*0.5</f>
        <v>0</v>
      </c>
      <c r="BV11" s="205" t="e">
        <f>AVERAGE(BT36:CI36)*初始化表!B$31</f>
        <v>#DIV/0!</v>
      </c>
      <c r="BW11" s="205" t="e">
        <f>$BT11*(AL113-BW$25)/BW$26*初始化表!B$30</f>
        <v>#DIV/0!</v>
      </c>
      <c r="BX11" s="205" t="e">
        <f>$BT11*(AM113-BX$25)/BX$26*初始化表!B$33</f>
        <v>#DIV/0!</v>
      </c>
      <c r="BY11" s="205" t="e">
        <f>$BT11*(AN113-BY$25)/BY$26*初始化表!B$32</f>
        <v>#DIV/0!</v>
      </c>
      <c r="BZ11" s="205" t="e">
        <f>$BT11*(AP113-BZ$25)/BZ$26*初始化表!B$34</f>
        <v>#DIV/0!</v>
      </c>
      <c r="CA11" s="205" t="e">
        <f>$BT$5*(AW113-CA$25)/CA$26*初始化表!B$36</f>
        <v>#DIV/0!</v>
      </c>
      <c r="CB11" s="205" t="e">
        <f t="shared" si="4"/>
        <v>#DIV/0!</v>
      </c>
      <c r="CC11" s="201">
        <f t="shared" si="5"/>
        <v>0</v>
      </c>
      <c r="CD11" s="229" t="e">
        <f t="shared" si="6"/>
        <v>#DIV/0!</v>
      </c>
      <c r="CE11" s="229">
        <f t="shared" si="7"/>
        <v>0</v>
      </c>
      <c r="CF11" s="229">
        <f t="shared" si="8"/>
        <v>0</v>
      </c>
      <c r="CG11" s="226"/>
      <c r="CH11" s="226"/>
      <c r="CI11" s="227"/>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row>
    <row r="12" s="61" customFormat="1" ht="16" customHeight="1" spans="1:119">
      <c r="A12" s="68" t="s">
        <v>464</v>
      </c>
      <c r="B12" s="71">
        <f>I63</f>
        <v>0</v>
      </c>
      <c r="C12" s="71">
        <f t="shared" ref="C12:E15" si="32">J63</f>
        <v>0</v>
      </c>
      <c r="D12" s="71">
        <f t="shared" si="32"/>
        <v>0</v>
      </c>
      <c r="E12" s="71">
        <f t="shared" si="32"/>
        <v>0</v>
      </c>
      <c r="F12" s="68" t="s">
        <v>292</v>
      </c>
      <c r="G12" s="73"/>
      <c r="H12" s="68" t="s">
        <v>533</v>
      </c>
      <c r="I12" s="68" t="s">
        <v>464</v>
      </c>
      <c r="J12" s="68" t="s">
        <v>465</v>
      </c>
      <c r="K12" s="68" t="s">
        <v>466</v>
      </c>
      <c r="L12" s="68" t="s">
        <v>468</v>
      </c>
      <c r="M12" s="85"/>
      <c r="N12" s="68" t="s">
        <v>206</v>
      </c>
      <c r="O12" s="89">
        <f t="shared" si="29"/>
        <v>0</v>
      </c>
      <c r="P12" s="89"/>
      <c r="Q12" s="89"/>
      <c r="R12" s="89"/>
      <c r="S12" s="124">
        <v>0</v>
      </c>
      <c r="T12" s="125">
        <f t="shared" si="30"/>
        <v>0</v>
      </c>
      <c r="U12" s="68" t="s">
        <v>465</v>
      </c>
      <c r="V12" s="115">
        <f>第7期!AO13</f>
        <v>0</v>
      </c>
      <c r="W12" s="115">
        <f>第7期!AO14</f>
        <v>0</v>
      </c>
      <c r="X12" s="115">
        <f>第7期!AO15</f>
        <v>0</v>
      </c>
      <c r="Y12" s="115">
        <f>第7期!AO16</f>
        <v>0</v>
      </c>
      <c r="Z12" s="74"/>
      <c r="AA12" s="73"/>
      <c r="AB12" s="151" t="s">
        <v>202</v>
      </c>
      <c r="AC12" s="153" t="e">
        <f t="shared" si="31"/>
        <v>#DIV/0!</v>
      </c>
      <c r="AD12" s="153" t="e">
        <f t="shared" si="31"/>
        <v>#DIV/0!</v>
      </c>
      <c r="AE12" s="153" t="e">
        <f t="shared" si="31"/>
        <v>#DIV/0!</v>
      </c>
      <c r="AF12" s="153" t="e">
        <f t="shared" si="31"/>
        <v>#DIV/0!</v>
      </c>
      <c r="AG12" s="167" t="s">
        <v>534</v>
      </c>
      <c r="AH12" s="168" t="s">
        <v>535</v>
      </c>
      <c r="AI12" s="164"/>
      <c r="AJ12" s="164"/>
      <c r="AK12" s="164"/>
      <c r="AL12" s="164">
        <f>Y42</f>
        <v>0</v>
      </c>
      <c r="AM12" s="165"/>
      <c r="AN12" s="166"/>
      <c r="AO12" s="164"/>
      <c r="AP12" s="164"/>
      <c r="AQ12" s="186"/>
      <c r="AR12" s="103">
        <f>SUM(AL9:AL12)</f>
        <v>0</v>
      </c>
      <c r="AS12" s="103">
        <f t="shared" si="27"/>
        <v>0</v>
      </c>
      <c r="AT12" s="103">
        <f>SUMIF(AS9:AS12,"&gt;=0",AS9:AS12)</f>
        <v>0</v>
      </c>
      <c r="AU12" s="103">
        <f>SUM(AO9:AO12)</f>
        <v>0</v>
      </c>
      <c r="AV12" s="103">
        <f>SUM(AP9:AP12)</f>
        <v>0</v>
      </c>
      <c r="AW12" s="103">
        <f>SUM(AQ9:AQ12)</f>
        <v>0</v>
      </c>
      <c r="AZ12" s="193"/>
      <c r="BA12" s="196">
        <f t="shared" si="10"/>
        <v>0</v>
      </c>
      <c r="BB12" s="197">
        <f t="shared" si="11"/>
        <v>0</v>
      </c>
      <c r="BC12" s="197">
        <f t="shared" si="12"/>
        <v>0</v>
      </c>
      <c r="BD12" s="197">
        <f t="shared" si="13"/>
        <v>0</v>
      </c>
      <c r="BE12" s="197">
        <f t="shared" si="14"/>
        <v>0</v>
      </c>
      <c r="BF12" s="197">
        <f t="shared" si="15"/>
        <v>0</v>
      </c>
      <c r="BG12" s="197">
        <f t="shared" si="16"/>
        <v>0</v>
      </c>
      <c r="BH12" s="197">
        <f t="shared" si="17"/>
        <v>0</v>
      </c>
      <c r="BI12" s="197">
        <f t="shared" si="18"/>
        <v>0</v>
      </c>
      <c r="BJ12" s="197">
        <f t="shared" si="19"/>
        <v>0</v>
      </c>
      <c r="BK12" s="197">
        <f t="shared" si="20"/>
        <v>0</v>
      </c>
      <c r="BL12" s="197">
        <f t="shared" si="21"/>
        <v>0</v>
      </c>
      <c r="BM12" s="197">
        <f t="shared" si="22"/>
        <v>0</v>
      </c>
      <c r="BN12" s="197">
        <f t="shared" si="23"/>
        <v>0</v>
      </c>
      <c r="BO12" s="197">
        <f t="shared" si="24"/>
        <v>0</v>
      </c>
      <c r="BP12" s="197">
        <f t="shared" si="25"/>
        <v>0</v>
      </c>
      <c r="BQ12" s="197">
        <f t="shared" si="26"/>
        <v>0</v>
      </c>
      <c r="BR12" s="211"/>
      <c r="BS12" s="195">
        <f t="shared" si="0"/>
        <v>0</v>
      </c>
      <c r="BT12" s="201">
        <f t="shared" si="1"/>
        <v>0</v>
      </c>
      <c r="BU12" s="201">
        <f>第7期!AQ114*0.5</f>
        <v>0</v>
      </c>
      <c r="BV12" s="205" t="e">
        <f>AVERAGE(BT37:CI37)*初始化表!B$31</f>
        <v>#DIV/0!</v>
      </c>
      <c r="BW12" s="205" t="e">
        <f>$BT12*(AL114-BW$25)/BW$26*初始化表!B$30</f>
        <v>#DIV/0!</v>
      </c>
      <c r="BX12" s="205" t="e">
        <f>$BT12*(AM114-BX$25)/BX$26*初始化表!B$33</f>
        <v>#DIV/0!</v>
      </c>
      <c r="BY12" s="205" t="e">
        <f>$BT12*(AN114-BY$25)/BY$26*初始化表!B$32</f>
        <v>#DIV/0!</v>
      </c>
      <c r="BZ12" s="205" t="e">
        <f>$BT12*(AP114-BZ$25)/BZ$26*初始化表!B$34</f>
        <v>#DIV/0!</v>
      </c>
      <c r="CA12" s="205" t="e">
        <f>$BT$5*(AW114-CA$25)/CA$26*初始化表!B$36</f>
        <v>#DIV/0!</v>
      </c>
      <c r="CB12" s="205" t="e">
        <f t="shared" si="4"/>
        <v>#DIV/0!</v>
      </c>
      <c r="CC12" s="201">
        <f t="shared" si="5"/>
        <v>0</v>
      </c>
      <c r="CD12" s="229" t="e">
        <f t="shared" si="6"/>
        <v>#DIV/0!</v>
      </c>
      <c r="CE12" s="229">
        <f t="shared" si="7"/>
        <v>0</v>
      </c>
      <c r="CF12" s="229">
        <f t="shared" si="8"/>
        <v>0</v>
      </c>
      <c r="CG12" s="226"/>
      <c r="CH12" s="226"/>
      <c r="CI12" s="231"/>
      <c r="CJ12" s="231"/>
      <c r="CK12" s="231"/>
      <c r="CL12" s="231"/>
      <c r="CM12" s="231"/>
      <c r="CN12" s="231"/>
      <c r="CO12" s="231"/>
      <c r="CP12" s="231"/>
      <c r="CQ12" s="231"/>
      <c r="CR12" s="231"/>
      <c r="CS12" s="231"/>
      <c r="CT12" s="231"/>
      <c r="CU12" s="231"/>
      <c r="CV12" s="231"/>
      <c r="CW12" s="231"/>
      <c r="CX12" s="231"/>
      <c r="CY12" s="228"/>
      <c r="CZ12" s="228"/>
      <c r="DA12" s="228"/>
      <c r="DB12" s="228"/>
      <c r="DC12" s="228"/>
      <c r="DD12" s="228"/>
      <c r="DE12" s="228"/>
      <c r="DF12" s="228"/>
      <c r="DG12" s="228"/>
      <c r="DH12" s="228"/>
      <c r="DI12" s="228"/>
      <c r="DJ12" s="228"/>
      <c r="DK12" s="228"/>
      <c r="DL12" s="228"/>
      <c r="DM12" s="228"/>
      <c r="DN12" s="228"/>
      <c r="DO12" s="228"/>
    </row>
    <row r="13" s="61" customFormat="1" ht="16" customHeight="1" spans="1:119">
      <c r="A13" s="68" t="s">
        <v>465</v>
      </c>
      <c r="B13" s="71">
        <f t="shared" ref="B13:B15" si="33">I64</f>
        <v>0</v>
      </c>
      <c r="C13" s="71">
        <f t="shared" si="32"/>
        <v>0</v>
      </c>
      <c r="D13" s="71">
        <f t="shared" si="32"/>
        <v>0</v>
      </c>
      <c r="E13" s="71">
        <f t="shared" si="32"/>
        <v>0</v>
      </c>
      <c r="F13" s="76" t="e">
        <f>E60</f>
        <v>#DIV/0!</v>
      </c>
      <c r="G13" s="73"/>
      <c r="H13" s="68" t="s">
        <v>536</v>
      </c>
      <c r="I13" s="90"/>
      <c r="J13" s="90"/>
      <c r="K13" s="90"/>
      <c r="L13" s="90"/>
      <c r="M13" s="85"/>
      <c r="N13" s="68" t="s">
        <v>208</v>
      </c>
      <c r="O13" s="89">
        <f t="shared" si="29"/>
        <v>0</v>
      </c>
      <c r="P13" s="89"/>
      <c r="Q13" s="89"/>
      <c r="R13" s="89"/>
      <c r="S13" s="124">
        <v>0</v>
      </c>
      <c r="T13" s="125">
        <f t="shared" si="30"/>
        <v>0</v>
      </c>
      <c r="U13" s="68" t="s">
        <v>466</v>
      </c>
      <c r="V13" s="115">
        <f>第7期!AO17</f>
        <v>0</v>
      </c>
      <c r="W13" s="115">
        <f>第7期!AO18</f>
        <v>0</v>
      </c>
      <c r="X13" s="115">
        <f>第7期!AO19</f>
        <v>0</v>
      </c>
      <c r="Y13" s="115">
        <f>第7期!AO20</f>
        <v>0</v>
      </c>
      <c r="Z13" s="74"/>
      <c r="AA13" s="73"/>
      <c r="AB13" s="151" t="s">
        <v>206</v>
      </c>
      <c r="AC13" s="153" t="e">
        <f t="shared" si="31"/>
        <v>#DIV/0!</v>
      </c>
      <c r="AD13" s="153" t="e">
        <f t="shared" si="31"/>
        <v>#DIV/0!</v>
      </c>
      <c r="AE13" s="153" t="e">
        <f t="shared" si="31"/>
        <v>#DIV/0!</v>
      </c>
      <c r="AF13" s="153" t="e">
        <f t="shared" si="31"/>
        <v>#DIV/0!</v>
      </c>
      <c r="AG13" s="169" t="str">
        <f>IF(AJ24="","未粘报表",IF(INT(VLOOKUP(初期!$G$52,$AI$107:$AQ$126,3,0))=INT($E$60),"成本正确","成本错误"))</f>
        <v>未粘报表</v>
      </c>
      <c r="AH13" s="170" t="str">
        <f>IF(AJ24="","未粘报表",IF(INT(VLOOKUP(初期!$G$52,$AI$107:$AQ$126,6,0))=INT($F$81),"分红正确","分红错误"))</f>
        <v>未粘报表</v>
      </c>
      <c r="AI13" s="164"/>
      <c r="AJ13" s="164"/>
      <c r="AK13" s="164"/>
      <c r="AL13" s="164">
        <f>V43</f>
        <v>0</v>
      </c>
      <c r="AM13" s="165"/>
      <c r="AN13" s="166"/>
      <c r="AO13" s="164"/>
      <c r="AP13" s="164"/>
      <c r="AQ13" s="186"/>
      <c r="AR13" s="103"/>
      <c r="AS13" s="103">
        <f t="shared" si="27"/>
        <v>0</v>
      </c>
      <c r="AT13" s="103"/>
      <c r="AU13" s="103"/>
      <c r="AV13" s="103"/>
      <c r="AW13" s="103"/>
      <c r="AZ13" s="193"/>
      <c r="BA13" s="196">
        <f t="shared" si="10"/>
        <v>0</v>
      </c>
      <c r="BB13" s="197">
        <f t="shared" si="11"/>
        <v>0</v>
      </c>
      <c r="BC13" s="197">
        <f t="shared" si="12"/>
        <v>0</v>
      </c>
      <c r="BD13" s="197">
        <f t="shared" si="13"/>
        <v>0</v>
      </c>
      <c r="BE13" s="197">
        <f t="shared" si="14"/>
        <v>0</v>
      </c>
      <c r="BF13" s="197">
        <f t="shared" si="15"/>
        <v>0</v>
      </c>
      <c r="BG13" s="197">
        <f t="shared" si="16"/>
        <v>0</v>
      </c>
      <c r="BH13" s="197">
        <f t="shared" si="17"/>
        <v>0</v>
      </c>
      <c r="BI13" s="197">
        <f t="shared" si="18"/>
        <v>0</v>
      </c>
      <c r="BJ13" s="197">
        <f t="shared" si="19"/>
        <v>0</v>
      </c>
      <c r="BK13" s="197">
        <f t="shared" si="20"/>
        <v>0</v>
      </c>
      <c r="BL13" s="197">
        <f t="shared" si="21"/>
        <v>0</v>
      </c>
      <c r="BM13" s="197">
        <f t="shared" si="22"/>
        <v>0</v>
      </c>
      <c r="BN13" s="197">
        <f t="shared" si="23"/>
        <v>0</v>
      </c>
      <c r="BO13" s="197">
        <f t="shared" si="24"/>
        <v>0</v>
      </c>
      <c r="BP13" s="197">
        <f t="shared" si="25"/>
        <v>0</v>
      </c>
      <c r="BQ13" s="197">
        <f t="shared" si="26"/>
        <v>0</v>
      </c>
      <c r="BR13" s="211"/>
      <c r="BS13" s="195">
        <f t="shared" si="0"/>
        <v>0</v>
      </c>
      <c r="BT13" s="201">
        <f t="shared" si="1"/>
        <v>0</v>
      </c>
      <c r="BU13" s="201">
        <f>第7期!AQ115*0.5</f>
        <v>0</v>
      </c>
      <c r="BV13" s="205" t="e">
        <f>AVERAGE(BT38:CI38)*初始化表!B$31</f>
        <v>#DIV/0!</v>
      </c>
      <c r="BW13" s="205" t="e">
        <f>$BT13*(AL115-BW$25)/BW$26*初始化表!B$30</f>
        <v>#DIV/0!</v>
      </c>
      <c r="BX13" s="205" t="e">
        <f>$BT13*(AM115-BX$25)/BX$26*初始化表!B$33</f>
        <v>#DIV/0!</v>
      </c>
      <c r="BY13" s="205" t="e">
        <f>$BT13*(AN115-BY$25)/BY$26*初始化表!B$32</f>
        <v>#DIV/0!</v>
      </c>
      <c r="BZ13" s="205" t="e">
        <f>$BT13*(AP115-BZ$25)/BZ$26*初始化表!B$34</f>
        <v>#DIV/0!</v>
      </c>
      <c r="CA13" s="205" t="e">
        <f>$BT$5*(AW115-CA$25)/CA$26*初始化表!B$36</f>
        <v>#DIV/0!</v>
      </c>
      <c r="CB13" s="205" t="e">
        <f t="shared" si="4"/>
        <v>#DIV/0!</v>
      </c>
      <c r="CC13" s="201">
        <f t="shared" si="5"/>
        <v>0</v>
      </c>
      <c r="CD13" s="229" t="e">
        <f t="shared" si="6"/>
        <v>#DIV/0!</v>
      </c>
      <c r="CE13" s="229">
        <f t="shared" si="7"/>
        <v>0</v>
      </c>
      <c r="CF13" s="229">
        <f t="shared" si="8"/>
        <v>0</v>
      </c>
      <c r="CG13" s="226"/>
      <c r="CH13" s="226"/>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row>
    <row r="14" s="61" customFormat="1" ht="16" customHeight="1" spans="1:119">
      <c r="A14" s="68" t="s">
        <v>466</v>
      </c>
      <c r="B14" s="71">
        <f t="shared" si="33"/>
        <v>0</v>
      </c>
      <c r="C14" s="71">
        <f t="shared" si="32"/>
        <v>0</v>
      </c>
      <c r="D14" s="71">
        <f t="shared" si="32"/>
        <v>0</v>
      </c>
      <c r="E14" s="71">
        <f t="shared" si="32"/>
        <v>0</v>
      </c>
      <c r="F14" s="68" t="s">
        <v>296</v>
      </c>
      <c r="G14" s="73"/>
      <c r="H14" s="68" t="s">
        <v>537</v>
      </c>
      <c r="I14" s="87" t="e">
        <f>2*(I13*初始化表!E18+J13*初始化表!F18+K13*初始化表!G18+初始化表!H18/初始化表!H17*(L13*初始化表!H17-1/5*(I13*初始化表!E17+J13*初始化表!F17+K13*初始化表!G17+L13*初始化表!H17)))/((I13*初始化表!E17+J13*初始化表!F17+K13*初始化表!G17+L13*初始化表!H17)*4/5)</f>
        <v>#DIV/0!</v>
      </c>
      <c r="J14" s="68" t="s">
        <v>538</v>
      </c>
      <c r="K14" s="68" t="s">
        <v>539</v>
      </c>
      <c r="L14" s="68" t="s">
        <v>540</v>
      </c>
      <c r="M14" s="85"/>
      <c r="N14" s="68" t="s">
        <v>541</v>
      </c>
      <c r="O14" s="68" t="s">
        <v>459</v>
      </c>
      <c r="P14" s="68" t="s">
        <v>460</v>
      </c>
      <c r="Q14" s="68" t="s">
        <v>461</v>
      </c>
      <c r="R14" s="68" t="s">
        <v>462</v>
      </c>
      <c r="S14" s="121"/>
      <c r="T14" s="120"/>
      <c r="U14" s="68" t="s">
        <v>468</v>
      </c>
      <c r="V14" s="115">
        <f>第7期!AO21</f>
        <v>0</v>
      </c>
      <c r="W14" s="115">
        <f>第7期!AO22</f>
        <v>0</v>
      </c>
      <c r="X14" s="115">
        <f>第7期!AO23</f>
        <v>0</v>
      </c>
      <c r="Y14" s="115">
        <f>第7期!AO24</f>
        <v>0</v>
      </c>
      <c r="Z14" s="74"/>
      <c r="AA14" s="73"/>
      <c r="AB14" s="151" t="s">
        <v>208</v>
      </c>
      <c r="AC14" s="153" t="e">
        <f t="shared" si="31"/>
        <v>#DIV/0!</v>
      </c>
      <c r="AD14" s="153" t="e">
        <f t="shared" si="31"/>
        <v>#DIV/0!</v>
      </c>
      <c r="AE14" s="153" t="e">
        <f t="shared" si="31"/>
        <v>#DIV/0!</v>
      </c>
      <c r="AF14" s="153" t="e">
        <f t="shared" si="31"/>
        <v>#DIV/0!</v>
      </c>
      <c r="AG14" s="74"/>
      <c r="AH14" s="73"/>
      <c r="AI14" s="164"/>
      <c r="AJ14" s="164"/>
      <c r="AK14" s="164"/>
      <c r="AL14" s="164">
        <f>W43</f>
        <v>0</v>
      </c>
      <c r="AM14" s="165"/>
      <c r="AN14" s="166"/>
      <c r="AO14" s="164"/>
      <c r="AP14" s="164"/>
      <c r="AQ14" s="186"/>
      <c r="AR14" s="103"/>
      <c r="AS14" s="103">
        <f t="shared" si="27"/>
        <v>0</v>
      </c>
      <c r="AT14" s="103"/>
      <c r="AU14" s="103"/>
      <c r="AV14" s="103"/>
      <c r="AW14" s="103"/>
      <c r="AZ14" s="193"/>
      <c r="BA14" s="196">
        <f t="shared" si="10"/>
        <v>0</v>
      </c>
      <c r="BB14" s="197">
        <f t="shared" si="11"/>
        <v>0</v>
      </c>
      <c r="BC14" s="197">
        <f t="shared" si="12"/>
        <v>0</v>
      </c>
      <c r="BD14" s="197">
        <f t="shared" si="13"/>
        <v>0</v>
      </c>
      <c r="BE14" s="197">
        <f t="shared" si="14"/>
        <v>0</v>
      </c>
      <c r="BF14" s="197">
        <f t="shared" si="15"/>
        <v>0</v>
      </c>
      <c r="BG14" s="197">
        <f t="shared" si="16"/>
        <v>0</v>
      </c>
      <c r="BH14" s="197">
        <f t="shared" si="17"/>
        <v>0</v>
      </c>
      <c r="BI14" s="197">
        <f t="shared" si="18"/>
        <v>0</v>
      </c>
      <c r="BJ14" s="197">
        <f t="shared" si="19"/>
        <v>0</v>
      </c>
      <c r="BK14" s="197">
        <f t="shared" si="20"/>
        <v>0</v>
      </c>
      <c r="BL14" s="197">
        <f t="shared" si="21"/>
        <v>0</v>
      </c>
      <c r="BM14" s="197">
        <f t="shared" si="22"/>
        <v>0</v>
      </c>
      <c r="BN14" s="197">
        <f t="shared" si="23"/>
        <v>0</v>
      </c>
      <c r="BO14" s="197">
        <f t="shared" si="24"/>
        <v>0</v>
      </c>
      <c r="BP14" s="197">
        <f t="shared" si="25"/>
        <v>0</v>
      </c>
      <c r="BQ14" s="197">
        <f t="shared" si="26"/>
        <v>0</v>
      </c>
      <c r="BR14" s="211"/>
      <c r="BS14" s="195">
        <f t="shared" si="0"/>
        <v>0</v>
      </c>
      <c r="BT14" s="201">
        <f t="shared" si="1"/>
        <v>0</v>
      </c>
      <c r="BU14" s="201">
        <f>第7期!AQ116*0.5</f>
        <v>0</v>
      </c>
      <c r="BV14" s="205" t="e">
        <f>AVERAGE(BT39:CI39)*初始化表!B$31</f>
        <v>#DIV/0!</v>
      </c>
      <c r="BW14" s="205" t="e">
        <f>$BT14*(AL116-BW$25)/BW$26*初始化表!B$30</f>
        <v>#DIV/0!</v>
      </c>
      <c r="BX14" s="205" t="e">
        <f>$BT14*(AM116-BX$25)/BX$26*初始化表!B$33</f>
        <v>#DIV/0!</v>
      </c>
      <c r="BY14" s="205" t="e">
        <f>$BT14*(AN116-BY$25)/BY$26*初始化表!B$32</f>
        <v>#DIV/0!</v>
      </c>
      <c r="BZ14" s="205" t="e">
        <f>$BT14*(AP116-BZ$25)/BZ$26*初始化表!B$34</f>
        <v>#DIV/0!</v>
      </c>
      <c r="CA14" s="205" t="e">
        <f>$BT$5*(AW116-CA$25)/CA$26*初始化表!B$36</f>
        <v>#DIV/0!</v>
      </c>
      <c r="CB14" s="205" t="e">
        <f t="shared" si="4"/>
        <v>#DIV/0!</v>
      </c>
      <c r="CC14" s="201">
        <f t="shared" si="5"/>
        <v>0</v>
      </c>
      <c r="CD14" s="229" t="e">
        <f t="shared" si="6"/>
        <v>#DIV/0!</v>
      </c>
      <c r="CE14" s="229">
        <f t="shared" si="7"/>
        <v>0</v>
      </c>
      <c r="CF14" s="229">
        <f t="shared" si="8"/>
        <v>0</v>
      </c>
      <c r="CG14" s="226"/>
      <c r="CH14" s="226"/>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row>
    <row r="15" s="61" customFormat="1" ht="16" customHeight="1" spans="1:119">
      <c r="A15" s="68" t="s">
        <v>468</v>
      </c>
      <c r="B15" s="71">
        <f t="shared" si="33"/>
        <v>0</v>
      </c>
      <c r="C15" s="71">
        <f t="shared" si="32"/>
        <v>0</v>
      </c>
      <c r="D15" s="71">
        <f t="shared" si="32"/>
        <v>0</v>
      </c>
      <c r="E15" s="71">
        <f t="shared" si="32"/>
        <v>0</v>
      </c>
      <c r="F15" s="76" t="e">
        <f>F64</f>
        <v>#DIV/0!</v>
      </c>
      <c r="G15" s="73"/>
      <c r="H15" s="68" t="s">
        <v>542</v>
      </c>
      <c r="I15" s="87" t="e">
        <f>第7期!H17/第7期!N49</f>
        <v>#DIV/0!</v>
      </c>
      <c r="J15" s="87" t="e">
        <f>N49*I14-H17</f>
        <v>#DIV/0!</v>
      </c>
      <c r="K15" s="87" t="e">
        <f>N49*I15-H17</f>
        <v>#DIV/0!</v>
      </c>
      <c r="L15" s="77" t="e">
        <f>C22+I15*(O49-N49)</f>
        <v>#DIV/0!</v>
      </c>
      <c r="M15" s="85"/>
      <c r="N15" s="68" t="s">
        <v>198</v>
      </c>
      <c r="O15" s="71" t="e">
        <f t="shared" ref="O15:R16" si="34">INT((1+O10+IF(V42&gt;V17,(V17-V42)/V17/15,(V17-V42)/V17/10))*V23)</f>
        <v>#DIV/0!</v>
      </c>
      <c r="P15" s="71" t="e">
        <f t="shared" si="34"/>
        <v>#DIV/0!</v>
      </c>
      <c r="Q15" s="71" t="e">
        <f t="shared" si="34"/>
        <v>#DIV/0!</v>
      </c>
      <c r="R15" s="71" t="e">
        <f t="shared" si="34"/>
        <v>#DIV/0!</v>
      </c>
      <c r="S15" s="126"/>
      <c r="T15" s="120"/>
      <c r="U15" s="123"/>
      <c r="V15" s="74"/>
      <c r="W15" s="74"/>
      <c r="X15" s="74"/>
      <c r="Y15" s="74"/>
      <c r="Z15" s="74"/>
      <c r="AA15" s="73"/>
      <c r="AB15" s="155"/>
      <c r="AC15" s="155"/>
      <c r="AD15" s="155"/>
      <c r="AE15" s="155"/>
      <c r="AF15" s="155"/>
      <c r="AG15" s="155"/>
      <c r="AH15" s="73"/>
      <c r="AI15" s="164"/>
      <c r="AJ15" s="164"/>
      <c r="AK15" s="164"/>
      <c r="AL15" s="164">
        <f>X43</f>
        <v>0</v>
      </c>
      <c r="AM15" s="165"/>
      <c r="AN15" s="166"/>
      <c r="AO15" s="164"/>
      <c r="AP15" s="164"/>
      <c r="AQ15" s="186"/>
      <c r="AR15" s="103"/>
      <c r="AS15" s="103">
        <f t="shared" si="27"/>
        <v>0</v>
      </c>
      <c r="AT15" s="103"/>
      <c r="AU15" s="103"/>
      <c r="AV15" s="103"/>
      <c r="AW15" s="103"/>
      <c r="AZ15" s="193"/>
      <c r="BA15" s="196">
        <f t="shared" si="10"/>
        <v>0</v>
      </c>
      <c r="BB15" s="197">
        <f t="shared" si="11"/>
        <v>0</v>
      </c>
      <c r="BC15" s="197">
        <f t="shared" si="12"/>
        <v>0</v>
      </c>
      <c r="BD15" s="197">
        <f t="shared" si="13"/>
        <v>0</v>
      </c>
      <c r="BE15" s="197">
        <f t="shared" si="14"/>
        <v>0</v>
      </c>
      <c r="BF15" s="197">
        <f t="shared" si="15"/>
        <v>0</v>
      </c>
      <c r="BG15" s="197">
        <f t="shared" si="16"/>
        <v>0</v>
      </c>
      <c r="BH15" s="197">
        <f t="shared" si="17"/>
        <v>0</v>
      </c>
      <c r="BI15" s="197">
        <f t="shared" si="18"/>
        <v>0</v>
      </c>
      <c r="BJ15" s="197">
        <f t="shared" si="19"/>
        <v>0</v>
      </c>
      <c r="BK15" s="197">
        <f t="shared" si="20"/>
        <v>0</v>
      </c>
      <c r="BL15" s="197">
        <f t="shared" si="21"/>
        <v>0</v>
      </c>
      <c r="BM15" s="197">
        <f t="shared" si="22"/>
        <v>0</v>
      </c>
      <c r="BN15" s="197">
        <f t="shared" si="23"/>
        <v>0</v>
      </c>
      <c r="BO15" s="197">
        <f t="shared" si="24"/>
        <v>0</v>
      </c>
      <c r="BP15" s="197">
        <f t="shared" si="25"/>
        <v>0</v>
      </c>
      <c r="BQ15" s="197">
        <f t="shared" si="26"/>
        <v>0</v>
      </c>
      <c r="BR15" s="211"/>
      <c r="BS15" s="195">
        <f t="shared" si="0"/>
        <v>0</v>
      </c>
      <c r="BT15" s="201">
        <f t="shared" si="1"/>
        <v>0</v>
      </c>
      <c r="BU15" s="201">
        <f>第7期!AQ117*0.5</f>
        <v>0</v>
      </c>
      <c r="BV15" s="205" t="e">
        <f>AVERAGE(BT40:CI40)*初始化表!B$31</f>
        <v>#DIV/0!</v>
      </c>
      <c r="BW15" s="205" t="e">
        <f>$BT15*(AL117-BW$25)/BW$26*初始化表!B$30</f>
        <v>#DIV/0!</v>
      </c>
      <c r="BX15" s="205" t="e">
        <f>$BT15*(AM117-BX$25)/BX$26*初始化表!B$33</f>
        <v>#DIV/0!</v>
      </c>
      <c r="BY15" s="205" t="e">
        <f>$BT15*(AN117-BY$25)/BY$26*初始化表!B$32</f>
        <v>#DIV/0!</v>
      </c>
      <c r="BZ15" s="205" t="e">
        <f>$BT15*(AP117-BZ$25)/BZ$26*初始化表!B$34</f>
        <v>#DIV/0!</v>
      </c>
      <c r="CA15" s="205" t="e">
        <f>$BT$5*(AW117-CA$25)/CA$26*初始化表!B$36</f>
        <v>#DIV/0!</v>
      </c>
      <c r="CB15" s="205" t="e">
        <f t="shared" si="4"/>
        <v>#DIV/0!</v>
      </c>
      <c r="CC15" s="201">
        <f t="shared" si="5"/>
        <v>0</v>
      </c>
      <c r="CD15" s="229" t="e">
        <f t="shared" si="6"/>
        <v>#DIV/0!</v>
      </c>
      <c r="CE15" s="229">
        <f t="shared" si="7"/>
        <v>0</v>
      </c>
      <c r="CF15" s="229">
        <f t="shared" si="8"/>
        <v>0</v>
      </c>
      <c r="CG15" s="226"/>
      <c r="CH15" s="226"/>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row>
    <row r="16" s="61" customFormat="1" ht="16" customHeight="1" spans="1:119">
      <c r="A16" s="68" t="s">
        <v>298</v>
      </c>
      <c r="B16" s="68" t="s">
        <v>103</v>
      </c>
      <c r="C16" s="68" t="s">
        <v>299</v>
      </c>
      <c r="D16" s="68" t="s">
        <v>104</v>
      </c>
      <c r="E16" s="68" t="s">
        <v>300</v>
      </c>
      <c r="F16" s="68" t="s">
        <v>110</v>
      </c>
      <c r="G16" s="73"/>
      <c r="H16" s="68" t="s">
        <v>543</v>
      </c>
      <c r="I16" s="68" t="s">
        <v>544</v>
      </c>
      <c r="J16" s="68" t="s">
        <v>545</v>
      </c>
      <c r="K16" s="68" t="s">
        <v>546</v>
      </c>
      <c r="L16" s="68" t="s">
        <v>547</v>
      </c>
      <c r="M16" s="85"/>
      <c r="N16" s="68" t="s">
        <v>202</v>
      </c>
      <c r="O16" s="71" t="e">
        <f t="shared" si="34"/>
        <v>#DIV/0!</v>
      </c>
      <c r="P16" s="71" t="e">
        <f t="shared" si="34"/>
        <v>#DIV/0!</v>
      </c>
      <c r="Q16" s="71" t="e">
        <f t="shared" si="34"/>
        <v>#DIV/0!</v>
      </c>
      <c r="R16" s="71" t="e">
        <f t="shared" si="34"/>
        <v>#DIV/0!</v>
      </c>
      <c r="S16" s="126"/>
      <c r="T16" s="120"/>
      <c r="U16" s="68" t="s">
        <v>548</v>
      </c>
      <c r="V16" s="68" t="s">
        <v>459</v>
      </c>
      <c r="W16" s="68" t="s">
        <v>460</v>
      </c>
      <c r="X16" s="68" t="s">
        <v>461</v>
      </c>
      <c r="Y16" s="68" t="s">
        <v>462</v>
      </c>
      <c r="Z16" s="68" t="s">
        <v>549</v>
      </c>
      <c r="AA16" s="73"/>
      <c r="AB16" s="151" t="s">
        <v>550</v>
      </c>
      <c r="AC16" s="151" t="s">
        <v>459</v>
      </c>
      <c r="AD16" s="151" t="s">
        <v>460</v>
      </c>
      <c r="AE16" s="151" t="s">
        <v>461</v>
      </c>
      <c r="AF16" s="151" t="s">
        <v>462</v>
      </c>
      <c r="AG16" s="74"/>
      <c r="AH16" s="73"/>
      <c r="AI16" s="164"/>
      <c r="AJ16" s="164"/>
      <c r="AK16" s="164"/>
      <c r="AL16" s="164">
        <f>Y43</f>
        <v>0</v>
      </c>
      <c r="AM16" s="165"/>
      <c r="AN16" s="166"/>
      <c r="AO16" s="164"/>
      <c r="AP16" s="164"/>
      <c r="AQ16" s="186"/>
      <c r="AR16" s="103">
        <f>SUM(AL13:AL16)</f>
        <v>0</v>
      </c>
      <c r="AS16" s="103">
        <f t="shared" si="27"/>
        <v>0</v>
      </c>
      <c r="AT16" s="103">
        <f>SUMIF(AS13:AS16,"&gt;=0",AS13:AS16)</f>
        <v>0</v>
      </c>
      <c r="AU16" s="103">
        <f>SUM(AO13:AO16)</f>
        <v>0</v>
      </c>
      <c r="AV16" s="103">
        <f>SUM(AP13:AP16)</f>
        <v>0</v>
      </c>
      <c r="AW16" s="103">
        <f>SUM(AQ13:AQ16)</f>
        <v>0</v>
      </c>
      <c r="AZ16" s="193"/>
      <c r="BA16" s="196">
        <f t="shared" si="10"/>
        <v>0</v>
      </c>
      <c r="BB16" s="197">
        <f t="shared" si="11"/>
        <v>0</v>
      </c>
      <c r="BC16" s="197">
        <f t="shared" si="12"/>
        <v>0</v>
      </c>
      <c r="BD16" s="197">
        <f t="shared" si="13"/>
        <v>0</v>
      </c>
      <c r="BE16" s="197">
        <f t="shared" si="14"/>
        <v>0</v>
      </c>
      <c r="BF16" s="197">
        <f t="shared" si="15"/>
        <v>0</v>
      </c>
      <c r="BG16" s="197">
        <f t="shared" si="16"/>
        <v>0</v>
      </c>
      <c r="BH16" s="197">
        <f t="shared" si="17"/>
        <v>0</v>
      </c>
      <c r="BI16" s="197">
        <f t="shared" si="18"/>
        <v>0</v>
      </c>
      <c r="BJ16" s="197">
        <f t="shared" si="19"/>
        <v>0</v>
      </c>
      <c r="BK16" s="197">
        <f t="shared" si="20"/>
        <v>0</v>
      </c>
      <c r="BL16" s="197">
        <f t="shared" si="21"/>
        <v>0</v>
      </c>
      <c r="BM16" s="197">
        <f t="shared" si="22"/>
        <v>0</v>
      </c>
      <c r="BN16" s="197">
        <f t="shared" si="23"/>
        <v>0</v>
      </c>
      <c r="BO16" s="197">
        <f t="shared" si="24"/>
        <v>0</v>
      </c>
      <c r="BP16" s="197">
        <f t="shared" si="25"/>
        <v>0</v>
      </c>
      <c r="BQ16" s="197">
        <f t="shared" si="26"/>
        <v>0</v>
      </c>
      <c r="BR16" s="211"/>
      <c r="BS16" s="195">
        <f t="shared" si="0"/>
        <v>0</v>
      </c>
      <c r="BT16" s="201">
        <f t="shared" si="1"/>
        <v>0</v>
      </c>
      <c r="BU16" s="201">
        <f>第7期!AQ118*0.5</f>
        <v>0</v>
      </c>
      <c r="BV16" s="205" t="e">
        <f>AVERAGE(BT41:CI41)*初始化表!B$31</f>
        <v>#DIV/0!</v>
      </c>
      <c r="BW16" s="205" t="e">
        <f>$BT16*(AL118-BW$25)/BW$26*初始化表!B$30</f>
        <v>#DIV/0!</v>
      </c>
      <c r="BX16" s="205" t="e">
        <f>$BT16*(AM118-BX$25)/BX$26*初始化表!B$33</f>
        <v>#DIV/0!</v>
      </c>
      <c r="BY16" s="205" t="e">
        <f>$BT16*(AN118-BY$25)/BY$26*初始化表!B$32</f>
        <v>#DIV/0!</v>
      </c>
      <c r="BZ16" s="205" t="e">
        <f>$BT16*(AP118-BZ$25)/BZ$26*初始化表!B$34</f>
        <v>#DIV/0!</v>
      </c>
      <c r="CA16" s="205" t="e">
        <f>$BT$5*(AW118-CA$25)/CA$26*初始化表!B$36</f>
        <v>#DIV/0!</v>
      </c>
      <c r="CB16" s="205" t="e">
        <f t="shared" si="4"/>
        <v>#DIV/0!</v>
      </c>
      <c r="CC16" s="201">
        <f t="shared" si="5"/>
        <v>0</v>
      </c>
      <c r="CD16" s="229" t="e">
        <f t="shared" si="6"/>
        <v>#DIV/0!</v>
      </c>
      <c r="CE16" s="229">
        <f t="shared" si="7"/>
        <v>0</v>
      </c>
      <c r="CF16" s="229">
        <f t="shared" si="8"/>
        <v>0</v>
      </c>
      <c r="CG16" s="226"/>
      <c r="CH16" s="226"/>
      <c r="CI16" s="227"/>
      <c r="CJ16" s="228"/>
      <c r="CK16" s="228"/>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row>
    <row r="17" s="61" customFormat="1" ht="16" customHeight="1" spans="1:119">
      <c r="A17" s="68" t="s">
        <v>464</v>
      </c>
      <c r="B17" s="71">
        <f>I25</f>
        <v>0</v>
      </c>
      <c r="C17" s="71">
        <f t="shared" ref="C17:E20" si="35">J25</f>
        <v>0</v>
      </c>
      <c r="D17" s="71">
        <f t="shared" si="35"/>
        <v>0</v>
      </c>
      <c r="E17" s="71">
        <f t="shared" si="35"/>
        <v>0</v>
      </c>
      <c r="F17" s="72">
        <f>J6</f>
        <v>0</v>
      </c>
      <c r="G17" s="73"/>
      <c r="H17" s="77">
        <f>第7期!F68</f>
        <v>0</v>
      </c>
      <c r="I17" s="77">
        <f>INT(0.5*H17)</f>
        <v>0</v>
      </c>
      <c r="J17" s="77">
        <f>IF(初始化表!B1=1,INT(3%*H17),INT(3%*H17+0.99))</f>
        <v>0</v>
      </c>
      <c r="K17" s="77">
        <f>INT(0.1*H17)</f>
        <v>0</v>
      </c>
      <c r="L17" s="77">
        <f>H17+B22-C22</f>
        <v>0</v>
      </c>
      <c r="M17" s="85"/>
      <c r="N17" s="68" t="s">
        <v>206</v>
      </c>
      <c r="O17" s="71" t="e">
        <f t="shared" ref="O17:R18" si="36">INT((1+O12+IF(V44&gt;V19,(V19-V44)/V19/20,(V19-V44)/V19/8))*V25)</f>
        <v>#DIV/0!</v>
      </c>
      <c r="P17" s="71" t="e">
        <f t="shared" si="36"/>
        <v>#DIV/0!</v>
      </c>
      <c r="Q17" s="71" t="e">
        <f t="shared" si="36"/>
        <v>#DIV/0!</v>
      </c>
      <c r="R17" s="71" t="e">
        <f t="shared" si="36"/>
        <v>#DIV/0!</v>
      </c>
      <c r="S17" s="126"/>
      <c r="T17" s="120"/>
      <c r="U17" s="68" t="s">
        <v>464</v>
      </c>
      <c r="V17" s="115">
        <f>第7期!AL9</f>
        <v>0</v>
      </c>
      <c r="W17" s="115">
        <f>第7期!AL10</f>
        <v>0</v>
      </c>
      <c r="X17" s="115">
        <f>第7期!AL11</f>
        <v>0</v>
      </c>
      <c r="Y17" s="115">
        <f>第7期!AL12</f>
        <v>0</v>
      </c>
      <c r="Z17" s="115">
        <f>SUM(V17:Y17)</f>
        <v>0</v>
      </c>
      <c r="AA17" s="73"/>
      <c r="AB17" s="151" t="s">
        <v>198</v>
      </c>
      <c r="AC17" s="156" t="e">
        <f>AC11/初始化表!$E$18</f>
        <v>#DIV/0!</v>
      </c>
      <c r="AD17" s="156" t="e">
        <f>AD11/初始化表!$E$18</f>
        <v>#DIV/0!</v>
      </c>
      <c r="AE17" s="156" t="e">
        <f>AE11/初始化表!$E$18</f>
        <v>#DIV/0!</v>
      </c>
      <c r="AF17" s="156" t="e">
        <f>AF11/初始化表!$E$18</f>
        <v>#DIV/0!</v>
      </c>
      <c r="AG17" s="74"/>
      <c r="AH17" s="73"/>
      <c r="AI17" s="164"/>
      <c r="AJ17" s="164"/>
      <c r="AK17" s="164"/>
      <c r="AL17" s="164">
        <f>V44</f>
        <v>0</v>
      </c>
      <c r="AM17" s="165"/>
      <c r="AN17" s="166"/>
      <c r="AO17" s="164"/>
      <c r="AP17" s="164"/>
      <c r="AQ17" s="186"/>
      <c r="AR17" s="103"/>
      <c r="AS17" s="103">
        <f t="shared" si="27"/>
        <v>0</v>
      </c>
      <c r="AT17" s="103"/>
      <c r="AU17" s="103"/>
      <c r="AV17" s="103"/>
      <c r="AW17" s="103"/>
      <c r="AZ17" s="193"/>
      <c r="BA17" s="196">
        <f t="shared" si="10"/>
        <v>0</v>
      </c>
      <c r="BB17" s="197">
        <f t="shared" si="11"/>
        <v>0</v>
      </c>
      <c r="BC17" s="197">
        <f t="shared" si="12"/>
        <v>0</v>
      </c>
      <c r="BD17" s="197">
        <f t="shared" si="13"/>
        <v>0</v>
      </c>
      <c r="BE17" s="197">
        <f t="shared" si="14"/>
        <v>0</v>
      </c>
      <c r="BF17" s="197">
        <f t="shared" si="15"/>
        <v>0</v>
      </c>
      <c r="BG17" s="197">
        <f t="shared" si="16"/>
        <v>0</v>
      </c>
      <c r="BH17" s="197">
        <f t="shared" si="17"/>
        <v>0</v>
      </c>
      <c r="BI17" s="197">
        <f t="shared" si="18"/>
        <v>0</v>
      </c>
      <c r="BJ17" s="197">
        <f t="shared" si="19"/>
        <v>0</v>
      </c>
      <c r="BK17" s="197">
        <f t="shared" si="20"/>
        <v>0</v>
      </c>
      <c r="BL17" s="197">
        <f t="shared" si="21"/>
        <v>0</v>
      </c>
      <c r="BM17" s="197">
        <f t="shared" si="22"/>
        <v>0</v>
      </c>
      <c r="BN17" s="197">
        <f t="shared" si="23"/>
        <v>0</v>
      </c>
      <c r="BO17" s="197">
        <f t="shared" si="24"/>
        <v>0</v>
      </c>
      <c r="BP17" s="197">
        <f t="shared" si="25"/>
        <v>0</v>
      </c>
      <c r="BQ17" s="197">
        <f t="shared" si="26"/>
        <v>0</v>
      </c>
      <c r="BR17" s="211"/>
      <c r="BS17" s="195">
        <f t="shared" si="0"/>
        <v>0</v>
      </c>
      <c r="BT17" s="201">
        <f t="shared" si="1"/>
        <v>0</v>
      </c>
      <c r="BU17" s="201">
        <f>第7期!AQ119*0.5</f>
        <v>0</v>
      </c>
      <c r="BV17" s="205" t="e">
        <f>AVERAGE(BT42:CI42)*初始化表!B$31</f>
        <v>#DIV/0!</v>
      </c>
      <c r="BW17" s="205" t="e">
        <f>$BT17*(AL119-BW$25)/BW$26*初始化表!B$30</f>
        <v>#DIV/0!</v>
      </c>
      <c r="BX17" s="205" t="e">
        <f>$BT17*(AM119-BX$25)/BX$26*初始化表!B$33</f>
        <v>#DIV/0!</v>
      </c>
      <c r="BY17" s="205" t="e">
        <f>$BT17*(AN119-BY$25)/BY$26*初始化表!B$32</f>
        <v>#DIV/0!</v>
      </c>
      <c r="BZ17" s="205" t="e">
        <f>$BT17*(AP119-BZ$25)/BZ$26*初始化表!B$34</f>
        <v>#DIV/0!</v>
      </c>
      <c r="CA17" s="205" t="e">
        <f>$BT$5*(AW119-CA$25)/CA$26*初始化表!B$36</f>
        <v>#DIV/0!</v>
      </c>
      <c r="CB17" s="205" t="e">
        <f t="shared" si="4"/>
        <v>#DIV/0!</v>
      </c>
      <c r="CC17" s="201">
        <f t="shared" si="5"/>
        <v>0</v>
      </c>
      <c r="CD17" s="229" t="e">
        <f t="shared" si="6"/>
        <v>#DIV/0!</v>
      </c>
      <c r="CE17" s="229">
        <f t="shared" si="7"/>
        <v>0</v>
      </c>
      <c r="CF17" s="229">
        <f t="shared" si="8"/>
        <v>0</v>
      </c>
      <c r="CG17" s="226"/>
      <c r="CH17" s="226"/>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row>
    <row r="18" s="61" customFormat="1" ht="16" customHeight="1" spans="1:119">
      <c r="A18" s="68" t="s">
        <v>465</v>
      </c>
      <c r="B18" s="71">
        <f t="shared" ref="B18:B20" si="37">I26</f>
        <v>0</v>
      </c>
      <c r="C18" s="71">
        <f t="shared" si="35"/>
        <v>0</v>
      </c>
      <c r="D18" s="71">
        <f t="shared" si="35"/>
        <v>0</v>
      </c>
      <c r="E18" s="71">
        <f t="shared" si="35"/>
        <v>0</v>
      </c>
      <c r="F18" s="72">
        <f t="shared" ref="F18:F20" si="38">J7</f>
        <v>0</v>
      </c>
      <c r="G18" s="73"/>
      <c r="H18" s="68" t="s">
        <v>551</v>
      </c>
      <c r="I18" s="86"/>
      <c r="J18" s="68" t="s">
        <v>552</v>
      </c>
      <c r="K18" s="86">
        <f>J17</f>
        <v>0</v>
      </c>
      <c r="L18" s="74"/>
      <c r="M18" s="85"/>
      <c r="N18" s="68" t="s">
        <v>208</v>
      </c>
      <c r="O18" s="71" t="e">
        <f t="shared" si="36"/>
        <v>#DIV/0!</v>
      </c>
      <c r="P18" s="71" t="e">
        <f t="shared" si="36"/>
        <v>#DIV/0!</v>
      </c>
      <c r="Q18" s="71" t="e">
        <f t="shared" si="36"/>
        <v>#DIV/0!</v>
      </c>
      <c r="R18" s="71" t="e">
        <f t="shared" si="36"/>
        <v>#DIV/0!</v>
      </c>
      <c r="S18" s="126"/>
      <c r="T18" s="127" t="s">
        <v>716</v>
      </c>
      <c r="U18" s="68" t="s">
        <v>465</v>
      </c>
      <c r="V18" s="115">
        <f>第7期!AL13</f>
        <v>0</v>
      </c>
      <c r="W18" s="115">
        <f>第7期!AL14</f>
        <v>0</v>
      </c>
      <c r="X18" s="115">
        <f>第7期!AL15</f>
        <v>0</v>
      </c>
      <c r="Y18" s="115">
        <f>第7期!AL16</f>
        <v>0</v>
      </c>
      <c r="Z18" s="115">
        <f>SUM(V18:Y18)</f>
        <v>0</v>
      </c>
      <c r="AA18" s="73"/>
      <c r="AB18" s="151" t="s">
        <v>202</v>
      </c>
      <c r="AC18" s="156" t="e">
        <f>AC12/初始化表!$F$18</f>
        <v>#DIV/0!</v>
      </c>
      <c r="AD18" s="156" t="e">
        <f>AD12/初始化表!$F$18</f>
        <v>#DIV/0!</v>
      </c>
      <c r="AE18" s="156" t="e">
        <f>AE12/初始化表!$F$18</f>
        <v>#DIV/0!</v>
      </c>
      <c r="AF18" s="156" t="e">
        <f>AF12/初始化表!$F$18</f>
        <v>#DIV/0!</v>
      </c>
      <c r="AG18" s="74"/>
      <c r="AH18" s="73"/>
      <c r="AI18" s="164"/>
      <c r="AJ18" s="164"/>
      <c r="AK18" s="164"/>
      <c r="AL18" s="164">
        <f>W44</f>
        <v>0</v>
      </c>
      <c r="AM18" s="165"/>
      <c r="AN18" s="166"/>
      <c r="AO18" s="164"/>
      <c r="AP18" s="164"/>
      <c r="AQ18" s="186"/>
      <c r="AR18" s="103"/>
      <c r="AS18" s="103">
        <f t="shared" si="27"/>
        <v>0</v>
      </c>
      <c r="AT18" s="103"/>
      <c r="AU18" s="103"/>
      <c r="AV18" s="103"/>
      <c r="AW18" s="103"/>
      <c r="AZ18" s="193"/>
      <c r="BA18" s="196">
        <f t="shared" si="10"/>
        <v>0</v>
      </c>
      <c r="BB18" s="197">
        <f t="shared" si="11"/>
        <v>0</v>
      </c>
      <c r="BC18" s="197">
        <f t="shared" si="12"/>
        <v>0</v>
      </c>
      <c r="BD18" s="197">
        <f t="shared" si="13"/>
        <v>0</v>
      </c>
      <c r="BE18" s="197">
        <f t="shared" si="14"/>
        <v>0</v>
      </c>
      <c r="BF18" s="197">
        <f t="shared" si="15"/>
        <v>0</v>
      </c>
      <c r="BG18" s="197">
        <f t="shared" si="16"/>
        <v>0</v>
      </c>
      <c r="BH18" s="197">
        <f t="shared" si="17"/>
        <v>0</v>
      </c>
      <c r="BI18" s="197">
        <f t="shared" si="18"/>
        <v>0</v>
      </c>
      <c r="BJ18" s="197">
        <f t="shared" si="19"/>
        <v>0</v>
      </c>
      <c r="BK18" s="197">
        <f t="shared" si="20"/>
        <v>0</v>
      </c>
      <c r="BL18" s="197">
        <f t="shared" si="21"/>
        <v>0</v>
      </c>
      <c r="BM18" s="197">
        <f t="shared" si="22"/>
        <v>0</v>
      </c>
      <c r="BN18" s="197">
        <f t="shared" si="23"/>
        <v>0</v>
      </c>
      <c r="BO18" s="197">
        <f t="shared" si="24"/>
        <v>0</v>
      </c>
      <c r="BP18" s="197">
        <f t="shared" si="25"/>
        <v>0</v>
      </c>
      <c r="BQ18" s="197">
        <f t="shared" si="26"/>
        <v>0</v>
      </c>
      <c r="BR18" s="211"/>
      <c r="BS18" s="195">
        <f t="shared" si="0"/>
        <v>0</v>
      </c>
      <c r="BT18" s="201">
        <f t="shared" si="1"/>
        <v>0</v>
      </c>
      <c r="BU18" s="201">
        <f>第7期!AQ120*0.5</f>
        <v>0</v>
      </c>
      <c r="BV18" s="205" t="e">
        <f>AVERAGE(BT43:CI43)*初始化表!B$31</f>
        <v>#DIV/0!</v>
      </c>
      <c r="BW18" s="205" t="e">
        <f>$BT18*(AL120-BW$25)/BW$26*初始化表!B$30</f>
        <v>#DIV/0!</v>
      </c>
      <c r="BX18" s="205" t="e">
        <f>$BT18*(AM120-BX$25)/BX$26*初始化表!B$33</f>
        <v>#DIV/0!</v>
      </c>
      <c r="BY18" s="205" t="e">
        <f>$BT18*(AN120-BY$25)/BY$26*初始化表!B$32</f>
        <v>#DIV/0!</v>
      </c>
      <c r="BZ18" s="205" t="e">
        <f>$BT18*(AP120-BZ$25)/BZ$26*初始化表!B$34</f>
        <v>#DIV/0!</v>
      </c>
      <c r="CA18" s="205" t="e">
        <f>$BT$5*(AW120-CA$25)/CA$26*初始化表!B$36</f>
        <v>#DIV/0!</v>
      </c>
      <c r="CB18" s="205" t="e">
        <f t="shared" si="4"/>
        <v>#DIV/0!</v>
      </c>
      <c r="CC18" s="201">
        <f t="shared" si="5"/>
        <v>0</v>
      </c>
      <c r="CD18" s="229" t="e">
        <f t="shared" si="6"/>
        <v>#DIV/0!</v>
      </c>
      <c r="CE18" s="229">
        <f t="shared" si="7"/>
        <v>0</v>
      </c>
      <c r="CF18" s="229">
        <f t="shared" si="8"/>
        <v>0</v>
      </c>
      <c r="CG18" s="226"/>
      <c r="CH18" s="226"/>
      <c r="CI18" s="227"/>
      <c r="CJ18" s="228"/>
      <c r="CK18" s="228"/>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row>
    <row r="19" s="61" customFormat="1" ht="16" customHeight="1" spans="1:119">
      <c r="A19" s="68" t="s">
        <v>466</v>
      </c>
      <c r="B19" s="71">
        <f t="shared" si="37"/>
        <v>0</v>
      </c>
      <c r="C19" s="71">
        <f t="shared" si="35"/>
        <v>0</v>
      </c>
      <c r="D19" s="71">
        <f t="shared" si="35"/>
        <v>0</v>
      </c>
      <c r="E19" s="71">
        <f t="shared" si="35"/>
        <v>0</v>
      </c>
      <c r="F19" s="72">
        <f t="shared" si="38"/>
        <v>0</v>
      </c>
      <c r="G19" s="73"/>
      <c r="H19" s="69"/>
      <c r="I19" s="68" t="s">
        <v>554</v>
      </c>
      <c r="J19" s="68" t="s">
        <v>555</v>
      </c>
      <c r="K19" s="68" t="s">
        <v>556</v>
      </c>
      <c r="L19" s="91"/>
      <c r="M19" s="85"/>
      <c r="N19" s="68" t="s">
        <v>557</v>
      </c>
      <c r="O19" s="68" t="s">
        <v>459</v>
      </c>
      <c r="P19" s="68" t="s">
        <v>460</v>
      </c>
      <c r="Q19" s="68" t="s">
        <v>461</v>
      </c>
      <c r="R19" s="68" t="s">
        <v>462</v>
      </c>
      <c r="S19" s="121"/>
      <c r="T19" s="127"/>
      <c r="U19" s="68" t="s">
        <v>466</v>
      </c>
      <c r="V19" s="115">
        <f>第7期!AL17</f>
        <v>0</v>
      </c>
      <c r="W19" s="115">
        <f>第7期!AL18</f>
        <v>0</v>
      </c>
      <c r="X19" s="115">
        <f>第7期!AL19</f>
        <v>0</v>
      </c>
      <c r="Y19" s="115">
        <f>第7期!AL20</f>
        <v>0</v>
      </c>
      <c r="Z19" s="115">
        <f>SUM(V19:Y19)</f>
        <v>0</v>
      </c>
      <c r="AA19" s="73"/>
      <c r="AB19" s="151" t="s">
        <v>206</v>
      </c>
      <c r="AC19" s="156" t="e">
        <f>AC13/初始化表!$G$18</f>
        <v>#DIV/0!</v>
      </c>
      <c r="AD19" s="156" t="e">
        <f>AD13/初始化表!$G$18</f>
        <v>#DIV/0!</v>
      </c>
      <c r="AE19" s="156" t="e">
        <f>AE13/初始化表!$G$18</f>
        <v>#DIV/0!</v>
      </c>
      <c r="AF19" s="156" t="e">
        <f>AF13/初始化表!$G$18</f>
        <v>#DIV/0!</v>
      </c>
      <c r="AG19" s="74"/>
      <c r="AH19" s="73"/>
      <c r="AI19" s="164"/>
      <c r="AJ19" s="164"/>
      <c r="AK19" s="164"/>
      <c r="AL19" s="164">
        <f>X44</f>
        <v>0</v>
      </c>
      <c r="AM19" s="165"/>
      <c r="AN19" s="166"/>
      <c r="AO19" s="164"/>
      <c r="AP19" s="164"/>
      <c r="AQ19" s="186"/>
      <c r="AR19" s="103"/>
      <c r="AS19" s="103">
        <f t="shared" si="27"/>
        <v>0</v>
      </c>
      <c r="AT19" s="103"/>
      <c r="AU19" s="103"/>
      <c r="AV19" s="103"/>
      <c r="AW19" s="103"/>
      <c r="AZ19" s="193"/>
      <c r="BA19" s="196">
        <f t="shared" si="10"/>
        <v>0</v>
      </c>
      <c r="BB19" s="197">
        <f t="shared" si="11"/>
        <v>0</v>
      </c>
      <c r="BC19" s="197">
        <f t="shared" si="12"/>
        <v>0</v>
      </c>
      <c r="BD19" s="197">
        <f t="shared" si="13"/>
        <v>0</v>
      </c>
      <c r="BE19" s="197">
        <f t="shared" si="14"/>
        <v>0</v>
      </c>
      <c r="BF19" s="197">
        <f t="shared" si="15"/>
        <v>0</v>
      </c>
      <c r="BG19" s="197">
        <f t="shared" si="16"/>
        <v>0</v>
      </c>
      <c r="BH19" s="197">
        <f t="shared" si="17"/>
        <v>0</v>
      </c>
      <c r="BI19" s="197">
        <f t="shared" si="18"/>
        <v>0</v>
      </c>
      <c r="BJ19" s="197">
        <f t="shared" si="19"/>
        <v>0</v>
      </c>
      <c r="BK19" s="197">
        <f t="shared" si="20"/>
        <v>0</v>
      </c>
      <c r="BL19" s="197">
        <f t="shared" si="21"/>
        <v>0</v>
      </c>
      <c r="BM19" s="197">
        <f t="shared" si="22"/>
        <v>0</v>
      </c>
      <c r="BN19" s="197">
        <f t="shared" si="23"/>
        <v>0</v>
      </c>
      <c r="BO19" s="197">
        <f t="shared" si="24"/>
        <v>0</v>
      </c>
      <c r="BP19" s="197">
        <f t="shared" si="25"/>
        <v>0</v>
      </c>
      <c r="BQ19" s="197">
        <f t="shared" si="26"/>
        <v>0</v>
      </c>
      <c r="BR19" s="211"/>
      <c r="BS19" s="195">
        <f t="shared" si="0"/>
        <v>0</v>
      </c>
      <c r="BT19" s="201">
        <f t="shared" si="1"/>
        <v>0</v>
      </c>
      <c r="BU19" s="201">
        <f>第7期!AQ121*0.5</f>
        <v>0</v>
      </c>
      <c r="BV19" s="205" t="e">
        <f>AVERAGE(BT44:CI44)*初始化表!B$31</f>
        <v>#DIV/0!</v>
      </c>
      <c r="BW19" s="205" t="e">
        <f>$BT19*(AL121-BW$25)/BW$26*初始化表!B$30</f>
        <v>#DIV/0!</v>
      </c>
      <c r="BX19" s="205" t="e">
        <f>$BT19*(AM121-BX$25)/BX$26*初始化表!B$33</f>
        <v>#DIV/0!</v>
      </c>
      <c r="BY19" s="205" t="e">
        <f>$BT19*(AN121-BY$25)/BY$26*初始化表!B$32</f>
        <v>#DIV/0!</v>
      </c>
      <c r="BZ19" s="205" t="e">
        <f>$BT19*(AP121-BZ$25)/BZ$26*初始化表!B$34</f>
        <v>#DIV/0!</v>
      </c>
      <c r="CA19" s="205" t="e">
        <f>$BT$5*(AW121-CA$25)/CA$26*初始化表!B$36</f>
        <v>#DIV/0!</v>
      </c>
      <c r="CB19" s="205" t="e">
        <f t="shared" si="4"/>
        <v>#DIV/0!</v>
      </c>
      <c r="CC19" s="201">
        <f t="shared" si="5"/>
        <v>0</v>
      </c>
      <c r="CD19" s="229" t="e">
        <f t="shared" si="6"/>
        <v>#DIV/0!</v>
      </c>
      <c r="CE19" s="229">
        <f t="shared" si="7"/>
        <v>0</v>
      </c>
      <c r="CF19" s="229">
        <f t="shared" si="8"/>
        <v>0</v>
      </c>
      <c r="CG19" s="226"/>
      <c r="CH19" s="226"/>
      <c r="CI19" s="228"/>
      <c r="CJ19" s="228"/>
      <c r="CK19" s="228"/>
      <c r="CL19" s="228"/>
      <c r="CM19" s="228"/>
      <c r="CN19" s="228"/>
      <c r="CO19" s="228"/>
      <c r="CP19" s="228"/>
      <c r="CQ19" s="228"/>
      <c r="CR19" s="228"/>
      <c r="CS19" s="228"/>
      <c r="CT19" s="228"/>
      <c r="CU19" s="228"/>
      <c r="CV19" s="228"/>
      <c r="CW19" s="228"/>
      <c r="CX19" s="228"/>
      <c r="CY19" s="228"/>
      <c r="CZ19" s="228"/>
      <c r="DA19" s="228"/>
      <c r="DB19" s="228"/>
      <c r="DC19" s="228"/>
      <c r="DD19" s="228"/>
      <c r="DE19" s="228"/>
      <c r="DF19" s="228"/>
      <c r="DG19" s="228"/>
      <c r="DH19" s="228"/>
      <c r="DI19" s="228"/>
      <c r="DJ19" s="228"/>
      <c r="DK19" s="228"/>
      <c r="DL19" s="228"/>
      <c r="DM19" s="228"/>
      <c r="DN19" s="228"/>
      <c r="DO19" s="228"/>
    </row>
    <row r="20" s="61" customFormat="1" ht="16" customHeight="1" spans="1:119">
      <c r="A20" s="68" t="s">
        <v>468</v>
      </c>
      <c r="B20" s="71">
        <f t="shared" si="37"/>
        <v>0</v>
      </c>
      <c r="C20" s="71">
        <f t="shared" si="35"/>
        <v>0</v>
      </c>
      <c r="D20" s="71">
        <f t="shared" si="35"/>
        <v>0</v>
      </c>
      <c r="E20" s="71">
        <f t="shared" si="35"/>
        <v>0</v>
      </c>
      <c r="F20" s="72">
        <f t="shared" si="38"/>
        <v>0</v>
      </c>
      <c r="G20" s="73"/>
      <c r="H20" s="68" t="s">
        <v>558</v>
      </c>
      <c r="I20" s="92" t="e">
        <f>(H17-K18)/N49</f>
        <v>#DIV/0!</v>
      </c>
      <c r="J20" s="92" t="e">
        <f>(H17-K18+I17/4)/N49</f>
        <v>#DIV/0!</v>
      </c>
      <c r="K20" s="92" t="e">
        <f>(H17-K18+I18/4)/N49</f>
        <v>#DIV/0!</v>
      </c>
      <c r="L20" s="91"/>
      <c r="M20" s="85"/>
      <c r="N20" s="68" t="s">
        <v>198</v>
      </c>
      <c r="O20" s="93" t="e">
        <f>O15</f>
        <v>#DIV/0!</v>
      </c>
      <c r="P20" s="93" t="e">
        <f t="shared" ref="P20:R20" si="39">P15</f>
        <v>#DIV/0!</v>
      </c>
      <c r="Q20" s="93" t="e">
        <f t="shared" si="39"/>
        <v>#DIV/0!</v>
      </c>
      <c r="R20" s="93" t="e">
        <f t="shared" si="39"/>
        <v>#DIV/0!</v>
      </c>
      <c r="S20" s="128"/>
      <c r="T20" s="129" t="e">
        <f>MAX(AC23,AD23,AE23,AF23)-MIN(AC23,AD23,AE23,AF23)</f>
        <v>#DIV/0!</v>
      </c>
      <c r="U20" s="68" t="s">
        <v>468</v>
      </c>
      <c r="V20" s="115">
        <f>第7期!AL21</f>
        <v>0</v>
      </c>
      <c r="W20" s="115">
        <f>第7期!AL22</f>
        <v>0</v>
      </c>
      <c r="X20" s="115">
        <f>第7期!AL23</f>
        <v>0</v>
      </c>
      <c r="Y20" s="115">
        <f>第7期!AL24</f>
        <v>0</v>
      </c>
      <c r="Z20" s="115">
        <f>SUM(V20:Y20)</f>
        <v>0</v>
      </c>
      <c r="AA20" s="73"/>
      <c r="AB20" s="151" t="s">
        <v>208</v>
      </c>
      <c r="AC20" s="156" t="e">
        <f>AC14/初始化表!$H$18</f>
        <v>#DIV/0!</v>
      </c>
      <c r="AD20" s="156" t="e">
        <f>AD14/初始化表!$H$18</f>
        <v>#DIV/0!</v>
      </c>
      <c r="AE20" s="156" t="e">
        <f>AE14/初始化表!$H$18</f>
        <v>#DIV/0!</v>
      </c>
      <c r="AF20" s="156" t="e">
        <f>AF14/初始化表!$H$18</f>
        <v>#DIV/0!</v>
      </c>
      <c r="AG20" s="74"/>
      <c r="AH20" s="73"/>
      <c r="AI20" s="164"/>
      <c r="AJ20" s="164"/>
      <c r="AK20" s="164"/>
      <c r="AL20" s="164">
        <f>Y44</f>
        <v>0</v>
      </c>
      <c r="AM20" s="165"/>
      <c r="AN20" s="166"/>
      <c r="AO20" s="164"/>
      <c r="AP20" s="164"/>
      <c r="AQ20" s="186"/>
      <c r="AR20" s="103">
        <f>SUM(AL17:AL20)</f>
        <v>0</v>
      </c>
      <c r="AS20" s="103">
        <f t="shared" si="27"/>
        <v>0</v>
      </c>
      <c r="AT20" s="103">
        <f>SUMIF(AS17:AS20,"&gt;=0",AS17:AS20)</f>
        <v>0</v>
      </c>
      <c r="AU20" s="103">
        <f>SUM(AO17:AO20)</f>
        <v>0</v>
      </c>
      <c r="AV20" s="103">
        <f>SUM(AP17:AP20)</f>
        <v>0</v>
      </c>
      <c r="AW20" s="103">
        <f>SUM(AQ17:AQ20)</f>
        <v>0</v>
      </c>
      <c r="AZ20" s="193"/>
      <c r="BA20" s="196">
        <f t="shared" si="10"/>
        <v>0</v>
      </c>
      <c r="BB20" s="197">
        <f t="shared" si="11"/>
        <v>0</v>
      </c>
      <c r="BC20" s="197">
        <f t="shared" si="12"/>
        <v>0</v>
      </c>
      <c r="BD20" s="197">
        <f t="shared" si="13"/>
        <v>0</v>
      </c>
      <c r="BE20" s="197">
        <f t="shared" si="14"/>
        <v>0</v>
      </c>
      <c r="BF20" s="197">
        <f t="shared" si="15"/>
        <v>0</v>
      </c>
      <c r="BG20" s="197">
        <f t="shared" si="16"/>
        <v>0</v>
      </c>
      <c r="BH20" s="197">
        <f t="shared" si="17"/>
        <v>0</v>
      </c>
      <c r="BI20" s="197">
        <f t="shared" si="18"/>
        <v>0</v>
      </c>
      <c r="BJ20" s="197">
        <f t="shared" si="19"/>
        <v>0</v>
      </c>
      <c r="BK20" s="197">
        <f t="shared" si="20"/>
        <v>0</v>
      </c>
      <c r="BL20" s="197">
        <f t="shared" si="21"/>
        <v>0</v>
      </c>
      <c r="BM20" s="197">
        <f t="shared" si="22"/>
        <v>0</v>
      </c>
      <c r="BN20" s="197">
        <f t="shared" si="23"/>
        <v>0</v>
      </c>
      <c r="BO20" s="197">
        <f t="shared" si="24"/>
        <v>0</v>
      </c>
      <c r="BP20" s="197">
        <f t="shared" si="25"/>
        <v>0</v>
      </c>
      <c r="BQ20" s="197">
        <f t="shared" si="26"/>
        <v>0</v>
      </c>
      <c r="BR20" s="211"/>
      <c r="BS20" s="195">
        <f t="shared" si="0"/>
        <v>0</v>
      </c>
      <c r="BT20" s="201">
        <f t="shared" si="1"/>
        <v>0</v>
      </c>
      <c r="BU20" s="201">
        <f>第7期!AQ122*0.5</f>
        <v>0</v>
      </c>
      <c r="BV20" s="205" t="e">
        <f>AVERAGE(BT45:CI45)*初始化表!B$31</f>
        <v>#DIV/0!</v>
      </c>
      <c r="BW20" s="205" t="e">
        <f>$BT20*(AL122-BW$25)/BW$26*初始化表!B$30</f>
        <v>#DIV/0!</v>
      </c>
      <c r="BX20" s="205" t="e">
        <f>$BT20*(AM122-BX$25)/BX$26*初始化表!B$33</f>
        <v>#DIV/0!</v>
      </c>
      <c r="BY20" s="205" t="e">
        <f>$BT20*(AN122-BY$25)/BY$26*初始化表!B$32</f>
        <v>#DIV/0!</v>
      </c>
      <c r="BZ20" s="205" t="e">
        <f>$BT20*(AP122-BZ$25)/BZ$26*初始化表!B$34</f>
        <v>#DIV/0!</v>
      </c>
      <c r="CA20" s="205" t="e">
        <f>$BT$5*(AW122-CA$25)/CA$26*初始化表!B$36</f>
        <v>#DIV/0!</v>
      </c>
      <c r="CB20" s="205" t="e">
        <f t="shared" si="4"/>
        <v>#DIV/0!</v>
      </c>
      <c r="CC20" s="201">
        <f t="shared" si="5"/>
        <v>0</v>
      </c>
      <c r="CD20" s="229" t="e">
        <f t="shared" si="6"/>
        <v>#DIV/0!</v>
      </c>
      <c r="CE20" s="229">
        <f t="shared" si="7"/>
        <v>0</v>
      </c>
      <c r="CF20" s="229">
        <f t="shared" si="8"/>
        <v>0</v>
      </c>
      <c r="CG20" s="226"/>
      <c r="CH20" s="226"/>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row>
    <row r="21" s="61" customFormat="1" ht="16" customHeight="1" spans="1:119">
      <c r="A21" s="68" t="s">
        <v>303</v>
      </c>
      <c r="B21" s="68" t="s">
        <v>304</v>
      </c>
      <c r="C21" s="68" t="s">
        <v>305</v>
      </c>
      <c r="D21" s="68" t="s">
        <v>306</v>
      </c>
      <c r="E21" s="68" t="s">
        <v>307</v>
      </c>
      <c r="F21" s="69"/>
      <c r="G21" s="73"/>
      <c r="H21" s="68" t="s">
        <v>559</v>
      </c>
      <c r="I21" s="92" t="e">
        <f>(L17-ROUND(L17*0.03,0))/O49</f>
        <v>#DIV/0!</v>
      </c>
      <c r="J21" s="92" t="e">
        <f>(L17-ROUND(L17*0.03,0)+ROUNDDOWN(L17/2,0)/4)/O49</f>
        <v>#DIV/0!</v>
      </c>
      <c r="K21" s="68" t="s">
        <v>235</v>
      </c>
      <c r="L21" s="94" t="e">
        <f>初始化表!I20</f>
        <v>#DIV/0!</v>
      </c>
      <c r="M21" s="85"/>
      <c r="N21" s="68" t="s">
        <v>202</v>
      </c>
      <c r="O21" s="93" t="e">
        <f t="shared" ref="O21:R23" si="40">O16</f>
        <v>#DIV/0!</v>
      </c>
      <c r="P21" s="93" t="e">
        <f t="shared" si="40"/>
        <v>#DIV/0!</v>
      </c>
      <c r="Q21" s="93" t="e">
        <f t="shared" si="40"/>
        <v>#DIV/0!</v>
      </c>
      <c r="R21" s="93" t="e">
        <f t="shared" si="40"/>
        <v>#DIV/0!</v>
      </c>
      <c r="S21" s="128"/>
      <c r="T21" s="130" t="e">
        <f t="shared" ref="T21:T23" si="41">MAX(AC24,AD24,AE24,AF24)-MIN(AC24,AD24,AE24,AF24)</f>
        <v>#DIV/0!</v>
      </c>
      <c r="U21" s="123"/>
      <c r="V21" s="74"/>
      <c r="W21" s="74"/>
      <c r="X21" s="74"/>
      <c r="Y21" s="74"/>
      <c r="Z21" s="74"/>
      <c r="AA21" s="73"/>
      <c r="AB21" s="155"/>
      <c r="AC21" s="155"/>
      <c r="AD21" s="155"/>
      <c r="AE21" s="155"/>
      <c r="AF21" s="155"/>
      <c r="AG21" s="155"/>
      <c r="AH21" s="73"/>
      <c r="AI21" s="164"/>
      <c r="AJ21" s="164"/>
      <c r="AK21" s="164"/>
      <c r="AL21" s="164">
        <f>V45</f>
        <v>0</v>
      </c>
      <c r="AM21" s="165"/>
      <c r="AN21" s="166"/>
      <c r="AO21" s="164"/>
      <c r="AP21" s="164"/>
      <c r="AQ21" s="186"/>
      <c r="AR21" s="103"/>
      <c r="AS21" s="103">
        <f t="shared" si="27"/>
        <v>0</v>
      </c>
      <c r="AT21" s="103"/>
      <c r="AU21" s="103"/>
      <c r="AV21" s="103"/>
      <c r="AW21" s="103"/>
      <c r="AZ21" s="193"/>
      <c r="BA21" s="196">
        <f t="shared" si="10"/>
        <v>0</v>
      </c>
      <c r="BB21" s="197">
        <f t="shared" si="11"/>
        <v>0</v>
      </c>
      <c r="BC21" s="197">
        <f t="shared" si="12"/>
        <v>0</v>
      </c>
      <c r="BD21" s="197">
        <f t="shared" si="13"/>
        <v>0</v>
      </c>
      <c r="BE21" s="197">
        <f t="shared" si="14"/>
        <v>0</v>
      </c>
      <c r="BF21" s="197">
        <f t="shared" si="15"/>
        <v>0</v>
      </c>
      <c r="BG21" s="197">
        <f t="shared" si="16"/>
        <v>0</v>
      </c>
      <c r="BH21" s="197">
        <f t="shared" si="17"/>
        <v>0</v>
      </c>
      <c r="BI21" s="197">
        <f t="shared" si="18"/>
        <v>0</v>
      </c>
      <c r="BJ21" s="197">
        <f t="shared" si="19"/>
        <v>0</v>
      </c>
      <c r="BK21" s="197">
        <f t="shared" si="20"/>
        <v>0</v>
      </c>
      <c r="BL21" s="197">
        <f t="shared" si="21"/>
        <v>0</v>
      </c>
      <c r="BM21" s="197">
        <f t="shared" si="22"/>
        <v>0</v>
      </c>
      <c r="BN21" s="197">
        <f t="shared" si="23"/>
        <v>0</v>
      </c>
      <c r="BO21" s="197">
        <f t="shared" si="24"/>
        <v>0</v>
      </c>
      <c r="BP21" s="197">
        <f t="shared" si="25"/>
        <v>0</v>
      </c>
      <c r="BQ21" s="197">
        <f t="shared" si="26"/>
        <v>0</v>
      </c>
      <c r="BR21" s="211"/>
      <c r="BS21" s="195">
        <f t="shared" si="0"/>
        <v>0</v>
      </c>
      <c r="BT21" s="201">
        <f t="shared" si="1"/>
        <v>0</v>
      </c>
      <c r="BU21" s="201">
        <f>第7期!AQ123*0.5</f>
        <v>0</v>
      </c>
      <c r="BV21" s="205" t="e">
        <f>AVERAGE(BT46:CI46)*初始化表!B$31</f>
        <v>#DIV/0!</v>
      </c>
      <c r="BW21" s="205" t="e">
        <f>$BT21*(AL123-BW$25)/BW$26*初始化表!B$30</f>
        <v>#DIV/0!</v>
      </c>
      <c r="BX21" s="205" t="e">
        <f>$BT21*(AM123-BX$25)/BX$26*初始化表!B$33</f>
        <v>#DIV/0!</v>
      </c>
      <c r="BY21" s="205" t="e">
        <f>$BT21*(AN123-BY$25)/BY$26*初始化表!B$32</f>
        <v>#DIV/0!</v>
      </c>
      <c r="BZ21" s="205" t="e">
        <f>$BT21*(AP123-BZ$25)/BZ$26*初始化表!B$34</f>
        <v>#DIV/0!</v>
      </c>
      <c r="CA21" s="205" t="e">
        <f>$BT$5*(AW123-CA$25)/CA$26*初始化表!B$36</f>
        <v>#DIV/0!</v>
      </c>
      <c r="CB21" s="205" t="e">
        <f t="shared" si="4"/>
        <v>#DIV/0!</v>
      </c>
      <c r="CC21" s="201">
        <f t="shared" si="5"/>
        <v>0</v>
      </c>
      <c r="CD21" s="229" t="e">
        <f t="shared" si="6"/>
        <v>#DIV/0!</v>
      </c>
      <c r="CE21" s="229">
        <f t="shared" si="7"/>
        <v>0</v>
      </c>
      <c r="CF21" s="229">
        <f t="shared" si="8"/>
        <v>0</v>
      </c>
      <c r="CG21" s="226"/>
      <c r="CH21" s="226"/>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row>
    <row r="22" s="61" customFormat="1" ht="16" customHeight="1" spans="1:119">
      <c r="A22" s="69"/>
      <c r="B22" s="77">
        <f>I18</f>
        <v>0</v>
      </c>
      <c r="C22" s="77">
        <f>K18</f>
        <v>0</v>
      </c>
      <c r="D22" s="72">
        <f>R49</f>
        <v>0</v>
      </c>
      <c r="E22" s="72">
        <f>K43</f>
        <v>0</v>
      </c>
      <c r="F22" s="69"/>
      <c r="G22" s="73"/>
      <c r="H22" s="78" t="s">
        <v>560</v>
      </c>
      <c r="I22" s="95" t="e">
        <f>(M25*初始化表!B4+SUM(V5:Z5)-SUM(V11:Y11)-Z17)/Z17</f>
        <v>#DIV/0!</v>
      </c>
      <c r="J22" s="95" t="e">
        <f>(M26*初始化表!B4+SUM(V6:Z6)-SUM(V12:Y12)-Z18)/Z18</f>
        <v>#DIV/0!</v>
      </c>
      <c r="K22" s="95" t="e">
        <f>(M27*初始化表!B4+SUM(V7:Z7)-SUM(V13:Y13)-Z19)/Z19</f>
        <v>#DIV/0!</v>
      </c>
      <c r="L22" s="95" t="e">
        <f>(M28*初始化表!B4+SUM(V8:Z8)-SUM(V14:Y14)-Z20)/Z20</f>
        <v>#DIV/0!</v>
      </c>
      <c r="M22" s="85"/>
      <c r="N22" s="68" t="s">
        <v>206</v>
      </c>
      <c r="O22" s="93" t="e">
        <f t="shared" si="40"/>
        <v>#DIV/0!</v>
      </c>
      <c r="P22" s="93" t="e">
        <f t="shared" si="40"/>
        <v>#DIV/0!</v>
      </c>
      <c r="Q22" s="93" t="e">
        <f t="shared" si="40"/>
        <v>#DIV/0!</v>
      </c>
      <c r="R22" s="93" t="e">
        <f t="shared" si="40"/>
        <v>#DIV/0!</v>
      </c>
      <c r="S22" s="128"/>
      <c r="T22" s="129" t="e">
        <f t="shared" si="41"/>
        <v>#DIV/0!</v>
      </c>
      <c r="U22" s="68" t="s">
        <v>561</v>
      </c>
      <c r="V22" s="68" t="s">
        <v>459</v>
      </c>
      <c r="W22" s="68" t="s">
        <v>460</v>
      </c>
      <c r="X22" s="68" t="s">
        <v>461</v>
      </c>
      <c r="Y22" s="68" t="s">
        <v>462</v>
      </c>
      <c r="Z22" s="68" t="s">
        <v>276</v>
      </c>
      <c r="AA22" s="73"/>
      <c r="AB22" s="151" t="s">
        <v>562</v>
      </c>
      <c r="AC22" s="151" t="s">
        <v>459</v>
      </c>
      <c r="AD22" s="151" t="s">
        <v>460</v>
      </c>
      <c r="AE22" s="151" t="s">
        <v>461</v>
      </c>
      <c r="AF22" s="151" t="s">
        <v>462</v>
      </c>
      <c r="AG22" s="74"/>
      <c r="AH22" s="73"/>
      <c r="AI22" s="164"/>
      <c r="AJ22" s="164"/>
      <c r="AK22" s="164"/>
      <c r="AL22" s="164">
        <f>W45</f>
        <v>0</v>
      </c>
      <c r="AM22" s="165"/>
      <c r="AN22" s="166"/>
      <c r="AO22" s="164"/>
      <c r="AP22" s="164"/>
      <c r="AQ22" s="186"/>
      <c r="AR22" s="103"/>
      <c r="AS22" s="103">
        <f t="shared" si="27"/>
        <v>0</v>
      </c>
      <c r="AT22" s="103"/>
      <c r="AU22" s="103"/>
      <c r="AV22" s="103"/>
      <c r="AW22" s="103"/>
      <c r="AZ22" s="193"/>
      <c r="BA22" s="196">
        <f t="shared" si="10"/>
        <v>0</v>
      </c>
      <c r="BB22" s="197">
        <f t="shared" si="11"/>
        <v>0</v>
      </c>
      <c r="BC22" s="197">
        <f t="shared" si="12"/>
        <v>0</v>
      </c>
      <c r="BD22" s="197">
        <f t="shared" si="13"/>
        <v>0</v>
      </c>
      <c r="BE22" s="197">
        <f t="shared" si="14"/>
        <v>0</v>
      </c>
      <c r="BF22" s="197">
        <f t="shared" si="15"/>
        <v>0</v>
      </c>
      <c r="BG22" s="197">
        <f t="shared" si="16"/>
        <v>0</v>
      </c>
      <c r="BH22" s="197">
        <f t="shared" si="17"/>
        <v>0</v>
      </c>
      <c r="BI22" s="197">
        <f t="shared" si="18"/>
        <v>0</v>
      </c>
      <c r="BJ22" s="197">
        <f t="shared" si="19"/>
        <v>0</v>
      </c>
      <c r="BK22" s="197">
        <f t="shared" si="20"/>
        <v>0</v>
      </c>
      <c r="BL22" s="197">
        <f t="shared" si="21"/>
        <v>0</v>
      </c>
      <c r="BM22" s="197">
        <f t="shared" si="22"/>
        <v>0</v>
      </c>
      <c r="BN22" s="197">
        <f t="shared" si="23"/>
        <v>0</v>
      </c>
      <c r="BO22" s="197">
        <f t="shared" si="24"/>
        <v>0</v>
      </c>
      <c r="BP22" s="197">
        <f t="shared" si="25"/>
        <v>0</v>
      </c>
      <c r="BQ22" s="197">
        <f t="shared" si="26"/>
        <v>0</v>
      </c>
      <c r="BR22" s="211"/>
      <c r="BS22" s="195">
        <f t="shared" si="0"/>
        <v>0</v>
      </c>
      <c r="BT22" s="201">
        <f t="shared" si="1"/>
        <v>0</v>
      </c>
      <c r="BU22" s="201">
        <f>第7期!AQ124*0.5</f>
        <v>0</v>
      </c>
      <c r="BV22" s="205" t="e">
        <f>AVERAGE(BT47:CI47)*初始化表!B$31</f>
        <v>#DIV/0!</v>
      </c>
      <c r="BW22" s="205" t="e">
        <f>$BT22*(AL124-BW$25)/BW$26*初始化表!B$30</f>
        <v>#DIV/0!</v>
      </c>
      <c r="BX22" s="205" t="e">
        <f>$BT22*(AM124-BX$25)/BX$26*初始化表!B$33</f>
        <v>#DIV/0!</v>
      </c>
      <c r="BY22" s="205" t="e">
        <f>$BT22*(AN124-BY$25)/BY$26*初始化表!B$32</f>
        <v>#DIV/0!</v>
      </c>
      <c r="BZ22" s="205" t="e">
        <f>$BT22*(AP124-BZ$25)/BZ$26*初始化表!B$34</f>
        <v>#DIV/0!</v>
      </c>
      <c r="CA22" s="205" t="e">
        <f>$BT$5*(AW124-CA$25)/CA$26*初始化表!B$36</f>
        <v>#DIV/0!</v>
      </c>
      <c r="CB22" s="205" t="e">
        <f t="shared" si="4"/>
        <v>#DIV/0!</v>
      </c>
      <c r="CC22" s="201">
        <f t="shared" si="5"/>
        <v>0</v>
      </c>
      <c r="CD22" s="229" t="e">
        <f t="shared" si="6"/>
        <v>#DIV/0!</v>
      </c>
      <c r="CE22" s="229">
        <f t="shared" si="7"/>
        <v>0</v>
      </c>
      <c r="CF22" s="229">
        <f t="shared" si="8"/>
        <v>0</v>
      </c>
      <c r="CG22" s="226"/>
      <c r="CH22" s="226"/>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row>
    <row r="23" s="61" customFormat="1" ht="16" customHeight="1" spans="1:119">
      <c r="A23" s="68" t="s">
        <v>308</v>
      </c>
      <c r="B23" s="68" t="s">
        <v>309</v>
      </c>
      <c r="C23" s="68" t="s">
        <v>310</v>
      </c>
      <c r="D23" s="68" t="s">
        <v>311</v>
      </c>
      <c r="E23" s="68" t="s">
        <v>312</v>
      </c>
      <c r="F23" s="68" t="s">
        <v>313</v>
      </c>
      <c r="G23" s="73"/>
      <c r="H23" s="68" t="s">
        <v>298</v>
      </c>
      <c r="I23" s="69"/>
      <c r="J23" s="69"/>
      <c r="K23" s="69"/>
      <c r="L23" s="69"/>
      <c r="M23" s="96" t="s">
        <v>563</v>
      </c>
      <c r="N23" s="68" t="s">
        <v>208</v>
      </c>
      <c r="O23" s="93" t="e">
        <f t="shared" si="40"/>
        <v>#DIV/0!</v>
      </c>
      <c r="P23" s="93" t="e">
        <f t="shared" si="40"/>
        <v>#DIV/0!</v>
      </c>
      <c r="Q23" s="93" t="e">
        <f t="shared" si="40"/>
        <v>#DIV/0!</v>
      </c>
      <c r="R23" s="93" t="e">
        <f t="shared" si="40"/>
        <v>#DIV/0!</v>
      </c>
      <c r="S23" s="128"/>
      <c r="T23" s="129" t="e">
        <f t="shared" si="41"/>
        <v>#DIV/0!</v>
      </c>
      <c r="U23" s="68" t="s">
        <v>464</v>
      </c>
      <c r="V23" s="115" t="e">
        <f>第7期!B6</f>
        <v>#DIV/0!</v>
      </c>
      <c r="W23" s="115" t="e">
        <f>第7期!C6</f>
        <v>#DIV/0!</v>
      </c>
      <c r="X23" s="115" t="e">
        <f>第7期!D6</f>
        <v>#DIV/0!</v>
      </c>
      <c r="Y23" s="115" t="e">
        <f>第7期!E6</f>
        <v>#DIV/0!</v>
      </c>
      <c r="Z23" s="102" t="e">
        <f>第7期!F6</f>
        <v>#DIV/0!</v>
      </c>
      <c r="AA23" s="73"/>
      <c r="AB23" s="151" t="s">
        <v>464</v>
      </c>
      <c r="AC23" s="157" t="e">
        <f>AC11/初始化表!$E$17</f>
        <v>#DIV/0!</v>
      </c>
      <c r="AD23" s="157" t="e">
        <f>AD11/初始化表!$E$17</f>
        <v>#DIV/0!</v>
      </c>
      <c r="AE23" s="157" t="e">
        <f>AE11/初始化表!$E$17</f>
        <v>#DIV/0!</v>
      </c>
      <c r="AF23" s="157" t="e">
        <f>AF11/初始化表!$E$17</f>
        <v>#DIV/0!</v>
      </c>
      <c r="AG23" s="74"/>
      <c r="AH23" s="73"/>
      <c r="AI23" s="164"/>
      <c r="AJ23" s="164"/>
      <c r="AK23" s="164"/>
      <c r="AL23" s="164">
        <f>X45</f>
        <v>0</v>
      </c>
      <c r="AM23" s="165"/>
      <c r="AN23" s="166"/>
      <c r="AO23" s="164"/>
      <c r="AP23" s="164"/>
      <c r="AQ23" s="186"/>
      <c r="AR23" s="103"/>
      <c r="AS23" s="103">
        <f t="shared" si="27"/>
        <v>0</v>
      </c>
      <c r="AT23" s="103"/>
      <c r="AU23" s="103"/>
      <c r="AV23" s="103"/>
      <c r="AW23" s="103"/>
      <c r="AZ23" s="193"/>
      <c r="BA23" s="196">
        <f t="shared" si="10"/>
        <v>0</v>
      </c>
      <c r="BB23" s="197">
        <f t="shared" si="11"/>
        <v>0</v>
      </c>
      <c r="BC23" s="197">
        <f t="shared" si="12"/>
        <v>0</v>
      </c>
      <c r="BD23" s="197">
        <f t="shared" si="13"/>
        <v>0</v>
      </c>
      <c r="BE23" s="197">
        <f t="shared" si="14"/>
        <v>0</v>
      </c>
      <c r="BF23" s="197">
        <f t="shared" si="15"/>
        <v>0</v>
      </c>
      <c r="BG23" s="197">
        <f t="shared" si="16"/>
        <v>0</v>
      </c>
      <c r="BH23" s="197">
        <f t="shared" si="17"/>
        <v>0</v>
      </c>
      <c r="BI23" s="197">
        <f t="shared" si="18"/>
        <v>0</v>
      </c>
      <c r="BJ23" s="197">
        <f t="shared" si="19"/>
        <v>0</v>
      </c>
      <c r="BK23" s="197">
        <f t="shared" si="20"/>
        <v>0</v>
      </c>
      <c r="BL23" s="197">
        <f t="shared" si="21"/>
        <v>0</v>
      </c>
      <c r="BM23" s="197">
        <f t="shared" si="22"/>
        <v>0</v>
      </c>
      <c r="BN23" s="197">
        <f t="shared" si="23"/>
        <v>0</v>
      </c>
      <c r="BO23" s="197">
        <f t="shared" si="24"/>
        <v>0</v>
      </c>
      <c r="BP23" s="197">
        <f t="shared" si="25"/>
        <v>0</v>
      </c>
      <c r="BQ23" s="197">
        <f t="shared" si="26"/>
        <v>0</v>
      </c>
      <c r="BR23" s="211"/>
      <c r="BS23" s="195">
        <f t="shared" si="0"/>
        <v>0</v>
      </c>
      <c r="BT23" s="201">
        <f t="shared" si="1"/>
        <v>0</v>
      </c>
      <c r="BU23" s="201">
        <f>第7期!AQ125*0.5</f>
        <v>0</v>
      </c>
      <c r="BV23" s="205" t="e">
        <f>AVERAGE(BT48:CI48)*初始化表!B$31</f>
        <v>#DIV/0!</v>
      </c>
      <c r="BW23" s="205" t="e">
        <f>$BT23*(AL125-BW$25)/BW$26*初始化表!B$30</f>
        <v>#DIV/0!</v>
      </c>
      <c r="BX23" s="205" t="e">
        <f>$BT23*(AM125-BX$25)/BX$26*初始化表!B$33</f>
        <v>#DIV/0!</v>
      </c>
      <c r="BY23" s="205" t="e">
        <f>$BT23*(AN125-BY$25)/BY$26*初始化表!B$32</f>
        <v>#DIV/0!</v>
      </c>
      <c r="BZ23" s="205" t="e">
        <f>$BT23*(AP125-BZ$25)/BZ$26*初始化表!B$34</f>
        <v>#DIV/0!</v>
      </c>
      <c r="CA23" s="205" t="e">
        <f>$BT$5*(AW125-CA$25)/CA$26*初始化表!B$36</f>
        <v>#DIV/0!</v>
      </c>
      <c r="CB23" s="205" t="e">
        <f t="shared" si="4"/>
        <v>#DIV/0!</v>
      </c>
      <c r="CC23" s="201">
        <f t="shared" si="5"/>
        <v>0</v>
      </c>
      <c r="CD23" s="229" t="e">
        <f t="shared" si="6"/>
        <v>#DIV/0!</v>
      </c>
      <c r="CE23" s="229">
        <f t="shared" si="7"/>
        <v>0</v>
      </c>
      <c r="CF23" s="229">
        <f t="shared" si="8"/>
        <v>0</v>
      </c>
      <c r="CG23" s="226"/>
      <c r="CH23" s="226"/>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row>
    <row r="24" s="61" customFormat="1" ht="16" customHeight="1" spans="1:119">
      <c r="A24" s="69"/>
      <c r="B24" s="72">
        <f>Q33</f>
        <v>0</v>
      </c>
      <c r="C24" s="72">
        <f>R35</f>
        <v>0</v>
      </c>
      <c r="D24" s="72">
        <f>O37</f>
        <v>0</v>
      </c>
      <c r="E24" s="72">
        <f>R37</f>
        <v>0</v>
      </c>
      <c r="F24" s="77">
        <f>R45</f>
        <v>1</v>
      </c>
      <c r="G24" s="73"/>
      <c r="H24" s="69"/>
      <c r="I24" s="68" t="s">
        <v>103</v>
      </c>
      <c r="J24" s="68" t="s">
        <v>299</v>
      </c>
      <c r="K24" s="68" t="s">
        <v>104</v>
      </c>
      <c r="L24" s="68" t="s">
        <v>300</v>
      </c>
      <c r="M24" s="96"/>
      <c r="N24" s="68" t="s">
        <v>564</v>
      </c>
      <c r="O24" s="68" t="s">
        <v>772</v>
      </c>
      <c r="P24" s="68" t="s">
        <v>773</v>
      </c>
      <c r="Q24" s="68" t="s">
        <v>774</v>
      </c>
      <c r="R24" s="68" t="s">
        <v>775</v>
      </c>
      <c r="S24" s="121"/>
      <c r="T24" s="120"/>
      <c r="U24" s="68" t="s">
        <v>465</v>
      </c>
      <c r="V24" s="115" t="e">
        <f>第7期!B7</f>
        <v>#DIV/0!</v>
      </c>
      <c r="W24" s="115" t="e">
        <f>第7期!C7</f>
        <v>#DIV/0!</v>
      </c>
      <c r="X24" s="115" t="e">
        <f>第7期!D7</f>
        <v>#DIV/0!</v>
      </c>
      <c r="Y24" s="115" t="e">
        <f>第7期!E7</f>
        <v>#DIV/0!</v>
      </c>
      <c r="Z24" s="102" t="e">
        <f>第7期!F7</f>
        <v>#DIV/0!</v>
      </c>
      <c r="AA24" s="73"/>
      <c r="AB24" s="151" t="s">
        <v>465</v>
      </c>
      <c r="AC24" s="157" t="e">
        <f>AC12/初始化表!$F$17</f>
        <v>#DIV/0!</v>
      </c>
      <c r="AD24" s="157" t="e">
        <f>AD12/初始化表!$F$17</f>
        <v>#DIV/0!</v>
      </c>
      <c r="AE24" s="157" t="e">
        <f>AE12/初始化表!$F$17</f>
        <v>#DIV/0!</v>
      </c>
      <c r="AF24" s="157" t="e">
        <f>AF12/初始化表!$F$17</f>
        <v>#DIV/0!</v>
      </c>
      <c r="AG24" s="74"/>
      <c r="AH24" s="73"/>
      <c r="AI24" s="164"/>
      <c r="AJ24" s="164"/>
      <c r="AK24" s="164"/>
      <c r="AL24" s="164">
        <f>Y45</f>
        <v>0</v>
      </c>
      <c r="AM24" s="165"/>
      <c r="AN24" s="166"/>
      <c r="AO24" s="164"/>
      <c r="AP24" s="164"/>
      <c r="AQ24" s="186"/>
      <c r="AR24" s="103">
        <f>SUM(AL21:AL24)</f>
        <v>0</v>
      </c>
      <c r="AS24" s="103">
        <f t="shared" si="27"/>
        <v>0</v>
      </c>
      <c r="AT24" s="103">
        <f>SUMIF(AS21:AS24,"&gt;=0",AS21:AS24)</f>
        <v>0</v>
      </c>
      <c r="AU24" s="103">
        <f>SUM(AO21:AO24)</f>
        <v>0</v>
      </c>
      <c r="AV24" s="103">
        <f>SUM(AP21:AP24)</f>
        <v>0</v>
      </c>
      <c r="AW24" s="103">
        <f>SUM(AQ21:AQ24)</f>
        <v>0</v>
      </c>
      <c r="AZ24" s="193"/>
      <c r="BA24" s="196">
        <f t="shared" si="10"/>
        <v>0</v>
      </c>
      <c r="BB24" s="197">
        <f t="shared" si="11"/>
        <v>0</v>
      </c>
      <c r="BC24" s="197">
        <f t="shared" si="12"/>
        <v>0</v>
      </c>
      <c r="BD24" s="197">
        <f t="shared" si="13"/>
        <v>0</v>
      </c>
      <c r="BE24" s="197">
        <f t="shared" si="14"/>
        <v>0</v>
      </c>
      <c r="BF24" s="197">
        <f t="shared" si="15"/>
        <v>0</v>
      </c>
      <c r="BG24" s="197">
        <f t="shared" si="16"/>
        <v>0</v>
      </c>
      <c r="BH24" s="197">
        <f t="shared" si="17"/>
        <v>0</v>
      </c>
      <c r="BI24" s="197">
        <f t="shared" si="18"/>
        <v>0</v>
      </c>
      <c r="BJ24" s="197">
        <f t="shared" si="19"/>
        <v>0</v>
      </c>
      <c r="BK24" s="197">
        <f t="shared" si="20"/>
        <v>0</v>
      </c>
      <c r="BL24" s="197">
        <f t="shared" si="21"/>
        <v>0</v>
      </c>
      <c r="BM24" s="197">
        <f t="shared" si="22"/>
        <v>0</v>
      </c>
      <c r="BN24" s="197">
        <f t="shared" si="23"/>
        <v>0</v>
      </c>
      <c r="BO24" s="197">
        <f t="shared" si="24"/>
        <v>0</v>
      </c>
      <c r="BP24" s="197">
        <f t="shared" si="25"/>
        <v>0</v>
      </c>
      <c r="BQ24" s="197">
        <f t="shared" si="26"/>
        <v>0</v>
      </c>
      <c r="BR24" s="211"/>
      <c r="BS24" s="195">
        <f t="shared" si="0"/>
        <v>0</v>
      </c>
      <c r="BT24" s="201">
        <f t="shared" si="1"/>
        <v>0</v>
      </c>
      <c r="BU24" s="201">
        <f>第7期!AQ126*0.5</f>
        <v>0</v>
      </c>
      <c r="BV24" s="205" t="e">
        <f>AVERAGE(BT49:CI49)*初始化表!B$31</f>
        <v>#DIV/0!</v>
      </c>
      <c r="BW24" s="205" t="e">
        <f>$BT24*(AL126-BW$25)/BW$26*初始化表!B$30</f>
        <v>#DIV/0!</v>
      </c>
      <c r="BX24" s="205" t="e">
        <f>$BT24*(AM126-BX$25)/BX$26*初始化表!B$33</f>
        <v>#DIV/0!</v>
      </c>
      <c r="BY24" s="205" t="e">
        <f>$BT24*(AN126-BY$25)/BY$26*初始化表!B$32</f>
        <v>#DIV/0!</v>
      </c>
      <c r="BZ24" s="205" t="e">
        <f>$BT24*(AP126-BZ$25)/BZ$26*初始化表!B$34</f>
        <v>#DIV/0!</v>
      </c>
      <c r="CA24" s="205" t="e">
        <f>$BT$5*(AW126-CA$25)/CA$26*初始化表!B$36</f>
        <v>#DIV/0!</v>
      </c>
      <c r="CB24" s="205" t="e">
        <f t="shared" si="4"/>
        <v>#DIV/0!</v>
      </c>
      <c r="CC24" s="201">
        <f t="shared" si="5"/>
        <v>0</v>
      </c>
      <c r="CD24" s="229" t="e">
        <f t="shared" si="6"/>
        <v>#DIV/0!</v>
      </c>
      <c r="CE24" s="229">
        <f t="shared" si="7"/>
        <v>0</v>
      </c>
      <c r="CF24" s="229">
        <f t="shared" si="8"/>
        <v>0</v>
      </c>
      <c r="CG24" s="226"/>
      <c r="CH24" s="226"/>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row>
    <row r="25" s="61" customFormat="1" ht="16" customHeight="1" spans="1:121">
      <c r="A25" s="74"/>
      <c r="B25" s="74"/>
      <c r="C25" s="74"/>
      <c r="D25" s="74"/>
      <c r="E25" s="74"/>
      <c r="F25" s="74"/>
      <c r="G25" s="73"/>
      <c r="H25" s="68" t="s">
        <v>464</v>
      </c>
      <c r="I25" s="97"/>
      <c r="J25" s="97"/>
      <c r="K25" s="97"/>
      <c r="L25" s="97"/>
      <c r="M25" s="98">
        <f>SUM(I25:L25)</f>
        <v>0</v>
      </c>
      <c r="N25" s="68" t="s">
        <v>276</v>
      </c>
      <c r="O25" s="83" t="e">
        <f>INT(SUMPRODUCT(V42:Y42,B6:E6)*O6/1000+0.5)*1000</f>
        <v>#DIV/0!</v>
      </c>
      <c r="P25" s="83" t="e">
        <f>INT(SUMPRODUCT(V43:Y43,B7:E7)*P6/1000+0.5)*1000</f>
        <v>#DIV/0!</v>
      </c>
      <c r="Q25" s="83" t="e">
        <f>INT(SUMPRODUCT(V44:Y44,B8:E8)*Q6/1000+0.5)*1000</f>
        <v>#DIV/0!</v>
      </c>
      <c r="R25" s="83" t="e">
        <f>INT(SUMPRODUCT(V45:Y45,B9:E9)*R6/1000+0.5)*1000</f>
        <v>#DIV/0!</v>
      </c>
      <c r="S25" s="131"/>
      <c r="T25" s="120"/>
      <c r="U25" s="68" t="s">
        <v>466</v>
      </c>
      <c r="V25" s="115" t="e">
        <f>第7期!B8</f>
        <v>#DIV/0!</v>
      </c>
      <c r="W25" s="115" t="e">
        <f>第7期!C8</f>
        <v>#DIV/0!</v>
      </c>
      <c r="X25" s="115" t="e">
        <f>第7期!D8</f>
        <v>#DIV/0!</v>
      </c>
      <c r="Y25" s="115" t="e">
        <f>第7期!E8</f>
        <v>#DIV/0!</v>
      </c>
      <c r="Z25" s="102" t="e">
        <f>第7期!F8</f>
        <v>#DIV/0!</v>
      </c>
      <c r="AA25" s="73"/>
      <c r="AB25" s="151" t="s">
        <v>466</v>
      </c>
      <c r="AC25" s="157" t="e">
        <f>AC13/初始化表!$G$17</f>
        <v>#DIV/0!</v>
      </c>
      <c r="AD25" s="157" t="e">
        <f>AD13/初始化表!$G$17</f>
        <v>#DIV/0!</v>
      </c>
      <c r="AE25" s="157" t="e">
        <f>AE13/初始化表!$G$17</f>
        <v>#DIV/0!</v>
      </c>
      <c r="AF25" s="157" t="e">
        <f>AF13/初始化表!$G$17</f>
        <v>#DIV/0!</v>
      </c>
      <c r="AG25" s="74"/>
      <c r="AH25" s="73"/>
      <c r="AI25" s="171"/>
      <c r="AJ25" s="171"/>
      <c r="AK25" s="171"/>
      <c r="AL25" s="171"/>
      <c r="AM25" s="171"/>
      <c r="AN25" s="171"/>
      <c r="AO25" s="187"/>
      <c r="AP25" s="187"/>
      <c r="AQ25" s="188"/>
      <c r="AR25" s="103"/>
      <c r="AS25" s="103"/>
      <c r="AT25" s="103"/>
      <c r="AU25" s="189">
        <f>(AU12*初始化表!E17+AU16*初始化表!F17+AU20*初始化表!G17+AU24*初始化表!H17)/1300</f>
        <v>0</v>
      </c>
      <c r="AV25" s="189">
        <f>(AV12*初始化表!E17+AV16*初始化表!F17+AV20*初始化表!G17+AV24*初始化表!H17)/1300</f>
        <v>0</v>
      </c>
      <c r="AW25" s="189">
        <f>(AW12*初始化表!E17+AW16*初始化表!F17+AW20*初始化表!G17+AW24*初始化表!H17)/1300</f>
        <v>0</v>
      </c>
      <c r="AZ25" s="193"/>
      <c r="BA25" s="196">
        <f t="shared" si="10"/>
        <v>0</v>
      </c>
      <c r="BB25" s="197">
        <f t="shared" si="11"/>
        <v>0</v>
      </c>
      <c r="BC25" s="197">
        <f t="shared" si="12"/>
        <v>0</v>
      </c>
      <c r="BD25" s="197">
        <f t="shared" si="13"/>
        <v>0</v>
      </c>
      <c r="BE25" s="197">
        <f t="shared" si="14"/>
        <v>0</v>
      </c>
      <c r="BF25" s="197">
        <f t="shared" si="15"/>
        <v>0</v>
      </c>
      <c r="BG25" s="197">
        <f t="shared" si="16"/>
        <v>0</v>
      </c>
      <c r="BH25" s="197">
        <f t="shared" si="17"/>
        <v>0</v>
      </c>
      <c r="BI25" s="197">
        <f t="shared" si="18"/>
        <v>0</v>
      </c>
      <c r="BJ25" s="197">
        <f t="shared" si="19"/>
        <v>0</v>
      </c>
      <c r="BK25" s="197">
        <f t="shared" si="20"/>
        <v>0</v>
      </c>
      <c r="BL25" s="197">
        <f t="shared" si="21"/>
        <v>0</v>
      </c>
      <c r="BM25" s="197">
        <f t="shared" si="22"/>
        <v>0</v>
      </c>
      <c r="BN25" s="197">
        <f t="shared" si="23"/>
        <v>0</v>
      </c>
      <c r="BO25" s="197">
        <f t="shared" si="24"/>
        <v>0</v>
      </c>
      <c r="BP25" s="197">
        <f t="shared" si="25"/>
        <v>0</v>
      </c>
      <c r="BQ25" s="197">
        <f t="shared" si="26"/>
        <v>0</v>
      </c>
      <c r="BR25" s="211"/>
      <c r="BS25" s="194" t="s">
        <v>569</v>
      </c>
      <c r="BT25" s="208"/>
      <c r="BU25" s="208"/>
      <c r="BV25" s="208"/>
      <c r="BW25" s="201" t="e">
        <f>SUM(AL107:AL126)/初始化表!$B5</f>
        <v>#DIV/0!</v>
      </c>
      <c r="BX25" s="201" t="e">
        <f>SUM(AM107:AM126)/初始化表!$B5</f>
        <v>#DIV/0!</v>
      </c>
      <c r="BY25" s="201" t="e">
        <f>SUM(AN107:AN126)/初始化表!$B5</f>
        <v>#DIV/0!</v>
      </c>
      <c r="BZ25" s="201" t="e">
        <f>SUM(AP107:AP126)/初始化表!$B5</f>
        <v>#DIV/0!</v>
      </c>
      <c r="CA25" s="208"/>
      <c r="CB25" s="208"/>
      <c r="CC25" s="208"/>
      <c r="CD25" s="208"/>
      <c r="CE25" s="208"/>
      <c r="CF25" s="208"/>
      <c r="CG25" s="203"/>
      <c r="CH25" s="203"/>
      <c r="CI25" s="203"/>
      <c r="CJ25" s="226"/>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row>
    <row r="26" s="61" customFormat="1" ht="16" customHeight="1" spans="1:121">
      <c r="A26" s="68" t="s">
        <v>422</v>
      </c>
      <c r="B26" s="69"/>
      <c r="C26" s="69"/>
      <c r="D26" s="69"/>
      <c r="E26" s="69"/>
      <c r="F26" s="69"/>
      <c r="G26" s="73"/>
      <c r="H26" s="68" t="s">
        <v>465</v>
      </c>
      <c r="I26" s="97"/>
      <c r="J26" s="97"/>
      <c r="K26" s="97"/>
      <c r="L26" s="97"/>
      <c r="M26" s="98">
        <f t="shared" ref="M26:M28" si="42">SUM(I26:L26)</f>
        <v>0</v>
      </c>
      <c r="N26" s="68" t="s">
        <v>280</v>
      </c>
      <c r="O26" s="83" t="e">
        <f>INT(SUMPRODUCT(V42:V45,B6:B9)*O8/1000+0.5)*1000</f>
        <v>#DIV/0!</v>
      </c>
      <c r="P26" s="83" t="e">
        <f>INT(SUMPRODUCT(W42:W45,C6:C9)*P8/1000+0.5)*1000</f>
        <v>#DIV/0!</v>
      </c>
      <c r="Q26" s="83" t="e">
        <f>INT(SUMPRODUCT(X42:X45,D6:D9)*Q8/1000+0.5)*1000</f>
        <v>#DIV/0!</v>
      </c>
      <c r="R26" s="83" t="e">
        <f>INT(SUMPRODUCT(Y42:Y45,E6:E9)*R8/1000+0.5)*1000</f>
        <v>#DIV/0!</v>
      </c>
      <c r="S26" s="131"/>
      <c r="T26" s="120"/>
      <c r="U26" s="68" t="s">
        <v>468</v>
      </c>
      <c r="V26" s="115" t="e">
        <f>第7期!B9</f>
        <v>#DIV/0!</v>
      </c>
      <c r="W26" s="115" t="e">
        <f>第7期!C9</f>
        <v>#DIV/0!</v>
      </c>
      <c r="X26" s="115" t="e">
        <f>第7期!D9</f>
        <v>#DIV/0!</v>
      </c>
      <c r="Y26" s="115" t="e">
        <f>第7期!E9</f>
        <v>#DIV/0!</v>
      </c>
      <c r="Z26" s="102" t="e">
        <f>第7期!F9</f>
        <v>#DIV/0!</v>
      </c>
      <c r="AA26" s="73"/>
      <c r="AB26" s="151" t="s">
        <v>468</v>
      </c>
      <c r="AC26" s="157" t="e">
        <f>AC14/初始化表!$H$17</f>
        <v>#DIV/0!</v>
      </c>
      <c r="AD26" s="157" t="e">
        <f>AD14/初始化表!$H$17</f>
        <v>#DIV/0!</v>
      </c>
      <c r="AE26" s="157" t="e">
        <f>AE14/初始化表!$H$17</f>
        <v>#DIV/0!</v>
      </c>
      <c r="AF26" s="157" t="e">
        <f>AF14/初始化表!$H$17</f>
        <v>#DIV/0!</v>
      </c>
      <c r="AG26" s="74"/>
      <c r="AH26" s="73"/>
      <c r="AI26" s="172"/>
      <c r="AJ26" s="172">
        <f>I56</f>
        <v>0</v>
      </c>
      <c r="AK26" s="173"/>
      <c r="AL26" s="173"/>
      <c r="AM26" s="172"/>
      <c r="AN26" s="174">
        <f>O43</f>
        <v>0.95</v>
      </c>
      <c r="AO26" s="187"/>
      <c r="AP26" s="187"/>
      <c r="AQ26" s="188"/>
      <c r="AR26" s="103"/>
      <c r="AS26" s="190" t="s">
        <v>449</v>
      </c>
      <c r="AT26" s="189">
        <f>(SUM(AM9:AM12)*初始化表!E17+SUM(AM13:AM16)*初始化表!F17+SUM(AM17:AM20)*初始化表!G17+SUM(AM21:AM24)*初始化表!H17)/1300</f>
        <v>0</v>
      </c>
      <c r="AU26" s="103"/>
      <c r="AV26" s="103"/>
      <c r="AW26" s="103"/>
      <c r="AZ26" s="193"/>
      <c r="BA26" s="196">
        <f t="shared" si="10"/>
        <v>0</v>
      </c>
      <c r="BB26" s="197">
        <f t="shared" si="11"/>
        <v>0</v>
      </c>
      <c r="BC26" s="197">
        <f t="shared" si="12"/>
        <v>0</v>
      </c>
      <c r="BD26" s="197">
        <f t="shared" si="13"/>
        <v>0</v>
      </c>
      <c r="BE26" s="197">
        <f t="shared" si="14"/>
        <v>0</v>
      </c>
      <c r="BF26" s="197">
        <f t="shared" si="15"/>
        <v>0</v>
      </c>
      <c r="BG26" s="197">
        <f t="shared" si="16"/>
        <v>0</v>
      </c>
      <c r="BH26" s="197">
        <f t="shared" si="17"/>
        <v>0</v>
      </c>
      <c r="BI26" s="197">
        <f t="shared" si="18"/>
        <v>0</v>
      </c>
      <c r="BJ26" s="197">
        <f t="shared" si="19"/>
        <v>0</v>
      </c>
      <c r="BK26" s="197">
        <f t="shared" si="20"/>
        <v>0</v>
      </c>
      <c r="BL26" s="197">
        <f t="shared" si="21"/>
        <v>0</v>
      </c>
      <c r="BM26" s="197">
        <f t="shared" si="22"/>
        <v>0</v>
      </c>
      <c r="BN26" s="197">
        <f t="shared" si="23"/>
        <v>0</v>
      </c>
      <c r="BO26" s="197">
        <f t="shared" si="24"/>
        <v>0</v>
      </c>
      <c r="BP26" s="197">
        <f t="shared" si="25"/>
        <v>0</v>
      </c>
      <c r="BQ26" s="197">
        <f t="shared" si="26"/>
        <v>0</v>
      </c>
      <c r="BR26" s="211"/>
      <c r="BS26" s="194" t="s">
        <v>570</v>
      </c>
      <c r="BT26" s="208"/>
      <c r="BU26" s="208"/>
      <c r="BV26" s="208"/>
      <c r="BW26" s="221" t="e">
        <f>STDEV.P(AL107:AL126)</f>
        <v>#DIV/0!</v>
      </c>
      <c r="BX26" s="222" t="e">
        <f>STDEV.P(AM107:AM126)</f>
        <v>#DIV/0!</v>
      </c>
      <c r="BY26" s="222" t="e">
        <f>STDEV.P(AN107:AN126)</f>
        <v>#DIV/0!</v>
      </c>
      <c r="BZ26" s="222" t="e">
        <f>STDEV.P(AP107:AP126)</f>
        <v>#DIV/0!</v>
      </c>
      <c r="CA26" s="203"/>
      <c r="CB26" s="203"/>
      <c r="CC26" s="203"/>
      <c r="CD26" s="203"/>
      <c r="CE26" s="203"/>
      <c r="CF26" s="203"/>
      <c r="CG26" s="203"/>
      <c r="CH26" s="203"/>
      <c r="CI26" s="203"/>
      <c r="CJ26" s="226"/>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row>
    <row r="27" s="61" customFormat="1" ht="16" customHeight="1" spans="1:121">
      <c r="A27" s="68" t="s">
        <v>790</v>
      </c>
      <c r="B27" s="69"/>
      <c r="C27" s="68" t="s">
        <v>791</v>
      </c>
      <c r="D27" s="68" t="s">
        <v>573</v>
      </c>
      <c r="E27" s="68" t="s">
        <v>574</v>
      </c>
      <c r="F27" s="68" t="s">
        <v>575</v>
      </c>
      <c r="G27" s="73"/>
      <c r="H27" s="68" t="s">
        <v>466</v>
      </c>
      <c r="I27" s="97"/>
      <c r="J27" s="97"/>
      <c r="K27" s="97"/>
      <c r="L27" s="97"/>
      <c r="M27" s="98">
        <f t="shared" si="42"/>
        <v>0</v>
      </c>
      <c r="N27" s="68" t="s">
        <v>576</v>
      </c>
      <c r="O27" s="68" t="s">
        <v>772</v>
      </c>
      <c r="P27" s="68" t="s">
        <v>773</v>
      </c>
      <c r="Q27" s="68" t="s">
        <v>774</v>
      </c>
      <c r="R27" s="68" t="s">
        <v>775</v>
      </c>
      <c r="S27" s="121"/>
      <c r="T27" s="120"/>
      <c r="U27" s="68" t="s">
        <v>280</v>
      </c>
      <c r="V27" s="102" t="e">
        <f>第7期!B10</f>
        <v>#DIV/0!</v>
      </c>
      <c r="W27" s="102" t="e">
        <f>第7期!C10</f>
        <v>#DIV/0!</v>
      </c>
      <c r="X27" s="102" t="e">
        <f>第7期!D10</f>
        <v>#DIV/0!</v>
      </c>
      <c r="Y27" s="102" t="e">
        <f>第7期!E10</f>
        <v>#DIV/0!</v>
      </c>
      <c r="Z27" s="158"/>
      <c r="AA27" s="73"/>
      <c r="AB27" s="155"/>
      <c r="AC27" s="155"/>
      <c r="AD27" s="155"/>
      <c r="AE27" s="155"/>
      <c r="AF27" s="155"/>
      <c r="AG27" s="155"/>
      <c r="AH27" s="73"/>
      <c r="AI27" s="172"/>
      <c r="AJ27" s="172">
        <f>J56</f>
        <v>0</v>
      </c>
      <c r="AK27" s="173"/>
      <c r="AL27" s="173"/>
      <c r="AM27" s="172"/>
      <c r="AN27" s="174">
        <f>P43</f>
        <v>0.95</v>
      </c>
      <c r="AO27" s="187"/>
      <c r="AP27" s="187"/>
      <c r="AQ27" s="188"/>
      <c r="AR27" s="103"/>
      <c r="AS27" s="190" t="s">
        <v>453</v>
      </c>
      <c r="AT27" s="189">
        <f>(AR12*初始化表!E17+AR16*初始化表!F17+AR20*初始化表!G17+AR24*初始化表!H17)/1300</f>
        <v>0</v>
      </c>
      <c r="AU27" s="103"/>
      <c r="AV27" s="103"/>
      <c r="AW27" s="103"/>
      <c r="AZ27" s="193"/>
      <c r="BA27" s="194" t="s">
        <v>577</v>
      </c>
      <c r="BB27" s="198">
        <f t="shared" ref="BB27:BQ27" si="43">INT(SUMPRODUCT(AJ37:AJ56,AJ61:AJ80))</f>
        <v>0</v>
      </c>
      <c r="BC27" s="198">
        <f t="shared" si="43"/>
        <v>0</v>
      </c>
      <c r="BD27" s="198">
        <f t="shared" si="43"/>
        <v>0</v>
      </c>
      <c r="BE27" s="198">
        <f t="shared" si="43"/>
        <v>0</v>
      </c>
      <c r="BF27" s="198">
        <f t="shared" si="43"/>
        <v>0</v>
      </c>
      <c r="BG27" s="198">
        <f t="shared" si="43"/>
        <v>0</v>
      </c>
      <c r="BH27" s="198">
        <f t="shared" si="43"/>
        <v>0</v>
      </c>
      <c r="BI27" s="198">
        <f t="shared" si="43"/>
        <v>0</v>
      </c>
      <c r="BJ27" s="198">
        <f t="shared" si="43"/>
        <v>0</v>
      </c>
      <c r="BK27" s="198">
        <f t="shared" si="43"/>
        <v>0</v>
      </c>
      <c r="BL27" s="198">
        <f t="shared" si="43"/>
        <v>0</v>
      </c>
      <c r="BM27" s="198">
        <f t="shared" si="43"/>
        <v>0</v>
      </c>
      <c r="BN27" s="198">
        <f t="shared" si="43"/>
        <v>0</v>
      </c>
      <c r="BO27" s="198">
        <f t="shared" si="43"/>
        <v>0</v>
      </c>
      <c r="BP27" s="198">
        <f t="shared" si="43"/>
        <v>0</v>
      </c>
      <c r="BQ27" s="198">
        <f t="shared" si="43"/>
        <v>0</v>
      </c>
      <c r="BR27" s="211"/>
      <c r="BS27" s="212" t="s">
        <v>578</v>
      </c>
      <c r="BT27" s="212"/>
      <c r="BU27" s="212"/>
      <c r="BV27" s="212"/>
      <c r="BW27" s="223" t="e">
        <f>100000/BW26*初始化表!B30</f>
        <v>#DIV/0!</v>
      </c>
      <c r="BX27" s="223" t="e">
        <f>100000/BX26*初始化表!B33</f>
        <v>#DIV/0!</v>
      </c>
      <c r="BY27" s="223" t="e">
        <f>100000/BY26*初始化表!B32</f>
        <v>#DIV/0!</v>
      </c>
      <c r="BZ27" s="223" t="e">
        <f>100000/BZ26*初始化表!B34</f>
        <v>#DIV/0!</v>
      </c>
      <c r="CA27" s="211"/>
      <c r="CB27" s="211"/>
      <c r="CC27" s="211"/>
      <c r="CD27" s="211"/>
      <c r="CE27" s="211"/>
      <c r="CF27" s="211"/>
      <c r="CG27" s="211"/>
      <c r="CH27" s="211"/>
      <c r="CI27" s="211"/>
      <c r="CJ27" s="226"/>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row>
    <row r="28" s="61" customFormat="1" ht="16" customHeight="1" spans="1:121">
      <c r="A28" s="68" t="s">
        <v>361</v>
      </c>
      <c r="B28" s="69"/>
      <c r="C28" s="79" t="e">
        <f>第7期!F64</f>
        <v>#DIV/0!</v>
      </c>
      <c r="D28" s="79"/>
      <c r="E28" s="79"/>
      <c r="F28" s="79"/>
      <c r="G28" s="73"/>
      <c r="H28" s="68" t="s">
        <v>468</v>
      </c>
      <c r="I28" s="97"/>
      <c r="J28" s="97"/>
      <c r="K28" s="97"/>
      <c r="L28" s="97"/>
      <c r="M28" s="98">
        <f t="shared" si="42"/>
        <v>0</v>
      </c>
      <c r="N28" s="68" t="s">
        <v>276</v>
      </c>
      <c r="O28" s="93" t="e">
        <f>O25</f>
        <v>#DIV/0!</v>
      </c>
      <c r="P28" s="93" t="e">
        <f t="shared" ref="P28:R28" si="44">P25</f>
        <v>#DIV/0!</v>
      </c>
      <c r="Q28" s="93" t="e">
        <f t="shared" si="44"/>
        <v>#DIV/0!</v>
      </c>
      <c r="R28" s="93" t="e">
        <f t="shared" si="44"/>
        <v>#DIV/0!</v>
      </c>
      <c r="S28" s="131"/>
      <c r="T28" s="120"/>
      <c r="U28" s="123"/>
      <c r="V28" s="74"/>
      <c r="W28" s="74"/>
      <c r="X28" s="74"/>
      <c r="Y28" s="74"/>
      <c r="Z28" s="74"/>
      <c r="AA28" s="73"/>
      <c r="AB28" s="151" t="s">
        <v>579</v>
      </c>
      <c r="AC28" s="151" t="s">
        <v>459</v>
      </c>
      <c r="AD28" s="151" t="s">
        <v>460</v>
      </c>
      <c r="AE28" s="151" t="s">
        <v>461</v>
      </c>
      <c r="AF28" s="151" t="s">
        <v>462</v>
      </c>
      <c r="AG28" s="74"/>
      <c r="AH28" s="73"/>
      <c r="AI28" s="172"/>
      <c r="AJ28" s="172">
        <f>K56</f>
        <v>0</v>
      </c>
      <c r="AK28" s="173"/>
      <c r="AL28" s="173"/>
      <c r="AM28" s="172"/>
      <c r="AN28" s="174">
        <f>Q43</f>
        <v>0.95</v>
      </c>
      <c r="AO28" s="187"/>
      <c r="AP28" s="187"/>
      <c r="AQ28" s="188"/>
      <c r="AR28" s="103"/>
      <c r="AS28" s="190" t="s">
        <v>454</v>
      </c>
      <c r="AT28" s="189">
        <f>(AT12*初始化表!E17+AT16*初始化表!F17+AT20*初始化表!G17+AT24*初始化表!H17)/1300</f>
        <v>0</v>
      </c>
      <c r="AU28" s="103"/>
      <c r="AV28" s="190" t="s">
        <v>580</v>
      </c>
      <c r="AW28" s="189">
        <f>(SUM(I25:L25)*初始化表!E17+SUM(I26:L26)*初始化表!F17+SUM(I27:L27)*初始化表!G17+SUM(I28:L28)*初始化表!H17)/1300</f>
        <v>0</v>
      </c>
      <c r="AZ28" s="193"/>
      <c r="BA28" s="194" t="s">
        <v>581</v>
      </c>
      <c r="BB28" s="199">
        <f>IF(ISERROR(AM9/AN9),0,AM9/AN9)</f>
        <v>0</v>
      </c>
      <c r="BC28" s="199">
        <f>IF(ISERROR($AM$10/$AN$10),0,$AM$10/$AN$10)</f>
        <v>0</v>
      </c>
      <c r="BD28" s="199">
        <f>IF(ISERROR($AM$11/$AN$11),0,$AM$11/$AN$11)</f>
        <v>0</v>
      </c>
      <c r="BE28" s="199">
        <f>IF(ISERROR($AM$12/$AN$12),0,$AM$12/$AN$12)</f>
        <v>0</v>
      </c>
      <c r="BF28" s="199">
        <f>IF(ISERROR($AM$13/$AN$13),0,$AM$13/$AN$13)</f>
        <v>0</v>
      </c>
      <c r="BG28" s="199">
        <f>IF(ISERROR($AM$14/$AN$14),0,$AM$14/$AN$14)</f>
        <v>0</v>
      </c>
      <c r="BH28" s="199">
        <f>IF(ISERROR($AM$15/$AN$15),0,$AM$15/$AN$15)</f>
        <v>0</v>
      </c>
      <c r="BI28" s="199">
        <f>IF(ISERROR($AM$16/$AN$16),0,$AM$16/$AN$16)</f>
        <v>0</v>
      </c>
      <c r="BJ28" s="199">
        <f>IF(ISERROR($AM$17/$AN$17),0,$AM$17/$AN$17)</f>
        <v>0</v>
      </c>
      <c r="BK28" s="199">
        <f>IF(ISERROR($AM$18/$AN$18),0,$AM$18/$AN$18)</f>
        <v>0</v>
      </c>
      <c r="BL28" s="199">
        <f>IF(ISERROR($AM$19/$AN$19),0,$AM$19/$AN$19)</f>
        <v>0</v>
      </c>
      <c r="BM28" s="199">
        <f>IF(ISERROR($AM$20/$AN$20),0,$AM$20/$AN$20)</f>
        <v>0</v>
      </c>
      <c r="BN28" s="199">
        <f>IF(ISERROR($AM$21/$AN$21),0,$AM$21/$AN$21)</f>
        <v>0</v>
      </c>
      <c r="BO28" s="199">
        <f>IF(ISERROR($AM$22/$AN$22),0,$AM$22/$AN$22)</f>
        <v>0</v>
      </c>
      <c r="BP28" s="199">
        <f>IF(ISERROR($AM$23/$AN$23),0,$AM$23/$AN$23)</f>
        <v>0</v>
      </c>
      <c r="BQ28" s="199">
        <f>IF(ISERROR($AM$24/$AN$24),0,$AM$24/$AN$24)</f>
        <v>0</v>
      </c>
      <c r="BR28" s="211"/>
      <c r="BS28" s="194" t="s">
        <v>37</v>
      </c>
      <c r="BT28" s="194" t="s">
        <v>521</v>
      </c>
      <c r="BU28" s="195"/>
      <c r="BV28" s="195"/>
      <c r="BW28" s="195"/>
      <c r="BX28" s="194" t="s">
        <v>522</v>
      </c>
      <c r="BY28" s="195"/>
      <c r="BZ28" s="195"/>
      <c r="CA28" s="195"/>
      <c r="CB28" s="194" t="s">
        <v>523</v>
      </c>
      <c r="CC28" s="195"/>
      <c r="CD28" s="195"/>
      <c r="CE28" s="195"/>
      <c r="CF28" s="194" t="s">
        <v>524</v>
      </c>
      <c r="CG28" s="195"/>
      <c r="CH28" s="195"/>
      <c r="CI28" s="195"/>
      <c r="CJ28" s="226"/>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row>
    <row r="29" s="61" customFormat="1" ht="16" customHeight="1" spans="1:121">
      <c r="A29" s="68" t="s">
        <v>309</v>
      </c>
      <c r="B29" s="69"/>
      <c r="C29" s="77">
        <f>B24</f>
        <v>0</v>
      </c>
      <c r="D29" s="79"/>
      <c r="E29" s="79"/>
      <c r="F29" s="79" t="e">
        <f>C28+C29</f>
        <v>#DIV/0!</v>
      </c>
      <c r="G29" s="73"/>
      <c r="H29" s="80" t="s">
        <v>582</v>
      </c>
      <c r="I29" s="81">
        <f>(H17-C22+初始化表!H4*B22)-((B17+D17)*初始化表!E18+(B18+D18)*初始化表!F18+(B19+D19)*初始化表!G18+(B20+D20)*初始化表!H18)/520</f>
        <v>0</v>
      </c>
      <c r="J29" s="80" t="s">
        <v>583</v>
      </c>
      <c r="K29" s="99">
        <f>H43-(SUM(B17:E17)*初始化表!E19+SUM(B18:E18)*初始化表!F19+SUM(B19:E19)*初始化表!G19+SUM(B20:E20)*初始化表!H19)</f>
        <v>0</v>
      </c>
      <c r="L29" s="99"/>
      <c r="M29" s="100"/>
      <c r="N29" s="68" t="s">
        <v>280</v>
      </c>
      <c r="O29" s="93" t="e">
        <f>O26</f>
        <v>#DIV/0!</v>
      </c>
      <c r="P29" s="93" t="e">
        <f t="shared" ref="P29:R29" si="45">P26</f>
        <v>#DIV/0!</v>
      </c>
      <c r="Q29" s="93" t="e">
        <f t="shared" si="45"/>
        <v>#DIV/0!</v>
      </c>
      <c r="R29" s="93" t="e">
        <f t="shared" si="45"/>
        <v>#DIV/0!</v>
      </c>
      <c r="S29" s="131"/>
      <c r="T29" s="120"/>
      <c r="U29" s="68" t="s">
        <v>584</v>
      </c>
      <c r="V29" s="68" t="s">
        <v>459</v>
      </c>
      <c r="W29" s="68" t="s">
        <v>460</v>
      </c>
      <c r="X29" s="68" t="s">
        <v>461</v>
      </c>
      <c r="Y29" s="68" t="s">
        <v>462</v>
      </c>
      <c r="Z29" s="74"/>
      <c r="AA29" s="73"/>
      <c r="AB29" s="151" t="s">
        <v>198</v>
      </c>
      <c r="AC29" s="156" t="e">
        <f t="shared" ref="AC29:AF32" si="46">AC11/AD5</f>
        <v>#DIV/0!</v>
      </c>
      <c r="AD29" s="156" t="e">
        <f t="shared" si="46"/>
        <v>#DIV/0!</v>
      </c>
      <c r="AE29" s="156" t="e">
        <f t="shared" si="46"/>
        <v>#DIV/0!</v>
      </c>
      <c r="AF29" s="156" t="e">
        <f t="shared" si="46"/>
        <v>#DIV/0!</v>
      </c>
      <c r="AG29" s="74"/>
      <c r="AH29" s="73"/>
      <c r="AI29" s="172"/>
      <c r="AJ29" s="175">
        <f>L56</f>
        <v>0</v>
      </c>
      <c r="AK29" s="173"/>
      <c r="AL29" s="173"/>
      <c r="AM29" s="172"/>
      <c r="AN29" s="174">
        <f>R43</f>
        <v>0.95</v>
      </c>
      <c r="AO29" s="187"/>
      <c r="AP29" s="187"/>
      <c r="AQ29" s="188"/>
      <c r="AR29" s="103"/>
      <c r="AS29" s="190" t="s">
        <v>455</v>
      </c>
      <c r="AT29" s="189">
        <f>(SUM(AK9:AK12)*初始化表!E17+SUM(AK13:AK16)*初始化表!F17+SUM(AK17:AK20)*初始化表!G17+SUM(AK21:AK24)*初始化表!H17)/1300</f>
        <v>0</v>
      </c>
      <c r="AU29" s="103"/>
      <c r="AV29" s="190"/>
      <c r="AW29" s="189"/>
      <c r="AZ29" s="193"/>
      <c r="BA29" s="200" t="s">
        <v>585</v>
      </c>
      <c r="BB29" s="201" t="e">
        <f>B6</f>
        <v>#DIV/0!</v>
      </c>
      <c r="BC29" s="201" t="e">
        <f>C6</f>
        <v>#DIV/0!</v>
      </c>
      <c r="BD29" s="201" t="e">
        <f>D6</f>
        <v>#DIV/0!</v>
      </c>
      <c r="BE29" s="201" t="e">
        <f>E6</f>
        <v>#DIV/0!</v>
      </c>
      <c r="BF29" s="201" t="e">
        <f>B7</f>
        <v>#DIV/0!</v>
      </c>
      <c r="BG29" s="201" t="e">
        <f>C7</f>
        <v>#DIV/0!</v>
      </c>
      <c r="BH29" s="201" t="e">
        <f>D7</f>
        <v>#DIV/0!</v>
      </c>
      <c r="BI29" s="201" t="e">
        <f>E7</f>
        <v>#DIV/0!</v>
      </c>
      <c r="BJ29" s="201" t="e">
        <f>B8</f>
        <v>#DIV/0!</v>
      </c>
      <c r="BK29" s="201" t="e">
        <f>C8</f>
        <v>#DIV/0!</v>
      </c>
      <c r="BL29" s="201" t="e">
        <f>D8</f>
        <v>#DIV/0!</v>
      </c>
      <c r="BM29" s="201" t="e">
        <f>E8</f>
        <v>#DIV/0!</v>
      </c>
      <c r="BN29" s="201" t="e">
        <f>B9</f>
        <v>#DIV/0!</v>
      </c>
      <c r="BO29" s="201" t="e">
        <f>C9</f>
        <v>#DIV/0!</v>
      </c>
      <c r="BP29" s="201" t="e">
        <f>D9</f>
        <v>#DIV/0!</v>
      </c>
      <c r="BQ29" s="201" t="e">
        <f>E9</f>
        <v>#DIV/0!</v>
      </c>
      <c r="BR29" s="211"/>
      <c r="BS29" s="195"/>
      <c r="BT29" s="194" t="s">
        <v>513</v>
      </c>
      <c r="BU29" s="194" t="s">
        <v>514</v>
      </c>
      <c r="BV29" s="194" t="s">
        <v>515</v>
      </c>
      <c r="BW29" s="194" t="s">
        <v>516</v>
      </c>
      <c r="BX29" s="194" t="s">
        <v>513</v>
      </c>
      <c r="BY29" s="194" t="s">
        <v>514</v>
      </c>
      <c r="BZ29" s="194" t="s">
        <v>515</v>
      </c>
      <c r="CA29" s="194" t="s">
        <v>516</v>
      </c>
      <c r="CB29" s="194" t="s">
        <v>513</v>
      </c>
      <c r="CC29" s="194" t="s">
        <v>514</v>
      </c>
      <c r="CD29" s="194" t="s">
        <v>515</v>
      </c>
      <c r="CE29" s="194" t="s">
        <v>516</v>
      </c>
      <c r="CF29" s="194" t="s">
        <v>513</v>
      </c>
      <c r="CG29" s="194" t="s">
        <v>514</v>
      </c>
      <c r="CH29" s="194" t="s">
        <v>515</v>
      </c>
      <c r="CI29" s="194" t="s">
        <v>516</v>
      </c>
      <c r="CJ29" s="226"/>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row>
    <row r="30" s="61" customFormat="1" ht="16" customHeight="1" spans="1:121">
      <c r="A30" s="68" t="s">
        <v>362</v>
      </c>
      <c r="B30" s="69"/>
      <c r="C30" s="77">
        <f>C24</f>
        <v>0</v>
      </c>
      <c r="D30" s="79"/>
      <c r="E30" s="79"/>
      <c r="F30" s="79" t="e">
        <f t="shared" ref="F30:F38" si="47">F29+C30</f>
        <v>#DIV/0!</v>
      </c>
      <c r="G30" s="73"/>
      <c r="H30" s="80" t="s">
        <v>586</v>
      </c>
      <c r="I30" s="80" t="s">
        <v>587</v>
      </c>
      <c r="J30" s="80" t="s">
        <v>588</v>
      </c>
      <c r="K30" s="80" t="s">
        <v>589</v>
      </c>
      <c r="L30" s="80" t="s">
        <v>590</v>
      </c>
      <c r="M30" s="85"/>
      <c r="N30" s="74"/>
      <c r="O30" s="74"/>
      <c r="P30" s="74"/>
      <c r="Q30" s="74"/>
      <c r="R30" s="74"/>
      <c r="S30" s="74"/>
      <c r="T30" s="120"/>
      <c r="U30" s="68" t="s">
        <v>464</v>
      </c>
      <c r="V30" s="115">
        <f>第7期!BB27</f>
        <v>0</v>
      </c>
      <c r="W30" s="115">
        <f>第7期!BC27</f>
        <v>0</v>
      </c>
      <c r="X30" s="115">
        <f>第7期!BD27</f>
        <v>0</v>
      </c>
      <c r="Y30" s="115">
        <f>第7期!BE27</f>
        <v>0</v>
      </c>
      <c r="Z30" s="74"/>
      <c r="AA30" s="73"/>
      <c r="AB30" s="151" t="s">
        <v>202</v>
      </c>
      <c r="AC30" s="156" t="e">
        <f t="shared" si="46"/>
        <v>#DIV/0!</v>
      </c>
      <c r="AD30" s="156" t="e">
        <f t="shared" si="46"/>
        <v>#DIV/0!</v>
      </c>
      <c r="AE30" s="156" t="e">
        <f t="shared" si="46"/>
        <v>#DIV/0!</v>
      </c>
      <c r="AF30" s="156" t="e">
        <f t="shared" si="46"/>
        <v>#DIV/0!</v>
      </c>
      <c r="AG30" s="74"/>
      <c r="AH30" s="73"/>
      <c r="AR30" s="103"/>
      <c r="AS30" s="190" t="s">
        <v>456</v>
      </c>
      <c r="AT30" s="189">
        <f>(AJ26*初始化表!E17+AJ27*初始化表!F17+AJ28*初始化表!G17+AJ29*初始化表!H17)/1300</f>
        <v>0</v>
      </c>
      <c r="AU30" s="103"/>
      <c r="AV30" s="103"/>
      <c r="AW30" s="103"/>
      <c r="AZ30" s="193"/>
      <c r="BA30" s="194" t="s">
        <v>37</v>
      </c>
      <c r="BB30" s="194" t="s">
        <v>591</v>
      </c>
      <c r="BC30" s="194" t="s">
        <v>592</v>
      </c>
      <c r="BD30" s="194" t="s">
        <v>593</v>
      </c>
      <c r="BE30" s="194" t="s">
        <v>594</v>
      </c>
      <c r="BF30" s="194" t="s">
        <v>595</v>
      </c>
      <c r="BG30" s="194" t="s">
        <v>596</v>
      </c>
      <c r="BH30" s="194" t="s">
        <v>597</v>
      </c>
      <c r="BI30" s="206"/>
      <c r="BJ30" s="194" t="s">
        <v>599</v>
      </c>
      <c r="BK30" s="194" t="s">
        <v>600</v>
      </c>
      <c r="BL30" s="203"/>
      <c r="BM30" s="194" t="s">
        <v>601</v>
      </c>
      <c r="BN30" s="194"/>
      <c r="BO30" s="194"/>
      <c r="BP30" s="194"/>
      <c r="BQ30" s="194"/>
      <c r="BR30" s="211"/>
      <c r="BS30" s="196">
        <f t="shared" ref="BS30:BS49" si="48">BS5</f>
        <v>0</v>
      </c>
      <c r="BT30" s="213" t="e">
        <f t="shared" ref="BT30:BT49" si="49">$BT5*(AJ61-BT$50)/BT$51</f>
        <v>#DIV/0!</v>
      </c>
      <c r="BU30" s="213" t="e">
        <f t="shared" ref="BU30:BU49" si="50">$BT5*(AK61-BU$50)/BU$51</f>
        <v>#DIV/0!</v>
      </c>
      <c r="BV30" s="213" t="e">
        <f t="shared" ref="BV30:BV49" si="51">$BT5*(AL61-BV$50)/BV$51</f>
        <v>#DIV/0!</v>
      </c>
      <c r="BW30" s="213" t="e">
        <f t="shared" ref="BW30:BW49" si="52">$BT5*(AM61-BW$50)/BW$51</f>
        <v>#DIV/0!</v>
      </c>
      <c r="BX30" s="213" t="e">
        <f t="shared" ref="BX30:BX49" si="53">$BT5*(AN61-BX$50)/BX$51</f>
        <v>#DIV/0!</v>
      </c>
      <c r="BY30" s="213" t="e">
        <f t="shared" ref="BY30:BY49" si="54">$BT5*(AO61-BY$50)/BY$51</f>
        <v>#DIV/0!</v>
      </c>
      <c r="BZ30" s="213" t="e">
        <f t="shared" ref="BZ30:BZ49" si="55">$BT5*(AP61-BZ$50)/BZ$51</f>
        <v>#DIV/0!</v>
      </c>
      <c r="CA30" s="213" t="e">
        <f t="shared" ref="CA30:CA49" si="56">$BT5*(AQ61-CA$50)/CA$51</f>
        <v>#DIV/0!</v>
      </c>
      <c r="CB30" s="213" t="e">
        <f t="shared" ref="CB30:CB49" si="57">$BT5*(AR61-CB$50)/CB$51</f>
        <v>#DIV/0!</v>
      </c>
      <c r="CC30" s="213" t="e">
        <f t="shared" ref="CC30:CC49" si="58">$BT5*(AS61-CC$50)/CC$51</f>
        <v>#DIV/0!</v>
      </c>
      <c r="CD30" s="213" t="e">
        <f t="shared" ref="CD30:CD49" si="59">$BT5*(AT61-CD$50)/CD$51</f>
        <v>#DIV/0!</v>
      </c>
      <c r="CE30" s="213" t="e">
        <f t="shared" ref="CE30:CE49" si="60">$BT5*(AU61-CE$50)/CE$51</f>
        <v>#DIV/0!</v>
      </c>
      <c r="CF30" s="213" t="e">
        <f t="shared" ref="CF30:CF49" si="61">$BT5*(AV61-CF$50)/CF$51</f>
        <v>#DIV/0!</v>
      </c>
      <c r="CG30" s="213" t="e">
        <f t="shared" ref="CG30:CG49" si="62">$BT5*(AW61-CG$50)/CG$51</f>
        <v>#DIV/0!</v>
      </c>
      <c r="CH30" s="213" t="e">
        <f t="shared" ref="CH30:CH49" si="63">$BT5*(AX61-CH$50)/CH$51</f>
        <v>#DIV/0!</v>
      </c>
      <c r="CI30" s="213" t="e">
        <f t="shared" ref="CI30:CI49" si="64">$BT5*(AY61-CI$50)/CI$51</f>
        <v>#DIV/0!</v>
      </c>
      <c r="CJ30" s="226"/>
      <c r="CK30" s="228"/>
      <c r="CL30" s="228"/>
      <c r="CM30" s="228"/>
      <c r="CN30" s="228"/>
      <c r="CO30" s="228"/>
      <c r="CP30" s="228"/>
      <c r="CQ30" s="228"/>
      <c r="CR30" s="228"/>
      <c r="CS30" s="228"/>
      <c r="CT30" s="228"/>
      <c r="CU30" s="228"/>
      <c r="CV30" s="228"/>
      <c r="CW30" s="228"/>
      <c r="CX30" s="228"/>
      <c r="CY30" s="228"/>
      <c r="CZ30" s="228"/>
      <c r="DA30" s="228"/>
      <c r="DB30" s="228"/>
      <c r="DC30" s="228"/>
      <c r="DD30" s="228"/>
      <c r="DE30" s="228"/>
      <c r="DF30" s="228"/>
      <c r="DG30" s="228"/>
      <c r="DH30" s="228"/>
      <c r="DI30" s="228"/>
      <c r="DJ30" s="228"/>
      <c r="DK30" s="228"/>
      <c r="DL30" s="228"/>
      <c r="DM30" s="228"/>
      <c r="DN30" s="228"/>
      <c r="DO30" s="228"/>
      <c r="DP30" s="228"/>
      <c r="DQ30" s="228"/>
    </row>
    <row r="31" s="61" customFormat="1" ht="16" customHeight="1" spans="1:121">
      <c r="A31" s="68" t="s">
        <v>363</v>
      </c>
      <c r="B31" s="69"/>
      <c r="C31" s="77">
        <f>-N35*5%</f>
        <v>0</v>
      </c>
      <c r="D31" s="79"/>
      <c r="E31" s="79"/>
      <c r="F31" s="79" t="e">
        <f t="shared" si="47"/>
        <v>#DIV/0!</v>
      </c>
      <c r="G31" s="73"/>
      <c r="H31" s="81" t="e">
        <f>N49-(B17*初始化表!E17+B18*初始化表!F17+B19*初始化表!G17+B20*初始化表!H17)/520</f>
        <v>#DIV/0!</v>
      </c>
      <c r="I31" s="81" t="e">
        <f>N49-(D17*初始化表!E17+D18*初始化表!F17+D19*初始化表!G17+D20*初始化表!H17)/520-(C17*初始化表!E17+C18*初始化表!F17+C19*初始化表!G17+C20*初始化表!H17)/260</f>
        <v>#DIV/0!</v>
      </c>
      <c r="J31" s="81" t="e">
        <f>N49-(E17*初始化表!E17+E18*初始化表!F17+E19*初始化表!G17+E20*初始化表!H17)/260</f>
        <v>#DIV/0!</v>
      </c>
      <c r="K31" s="81">
        <f>((D17-2*E17)*初始化表!E18+(D18-2*E18)*初始化表!F18+(D19-2*E19)*初始化表!G18+(D20-2*E20)*初始化表!H18)/520</f>
        <v>0</v>
      </c>
      <c r="L31" s="81">
        <f>((B17-2*C17)*初始化表!E18+(B18-2*C18)*初始化表!F18+(B19-2*C19)*初始化表!G18+(B20-2*C20)*初始化表!H18)/520</f>
        <v>0</v>
      </c>
      <c r="M31" s="85"/>
      <c r="N31" s="68" t="s">
        <v>602</v>
      </c>
      <c r="O31" s="69"/>
      <c r="P31" s="69"/>
      <c r="Q31" s="69"/>
      <c r="R31" s="69"/>
      <c r="S31" s="74"/>
      <c r="T31" s="120"/>
      <c r="U31" s="68" t="s">
        <v>465</v>
      </c>
      <c r="V31" s="115">
        <f>第7期!BF27</f>
        <v>0</v>
      </c>
      <c r="W31" s="115">
        <f>第7期!BG27</f>
        <v>0</v>
      </c>
      <c r="X31" s="115">
        <f>第7期!BH27</f>
        <v>0</v>
      </c>
      <c r="Y31" s="115">
        <f>第7期!BI27</f>
        <v>0</v>
      </c>
      <c r="Z31" s="74"/>
      <c r="AA31" s="73"/>
      <c r="AB31" s="151" t="s">
        <v>206</v>
      </c>
      <c r="AC31" s="156" t="e">
        <f t="shared" si="46"/>
        <v>#DIV/0!</v>
      </c>
      <c r="AD31" s="156" t="e">
        <f t="shared" si="46"/>
        <v>#DIV/0!</v>
      </c>
      <c r="AE31" s="156" t="e">
        <f t="shared" si="46"/>
        <v>#DIV/0!</v>
      </c>
      <c r="AF31" s="156" t="e">
        <f t="shared" si="46"/>
        <v>#DIV/0!</v>
      </c>
      <c r="AG31" s="74"/>
      <c r="AH31" s="73"/>
      <c r="AI31" s="68" t="s">
        <v>603</v>
      </c>
      <c r="AJ31" s="69"/>
      <c r="AK31" s="69"/>
      <c r="AL31" s="69"/>
      <c r="AM31" s="69"/>
      <c r="AN31" s="69"/>
      <c r="AO31" s="69"/>
      <c r="AP31" s="69"/>
      <c r="AQ31" s="69"/>
      <c r="AR31" s="69"/>
      <c r="AS31" s="69"/>
      <c r="AT31" s="69"/>
      <c r="AU31" s="69"/>
      <c r="AV31" s="69"/>
      <c r="AW31" s="69"/>
      <c r="AX31" s="69"/>
      <c r="AY31" s="69"/>
      <c r="AZ31" s="193"/>
      <c r="BA31" s="196">
        <f t="shared" ref="BA31:BA50" si="65">BA7</f>
        <v>0</v>
      </c>
      <c r="BB31" s="201">
        <f t="shared" ref="BB31:BB50" si="66">SUM(BB7:BE7)</f>
        <v>0</v>
      </c>
      <c r="BC31" s="201">
        <f t="shared" ref="BC31:BC50" si="67">SUM(BF7:BI7)</f>
        <v>0</v>
      </c>
      <c r="BD31" s="201">
        <f t="shared" ref="BD31:BD50" si="68">SUM(BJ7:BM7)</f>
        <v>0</v>
      </c>
      <c r="BE31" s="201">
        <f t="shared" ref="BE31:BE50" si="69">SUM(BN7:BQ7)</f>
        <v>0</v>
      </c>
      <c r="BF31" s="202">
        <f>(BB31*初始化表!E$17+BC31*初始化表!F$17+BD31*初始化表!G$17+BE31*初始化表!H$17)/1300</f>
        <v>0</v>
      </c>
      <c r="BG31" s="207">
        <f t="shared" ref="BG31:BG50" si="70">IF(BF31=0,0,AL107/BF31)</f>
        <v>0</v>
      </c>
      <c r="BH31" s="207">
        <f t="shared" ref="BH31:BH50" si="71">IF(BF31=0,0,AJ107/BF31)</f>
        <v>0</v>
      </c>
      <c r="BI31" s="208"/>
      <c r="BJ31" s="201" t="str">
        <f t="shared" ref="BJ31:BJ50" si="72">IF(BA31=0,"",RANK(BG31,$BG$31:$BG$50))</f>
        <v/>
      </c>
      <c r="BK31" s="201" t="str">
        <f t="shared" ref="BK31:BK50" si="73">IF(BA31=0,"",RANK(BH31,$BH$31:$BH$50))</f>
        <v/>
      </c>
      <c r="BL31" s="203"/>
      <c r="BM31" s="195"/>
      <c r="BN31" s="194" t="s">
        <v>513</v>
      </c>
      <c r="BO31" s="194" t="s">
        <v>514</v>
      </c>
      <c r="BP31" s="194" t="s">
        <v>515</v>
      </c>
      <c r="BQ31" s="194" t="s">
        <v>516</v>
      </c>
      <c r="BR31" s="211"/>
      <c r="BS31" s="196">
        <f t="shared" si="48"/>
        <v>0</v>
      </c>
      <c r="BT31" s="213" t="e">
        <f t="shared" si="49"/>
        <v>#DIV/0!</v>
      </c>
      <c r="BU31" s="213" t="e">
        <f t="shared" si="50"/>
        <v>#DIV/0!</v>
      </c>
      <c r="BV31" s="213" t="e">
        <f t="shared" si="51"/>
        <v>#DIV/0!</v>
      </c>
      <c r="BW31" s="213" t="e">
        <f t="shared" si="52"/>
        <v>#DIV/0!</v>
      </c>
      <c r="BX31" s="213" t="e">
        <f t="shared" si="53"/>
        <v>#DIV/0!</v>
      </c>
      <c r="BY31" s="213" t="e">
        <f t="shared" si="54"/>
        <v>#DIV/0!</v>
      </c>
      <c r="BZ31" s="213" t="e">
        <f t="shared" si="55"/>
        <v>#DIV/0!</v>
      </c>
      <c r="CA31" s="213" t="e">
        <f t="shared" si="56"/>
        <v>#DIV/0!</v>
      </c>
      <c r="CB31" s="213" t="e">
        <f t="shared" si="57"/>
        <v>#DIV/0!</v>
      </c>
      <c r="CC31" s="213" t="e">
        <f t="shared" si="58"/>
        <v>#DIV/0!</v>
      </c>
      <c r="CD31" s="213" t="e">
        <f t="shared" si="59"/>
        <v>#DIV/0!</v>
      </c>
      <c r="CE31" s="213" t="e">
        <f t="shared" si="60"/>
        <v>#DIV/0!</v>
      </c>
      <c r="CF31" s="213" t="e">
        <f t="shared" si="61"/>
        <v>#DIV/0!</v>
      </c>
      <c r="CG31" s="213" t="e">
        <f t="shared" si="62"/>
        <v>#DIV/0!</v>
      </c>
      <c r="CH31" s="213" t="e">
        <f t="shared" si="63"/>
        <v>#DIV/0!</v>
      </c>
      <c r="CI31" s="213" t="e">
        <f t="shared" si="64"/>
        <v>#DIV/0!</v>
      </c>
      <c r="CJ31" s="226"/>
      <c r="CK31" s="228"/>
      <c r="CL31" s="228"/>
      <c r="CM31" s="228"/>
      <c r="CN31" s="228"/>
      <c r="CO31" s="228"/>
      <c r="CP31" s="228"/>
      <c r="CQ31" s="228"/>
      <c r="CR31" s="228"/>
      <c r="CS31" s="228"/>
      <c r="CT31" s="228"/>
      <c r="CU31" s="228"/>
      <c r="CV31" s="228"/>
      <c r="CW31" s="228"/>
      <c r="CX31" s="228"/>
      <c r="CY31" s="228"/>
      <c r="CZ31" s="228"/>
      <c r="DA31" s="228"/>
      <c r="DB31" s="228"/>
      <c r="DC31" s="228"/>
      <c r="DD31" s="228"/>
      <c r="DE31" s="228"/>
      <c r="DF31" s="228"/>
      <c r="DG31" s="228"/>
      <c r="DH31" s="228"/>
      <c r="DI31" s="228"/>
      <c r="DJ31" s="228"/>
      <c r="DK31" s="228"/>
      <c r="DL31" s="228"/>
      <c r="DM31" s="228"/>
      <c r="DN31" s="228"/>
      <c r="DO31" s="228"/>
      <c r="DP31" s="228"/>
      <c r="DQ31" s="228"/>
    </row>
    <row r="32" s="61" customFormat="1" ht="16" customHeight="1" spans="1:121">
      <c r="A32" s="68" t="s">
        <v>364</v>
      </c>
      <c r="B32" s="69"/>
      <c r="C32" s="77">
        <f>-O35*初始化表!B24/4</f>
        <v>0</v>
      </c>
      <c r="D32" s="79"/>
      <c r="E32" s="79">
        <f>-C32</f>
        <v>0</v>
      </c>
      <c r="F32" s="79" t="e">
        <f t="shared" si="47"/>
        <v>#DIV/0!</v>
      </c>
      <c r="G32" s="73"/>
      <c r="H32" s="80" t="s">
        <v>604</v>
      </c>
      <c r="I32" s="80" t="s">
        <v>605</v>
      </c>
      <c r="J32" s="80" t="s">
        <v>606</v>
      </c>
      <c r="K32" s="80" t="s">
        <v>607</v>
      </c>
      <c r="L32" s="101"/>
      <c r="M32" s="85"/>
      <c r="N32" s="68" t="s">
        <v>608</v>
      </c>
      <c r="O32" s="68" t="s">
        <v>609</v>
      </c>
      <c r="P32" s="68" t="s">
        <v>610</v>
      </c>
      <c r="Q32" s="68" t="s">
        <v>611</v>
      </c>
      <c r="R32" s="68" t="s">
        <v>612</v>
      </c>
      <c r="S32" s="121"/>
      <c r="T32" s="120"/>
      <c r="U32" s="68" t="s">
        <v>466</v>
      </c>
      <c r="V32" s="115">
        <f>第7期!BJ27</f>
        <v>0</v>
      </c>
      <c r="W32" s="115">
        <f>第7期!BK27</f>
        <v>0</v>
      </c>
      <c r="X32" s="115">
        <f>第7期!BL27</f>
        <v>0</v>
      </c>
      <c r="Y32" s="115">
        <f>第7期!BM27</f>
        <v>0</v>
      </c>
      <c r="Z32" s="74"/>
      <c r="AA32" s="73"/>
      <c r="AB32" s="151" t="s">
        <v>208</v>
      </c>
      <c r="AC32" s="156" t="e">
        <f t="shared" si="46"/>
        <v>#DIV/0!</v>
      </c>
      <c r="AD32" s="156" t="e">
        <f t="shared" si="46"/>
        <v>#DIV/0!</v>
      </c>
      <c r="AE32" s="156" t="e">
        <f t="shared" si="46"/>
        <v>#DIV/0!</v>
      </c>
      <c r="AF32" s="156" t="e">
        <f t="shared" si="46"/>
        <v>#DIV/0!</v>
      </c>
      <c r="AG32" s="74"/>
      <c r="AH32" s="73"/>
      <c r="AI32" s="69"/>
      <c r="AJ32" s="69"/>
      <c r="AK32" s="69"/>
      <c r="AL32" s="69"/>
      <c r="AM32" s="69"/>
      <c r="AN32" s="69"/>
      <c r="AO32" s="69"/>
      <c r="AP32" s="69"/>
      <c r="AQ32" s="69"/>
      <c r="AR32" s="69"/>
      <c r="AS32" s="69"/>
      <c r="AT32" s="69"/>
      <c r="AU32" s="69"/>
      <c r="AV32" s="69"/>
      <c r="AW32" s="69"/>
      <c r="AX32" s="69"/>
      <c r="AY32" s="69"/>
      <c r="AZ32" s="193"/>
      <c r="BA32" s="196">
        <f t="shared" si="65"/>
        <v>0</v>
      </c>
      <c r="BB32" s="201">
        <f t="shared" si="66"/>
        <v>0</v>
      </c>
      <c r="BC32" s="201">
        <f t="shared" si="67"/>
        <v>0</v>
      </c>
      <c r="BD32" s="201">
        <f t="shared" si="68"/>
        <v>0</v>
      </c>
      <c r="BE32" s="201">
        <f t="shared" si="69"/>
        <v>0</v>
      </c>
      <c r="BF32" s="202">
        <f>(BB32*初始化表!E$17+BC32*初始化表!F$17+BD32*初始化表!G$17+BE32*初始化表!H$17)/1300</f>
        <v>0</v>
      </c>
      <c r="BG32" s="207">
        <f t="shared" si="70"/>
        <v>0</v>
      </c>
      <c r="BH32" s="207">
        <f t="shared" si="71"/>
        <v>0</v>
      </c>
      <c r="BI32" s="208"/>
      <c r="BJ32" s="201" t="str">
        <f t="shared" si="72"/>
        <v/>
      </c>
      <c r="BK32" s="201" t="str">
        <f t="shared" si="73"/>
        <v/>
      </c>
      <c r="BL32" s="203"/>
      <c r="BM32" s="194" t="s">
        <v>521</v>
      </c>
      <c r="BN32" s="201">
        <f>COUNTIF(BB7:BB26,"&gt;0")</f>
        <v>0</v>
      </c>
      <c r="BO32" s="201">
        <f>COUNTIF(BC7:BC26,"&gt;0")</f>
        <v>0</v>
      </c>
      <c r="BP32" s="201">
        <f>COUNTIF(BD7:BD26,"&gt;0")</f>
        <v>0</v>
      </c>
      <c r="BQ32" s="201">
        <f>COUNTIF(BE7:BE26,"&gt;0")</f>
        <v>0</v>
      </c>
      <c r="BR32" s="211"/>
      <c r="BS32" s="196">
        <f t="shared" si="48"/>
        <v>0</v>
      </c>
      <c r="BT32" s="213" t="e">
        <f t="shared" si="49"/>
        <v>#DIV/0!</v>
      </c>
      <c r="BU32" s="213" t="e">
        <f t="shared" si="50"/>
        <v>#DIV/0!</v>
      </c>
      <c r="BV32" s="213" t="e">
        <f t="shared" si="51"/>
        <v>#DIV/0!</v>
      </c>
      <c r="BW32" s="213" t="e">
        <f t="shared" si="52"/>
        <v>#DIV/0!</v>
      </c>
      <c r="BX32" s="213" t="e">
        <f t="shared" si="53"/>
        <v>#DIV/0!</v>
      </c>
      <c r="BY32" s="213" t="e">
        <f t="shared" si="54"/>
        <v>#DIV/0!</v>
      </c>
      <c r="BZ32" s="213" t="e">
        <f t="shared" si="55"/>
        <v>#DIV/0!</v>
      </c>
      <c r="CA32" s="213" t="e">
        <f t="shared" si="56"/>
        <v>#DIV/0!</v>
      </c>
      <c r="CB32" s="213" t="e">
        <f t="shared" si="57"/>
        <v>#DIV/0!</v>
      </c>
      <c r="CC32" s="213" t="e">
        <f t="shared" si="58"/>
        <v>#DIV/0!</v>
      </c>
      <c r="CD32" s="213" t="e">
        <f t="shared" si="59"/>
        <v>#DIV/0!</v>
      </c>
      <c r="CE32" s="213" t="e">
        <f t="shared" si="60"/>
        <v>#DIV/0!</v>
      </c>
      <c r="CF32" s="213" t="e">
        <f t="shared" si="61"/>
        <v>#DIV/0!</v>
      </c>
      <c r="CG32" s="213" t="e">
        <f t="shared" si="62"/>
        <v>#DIV/0!</v>
      </c>
      <c r="CH32" s="213" t="e">
        <f t="shared" si="63"/>
        <v>#DIV/0!</v>
      </c>
      <c r="CI32" s="213" t="e">
        <f t="shared" si="64"/>
        <v>#DIV/0!</v>
      </c>
      <c r="CJ32" s="226"/>
      <c r="CK32" s="228"/>
      <c r="CL32" s="228"/>
      <c r="CM32" s="228"/>
      <c r="CN32" s="228"/>
      <c r="CO32" s="228"/>
      <c r="CP32" s="228"/>
      <c r="CQ32" s="228"/>
      <c r="CR32" s="228"/>
      <c r="CS32" s="228"/>
      <c r="CT32" s="228"/>
      <c r="CU32" s="228"/>
      <c r="CV32" s="228"/>
      <c r="CW32" s="228"/>
      <c r="CX32" s="228"/>
      <c r="CY32" s="228"/>
      <c r="CZ32" s="228"/>
      <c r="DA32" s="228"/>
      <c r="DB32" s="228"/>
      <c r="DC32" s="228"/>
      <c r="DD32" s="228"/>
      <c r="DE32" s="228"/>
      <c r="DF32" s="228"/>
      <c r="DG32" s="228"/>
      <c r="DH32" s="228"/>
      <c r="DI32" s="228"/>
      <c r="DJ32" s="228"/>
      <c r="DK32" s="228"/>
      <c r="DL32" s="228"/>
      <c r="DM32" s="228"/>
      <c r="DN32" s="228"/>
      <c r="DO32" s="228"/>
      <c r="DP32" s="228"/>
      <c r="DQ32" s="228"/>
    </row>
    <row r="33" s="61" customFormat="1" ht="16" customHeight="1" spans="1:121">
      <c r="A33" s="68" t="s">
        <v>365</v>
      </c>
      <c r="B33" s="69"/>
      <c r="C33" s="77">
        <f>-B22*初始化表!B13</f>
        <v>0</v>
      </c>
      <c r="D33" s="79"/>
      <c r="E33" s="79">
        <f>E32-C33</f>
        <v>0</v>
      </c>
      <c r="F33" s="79" t="e">
        <f t="shared" si="47"/>
        <v>#DIV/0!</v>
      </c>
      <c r="G33" s="73"/>
      <c r="H33" s="82" t="e">
        <f>520*H31</f>
        <v>#DIV/0!</v>
      </c>
      <c r="I33" s="82" t="e">
        <f>520*I31</f>
        <v>#DIV/0!</v>
      </c>
      <c r="J33" s="82" t="e">
        <f>260*J31</f>
        <v>#DIV/0!</v>
      </c>
      <c r="K33" s="82">
        <f>I29*520</f>
        <v>0</v>
      </c>
      <c r="L33" s="91"/>
      <c r="M33" s="85"/>
      <c r="N33" s="83" t="e">
        <f>INT(IF(C28&lt;初始化表!B21,MIN((初始化表!B21-C28),P33),0)+1)</f>
        <v>#DIV/0!</v>
      </c>
      <c r="O33" s="83" t="e">
        <f>MAX(N33,IF(F48&lt;0,INT(-F48+1),0))</f>
        <v>#DIV/0!</v>
      </c>
      <c r="P33" s="102">
        <f>第7期!P33-第7期!B24</f>
        <v>0</v>
      </c>
      <c r="Q33" s="107"/>
      <c r="R33" s="83" t="e">
        <f>第7期!C37</f>
        <v>#DIV/0!</v>
      </c>
      <c r="S33" s="132"/>
      <c r="T33" s="120"/>
      <c r="U33" s="68" t="s">
        <v>468</v>
      </c>
      <c r="V33" s="115">
        <f>第7期!BN27</f>
        <v>0</v>
      </c>
      <c r="W33" s="115">
        <f>第7期!BO27</f>
        <v>0</v>
      </c>
      <c r="X33" s="115">
        <f>第7期!BP27</f>
        <v>0</v>
      </c>
      <c r="Y33" s="115">
        <f>第7期!BQ27</f>
        <v>0</v>
      </c>
      <c r="Z33" s="74"/>
      <c r="AA33" s="73"/>
      <c r="AB33" s="155"/>
      <c r="AC33" s="155"/>
      <c r="AD33" s="155"/>
      <c r="AE33" s="155"/>
      <c r="AF33" s="155"/>
      <c r="AG33" s="155"/>
      <c r="AH33" s="73"/>
      <c r="AZ33" s="193"/>
      <c r="BA33" s="196">
        <f t="shared" si="65"/>
        <v>0</v>
      </c>
      <c r="BB33" s="201">
        <f t="shared" si="66"/>
        <v>0</v>
      </c>
      <c r="BC33" s="201">
        <f t="shared" si="67"/>
        <v>0</v>
      </c>
      <c r="BD33" s="201">
        <f t="shared" si="68"/>
        <v>0</v>
      </c>
      <c r="BE33" s="201">
        <f t="shared" si="69"/>
        <v>0</v>
      </c>
      <c r="BF33" s="202">
        <f>(BB33*初始化表!E$17+BC33*初始化表!F$17+BD33*初始化表!G$17+BE33*初始化表!H$17)/1300</f>
        <v>0</v>
      </c>
      <c r="BG33" s="207">
        <f t="shared" si="70"/>
        <v>0</v>
      </c>
      <c r="BH33" s="207">
        <f t="shared" si="71"/>
        <v>0</v>
      </c>
      <c r="BI33" s="208"/>
      <c r="BJ33" s="201" t="str">
        <f t="shared" si="72"/>
        <v/>
      </c>
      <c r="BK33" s="201" t="str">
        <f t="shared" si="73"/>
        <v/>
      </c>
      <c r="BL33" s="203"/>
      <c r="BM33" s="194" t="s">
        <v>522</v>
      </c>
      <c r="BN33" s="201">
        <f>COUNTIF(BF7:BF26,"&gt;0")</f>
        <v>0</v>
      </c>
      <c r="BO33" s="201">
        <f>COUNTIF(BG7:BG26,"&gt;0")</f>
        <v>0</v>
      </c>
      <c r="BP33" s="201">
        <f>COUNTIF(BH7:BH26,"&gt;0")</f>
        <v>0</v>
      </c>
      <c r="BQ33" s="201">
        <f>COUNTIF(BI7:BI26,"&gt;0")</f>
        <v>0</v>
      </c>
      <c r="BR33" s="211"/>
      <c r="BS33" s="196">
        <f t="shared" si="48"/>
        <v>0</v>
      </c>
      <c r="BT33" s="213" t="e">
        <f t="shared" si="49"/>
        <v>#DIV/0!</v>
      </c>
      <c r="BU33" s="213" t="e">
        <f t="shared" si="50"/>
        <v>#DIV/0!</v>
      </c>
      <c r="BV33" s="213" t="e">
        <f t="shared" si="51"/>
        <v>#DIV/0!</v>
      </c>
      <c r="BW33" s="213" t="e">
        <f t="shared" si="52"/>
        <v>#DIV/0!</v>
      </c>
      <c r="BX33" s="213" t="e">
        <f t="shared" si="53"/>
        <v>#DIV/0!</v>
      </c>
      <c r="BY33" s="213" t="e">
        <f t="shared" si="54"/>
        <v>#DIV/0!</v>
      </c>
      <c r="BZ33" s="213" t="e">
        <f t="shared" si="55"/>
        <v>#DIV/0!</v>
      </c>
      <c r="CA33" s="213" t="e">
        <f t="shared" si="56"/>
        <v>#DIV/0!</v>
      </c>
      <c r="CB33" s="213" t="e">
        <f t="shared" si="57"/>
        <v>#DIV/0!</v>
      </c>
      <c r="CC33" s="213" t="e">
        <f t="shared" si="58"/>
        <v>#DIV/0!</v>
      </c>
      <c r="CD33" s="213" t="e">
        <f t="shared" si="59"/>
        <v>#DIV/0!</v>
      </c>
      <c r="CE33" s="213" t="e">
        <f t="shared" si="60"/>
        <v>#DIV/0!</v>
      </c>
      <c r="CF33" s="213" t="e">
        <f t="shared" si="61"/>
        <v>#DIV/0!</v>
      </c>
      <c r="CG33" s="213" t="e">
        <f t="shared" si="62"/>
        <v>#DIV/0!</v>
      </c>
      <c r="CH33" s="213" t="e">
        <f t="shared" si="63"/>
        <v>#DIV/0!</v>
      </c>
      <c r="CI33" s="213" t="e">
        <f t="shared" si="64"/>
        <v>#DIV/0!</v>
      </c>
      <c r="CJ33" s="226"/>
      <c r="CK33" s="228"/>
      <c r="CL33" s="228"/>
      <c r="CM33" s="228"/>
      <c r="CN33" s="228"/>
      <c r="CO33" s="228"/>
      <c r="CP33" s="228"/>
      <c r="CQ33" s="228"/>
      <c r="CR33" s="228"/>
      <c r="CS33" s="228"/>
      <c r="CT33" s="228"/>
      <c r="CU33" s="228"/>
      <c r="CV33" s="228"/>
      <c r="CW33" s="228"/>
      <c r="CX33" s="228"/>
      <c r="CY33" s="228"/>
      <c r="CZ33" s="228"/>
      <c r="DA33" s="228"/>
      <c r="DB33" s="228"/>
      <c r="DC33" s="228"/>
      <c r="DD33" s="228"/>
      <c r="DE33" s="228"/>
      <c r="DF33" s="228"/>
      <c r="DG33" s="228"/>
      <c r="DH33" s="228"/>
      <c r="DI33" s="228"/>
      <c r="DJ33" s="228"/>
      <c r="DK33" s="228"/>
      <c r="DL33" s="228"/>
      <c r="DM33" s="228"/>
      <c r="DN33" s="228"/>
      <c r="DO33" s="228"/>
      <c r="DP33" s="228"/>
      <c r="DQ33" s="228"/>
    </row>
    <row r="34" s="61" customFormat="1" ht="16" customHeight="1" spans="1:121">
      <c r="A34" s="68" t="s">
        <v>366</v>
      </c>
      <c r="B34" s="69"/>
      <c r="C34" s="77">
        <f>-C22*初始化表!B14</f>
        <v>0</v>
      </c>
      <c r="D34" s="79"/>
      <c r="E34" s="79">
        <f>E33-C34</f>
        <v>0</v>
      </c>
      <c r="F34" s="79" t="e">
        <f t="shared" si="47"/>
        <v>#DIV/0!</v>
      </c>
      <c r="G34" s="73"/>
      <c r="H34" s="68" t="s">
        <v>244</v>
      </c>
      <c r="I34" s="103">
        <f>-C43</f>
        <v>0</v>
      </c>
      <c r="J34" s="104" t="s">
        <v>613</v>
      </c>
      <c r="K34" s="105" t="s">
        <v>614</v>
      </c>
      <c r="L34" s="105"/>
      <c r="M34" s="85"/>
      <c r="N34" s="68" t="s">
        <v>615</v>
      </c>
      <c r="O34" s="68" t="s">
        <v>616</v>
      </c>
      <c r="P34" s="68" t="s">
        <v>617</v>
      </c>
      <c r="Q34" s="68" t="s">
        <v>618</v>
      </c>
      <c r="R34" s="68" t="s">
        <v>619</v>
      </c>
      <c r="S34" s="121"/>
      <c r="T34" s="120"/>
      <c r="U34" s="123"/>
      <c r="V34" s="74"/>
      <c r="W34" s="74"/>
      <c r="X34" s="74"/>
      <c r="Y34" s="74"/>
      <c r="Z34" s="74"/>
      <c r="AA34" s="73"/>
      <c r="AB34" s="151" t="s">
        <v>500</v>
      </c>
      <c r="AC34" s="151" t="s">
        <v>499</v>
      </c>
      <c r="AD34" s="151" t="s">
        <v>38</v>
      </c>
      <c r="AE34" s="151" t="s">
        <v>39</v>
      </c>
      <c r="AF34" s="151" t="s">
        <v>40</v>
      </c>
      <c r="AG34" s="151" t="s">
        <v>41</v>
      </c>
      <c r="AH34" s="73"/>
      <c r="AI34" s="68" t="s">
        <v>480</v>
      </c>
      <c r="AJ34" s="69"/>
      <c r="AK34" s="69"/>
      <c r="AL34" s="69"/>
      <c r="AM34" s="69"/>
      <c r="AN34" s="69"/>
      <c r="AO34" s="69"/>
      <c r="AP34" s="69"/>
      <c r="AQ34" s="69"/>
      <c r="AR34" s="69"/>
      <c r="AS34" s="69"/>
      <c r="AT34" s="69"/>
      <c r="AU34" s="69"/>
      <c r="AV34" s="69"/>
      <c r="AW34" s="69"/>
      <c r="AX34" s="69"/>
      <c r="AY34" s="69"/>
      <c r="AZ34" s="193"/>
      <c r="BA34" s="196">
        <f t="shared" si="65"/>
        <v>0</v>
      </c>
      <c r="BB34" s="201">
        <f t="shared" si="66"/>
        <v>0</v>
      </c>
      <c r="BC34" s="201">
        <f t="shared" si="67"/>
        <v>0</v>
      </c>
      <c r="BD34" s="201">
        <f t="shared" si="68"/>
        <v>0</v>
      </c>
      <c r="BE34" s="201">
        <f t="shared" si="69"/>
        <v>0</v>
      </c>
      <c r="BF34" s="202">
        <f>(BB34*初始化表!E$17+BC34*初始化表!F$17+BD34*初始化表!G$17+BE34*初始化表!H$17)/1300</f>
        <v>0</v>
      </c>
      <c r="BG34" s="207">
        <f t="shared" si="70"/>
        <v>0</v>
      </c>
      <c r="BH34" s="207">
        <f t="shared" si="71"/>
        <v>0</v>
      </c>
      <c r="BI34" s="208"/>
      <c r="BJ34" s="201" t="str">
        <f t="shared" si="72"/>
        <v/>
      </c>
      <c r="BK34" s="201" t="str">
        <f t="shared" si="73"/>
        <v/>
      </c>
      <c r="BL34" s="203"/>
      <c r="BM34" s="194" t="s">
        <v>523</v>
      </c>
      <c r="BN34" s="201">
        <f>COUNTIF(BJ7:BJ26,"&gt;0")</f>
        <v>0</v>
      </c>
      <c r="BO34" s="201">
        <f>COUNTIF(BK7:BK26,"&gt;0")</f>
        <v>0</v>
      </c>
      <c r="BP34" s="201">
        <f>COUNTIF(BL7:BL26,"&gt;0")</f>
        <v>0</v>
      </c>
      <c r="BQ34" s="201">
        <f>COUNTIF(BM7:BM26,"&gt;0")</f>
        <v>0</v>
      </c>
      <c r="BR34" s="211"/>
      <c r="BS34" s="196">
        <f t="shared" si="48"/>
        <v>0</v>
      </c>
      <c r="BT34" s="213" t="e">
        <f t="shared" si="49"/>
        <v>#DIV/0!</v>
      </c>
      <c r="BU34" s="213" t="e">
        <f t="shared" si="50"/>
        <v>#DIV/0!</v>
      </c>
      <c r="BV34" s="213" t="e">
        <f t="shared" si="51"/>
        <v>#DIV/0!</v>
      </c>
      <c r="BW34" s="213" t="e">
        <f t="shared" si="52"/>
        <v>#DIV/0!</v>
      </c>
      <c r="BX34" s="213" t="e">
        <f t="shared" si="53"/>
        <v>#DIV/0!</v>
      </c>
      <c r="BY34" s="213" t="e">
        <f t="shared" si="54"/>
        <v>#DIV/0!</v>
      </c>
      <c r="BZ34" s="213" t="e">
        <f t="shared" si="55"/>
        <v>#DIV/0!</v>
      </c>
      <c r="CA34" s="213" t="e">
        <f t="shared" si="56"/>
        <v>#DIV/0!</v>
      </c>
      <c r="CB34" s="213" t="e">
        <f t="shared" si="57"/>
        <v>#DIV/0!</v>
      </c>
      <c r="CC34" s="213" t="e">
        <f t="shared" si="58"/>
        <v>#DIV/0!</v>
      </c>
      <c r="CD34" s="213" t="e">
        <f t="shared" si="59"/>
        <v>#DIV/0!</v>
      </c>
      <c r="CE34" s="213" t="e">
        <f t="shared" si="60"/>
        <v>#DIV/0!</v>
      </c>
      <c r="CF34" s="213" t="e">
        <f t="shared" si="61"/>
        <v>#DIV/0!</v>
      </c>
      <c r="CG34" s="213" t="e">
        <f t="shared" si="62"/>
        <v>#DIV/0!</v>
      </c>
      <c r="CH34" s="213" t="e">
        <f t="shared" si="63"/>
        <v>#DIV/0!</v>
      </c>
      <c r="CI34" s="213" t="e">
        <f t="shared" si="64"/>
        <v>#DIV/0!</v>
      </c>
      <c r="CJ34" s="226"/>
      <c r="CK34" s="228"/>
      <c r="CL34" s="228"/>
      <c r="CM34" s="228"/>
      <c r="CN34" s="228"/>
      <c r="CO34" s="228"/>
      <c r="CP34" s="228"/>
      <c r="CQ34" s="228"/>
      <c r="CR34" s="228"/>
      <c r="CS34" s="228"/>
      <c r="CT34" s="228"/>
      <c r="CU34" s="228"/>
      <c r="CV34" s="228"/>
      <c r="CW34" s="228"/>
      <c r="CX34" s="228"/>
      <c r="CY34" s="228"/>
      <c r="CZ34" s="228"/>
      <c r="DA34" s="228"/>
      <c r="DB34" s="228"/>
      <c r="DC34" s="228"/>
      <c r="DD34" s="228"/>
      <c r="DE34" s="228"/>
      <c r="DF34" s="228"/>
      <c r="DG34" s="228"/>
      <c r="DH34" s="228"/>
      <c r="DI34" s="228"/>
      <c r="DJ34" s="228"/>
      <c r="DK34" s="228"/>
      <c r="DL34" s="228"/>
      <c r="DM34" s="228"/>
      <c r="DN34" s="228"/>
      <c r="DO34" s="228"/>
      <c r="DP34" s="228"/>
      <c r="DQ34" s="228"/>
    </row>
    <row r="35" s="61" customFormat="1" ht="16" customHeight="1" spans="1:121">
      <c r="A35" s="68" t="s">
        <v>367</v>
      </c>
      <c r="B35" s="69"/>
      <c r="C35" s="77">
        <f>-(H17-C22+B22*初始化表!H4)*初始化表!B15*520*F24</f>
        <v>0</v>
      </c>
      <c r="D35" s="79"/>
      <c r="E35" s="79">
        <f>E34-C35</f>
        <v>0</v>
      </c>
      <c r="F35" s="79" t="e">
        <f t="shared" si="47"/>
        <v>#DIV/0!</v>
      </c>
      <c r="G35" s="73"/>
      <c r="H35" s="68" t="s">
        <v>223</v>
      </c>
      <c r="I35" s="103">
        <f>-C33</f>
        <v>0</v>
      </c>
      <c r="J35" s="106" t="e">
        <f>INT(($N$49*1300-SUMPRODUCT($L$177:$L$180,$H$177:$H$180))/H177)</f>
        <v>#DIV/0!</v>
      </c>
      <c r="K35" s="68" t="s">
        <v>198</v>
      </c>
      <c r="L35" s="90"/>
      <c r="M35" s="85"/>
      <c r="N35" s="102">
        <f>第7期!C24+第7期!N35</f>
        <v>0</v>
      </c>
      <c r="O35" s="102">
        <f>第7期!O35+第7期!C31+第7期!C30</f>
        <v>0</v>
      </c>
      <c r="P35" s="83" t="e">
        <f>INT(Q35)</f>
        <v>#DIV/0!</v>
      </c>
      <c r="Q35" s="133" t="e">
        <f>0.5*第7期!B80-O35</f>
        <v>#DIV/0!</v>
      </c>
      <c r="R35" s="107"/>
      <c r="S35" s="131"/>
      <c r="T35" s="120"/>
      <c r="U35" s="68" t="s">
        <v>620</v>
      </c>
      <c r="V35" s="68" t="s">
        <v>459</v>
      </c>
      <c r="W35" s="68" t="s">
        <v>460</v>
      </c>
      <c r="X35" s="68" t="s">
        <v>461</v>
      </c>
      <c r="Y35" s="68" t="s">
        <v>462</v>
      </c>
      <c r="Z35" s="74"/>
      <c r="AA35" s="73"/>
      <c r="AB35" s="151" t="s">
        <v>198</v>
      </c>
      <c r="AC35" s="152" t="e">
        <f>初始化表!$E$22-AC5</f>
        <v>#DIV/0!</v>
      </c>
      <c r="AD35" s="152" t="e">
        <f>初始化表!$E$22-AD5</f>
        <v>#DIV/0!</v>
      </c>
      <c r="AE35" s="152" t="e">
        <f>初始化表!$E$22-AE5</f>
        <v>#DIV/0!</v>
      </c>
      <c r="AF35" s="152" t="e">
        <f>初始化表!$E$22-AF5</f>
        <v>#DIV/0!</v>
      </c>
      <c r="AG35" s="152" t="e">
        <f>初始化表!$E$22-AG5</f>
        <v>#DIV/0!</v>
      </c>
      <c r="AH35" s="73"/>
      <c r="AI35" s="68" t="s">
        <v>37</v>
      </c>
      <c r="AJ35" s="68" t="s">
        <v>35</v>
      </c>
      <c r="AK35" s="69"/>
      <c r="AL35" s="69"/>
      <c r="AM35" s="69"/>
      <c r="AN35" s="68" t="s">
        <v>465</v>
      </c>
      <c r="AO35" s="69"/>
      <c r="AP35" s="69"/>
      <c r="AQ35" s="69"/>
      <c r="AR35" s="68" t="s">
        <v>466</v>
      </c>
      <c r="AS35" s="69"/>
      <c r="AT35" s="69"/>
      <c r="AU35" s="69"/>
      <c r="AV35" s="68" t="s">
        <v>468</v>
      </c>
      <c r="AW35" s="69"/>
      <c r="AX35" s="69"/>
      <c r="AY35" s="69"/>
      <c r="AZ35" s="193"/>
      <c r="BA35" s="196">
        <f t="shared" si="65"/>
        <v>0</v>
      </c>
      <c r="BB35" s="201">
        <f t="shared" si="66"/>
        <v>0</v>
      </c>
      <c r="BC35" s="201">
        <f t="shared" si="67"/>
        <v>0</v>
      </c>
      <c r="BD35" s="201">
        <f t="shared" si="68"/>
        <v>0</v>
      </c>
      <c r="BE35" s="201">
        <f t="shared" si="69"/>
        <v>0</v>
      </c>
      <c r="BF35" s="202">
        <f>(BB35*初始化表!E$17+BC35*初始化表!F$17+BD35*初始化表!G$17+BE35*初始化表!H$17)/1300</f>
        <v>0</v>
      </c>
      <c r="BG35" s="207">
        <f t="shared" si="70"/>
        <v>0</v>
      </c>
      <c r="BH35" s="207">
        <f t="shared" si="71"/>
        <v>0</v>
      </c>
      <c r="BI35" s="208"/>
      <c r="BJ35" s="201" t="str">
        <f t="shared" si="72"/>
        <v/>
      </c>
      <c r="BK35" s="201" t="str">
        <f t="shared" si="73"/>
        <v/>
      </c>
      <c r="BL35" s="203"/>
      <c r="BM35" s="194" t="s">
        <v>524</v>
      </c>
      <c r="BN35" s="201">
        <f>COUNTIF(BN7:BN26,"&gt;0")</f>
        <v>0</v>
      </c>
      <c r="BO35" s="201">
        <f>COUNTIF(BO7:BO26,"&gt;0")</f>
        <v>0</v>
      </c>
      <c r="BP35" s="201">
        <f>COUNTIF(BP7:BP26,"&gt;0")</f>
        <v>0</v>
      </c>
      <c r="BQ35" s="201">
        <f>COUNTIF(BQ7:BQ26,"&gt;0")</f>
        <v>0</v>
      </c>
      <c r="BR35" s="211"/>
      <c r="BS35" s="196">
        <f t="shared" si="48"/>
        <v>0</v>
      </c>
      <c r="BT35" s="213" t="e">
        <f t="shared" si="49"/>
        <v>#DIV/0!</v>
      </c>
      <c r="BU35" s="213" t="e">
        <f t="shared" si="50"/>
        <v>#DIV/0!</v>
      </c>
      <c r="BV35" s="213" t="e">
        <f t="shared" si="51"/>
        <v>#DIV/0!</v>
      </c>
      <c r="BW35" s="213" t="e">
        <f t="shared" si="52"/>
        <v>#DIV/0!</v>
      </c>
      <c r="BX35" s="213" t="e">
        <f t="shared" si="53"/>
        <v>#DIV/0!</v>
      </c>
      <c r="BY35" s="213" t="e">
        <f t="shared" si="54"/>
        <v>#DIV/0!</v>
      </c>
      <c r="BZ35" s="213" t="e">
        <f t="shared" si="55"/>
        <v>#DIV/0!</v>
      </c>
      <c r="CA35" s="213" t="e">
        <f t="shared" si="56"/>
        <v>#DIV/0!</v>
      </c>
      <c r="CB35" s="213" t="e">
        <f t="shared" si="57"/>
        <v>#DIV/0!</v>
      </c>
      <c r="CC35" s="213" t="e">
        <f t="shared" si="58"/>
        <v>#DIV/0!</v>
      </c>
      <c r="CD35" s="213" t="e">
        <f t="shared" si="59"/>
        <v>#DIV/0!</v>
      </c>
      <c r="CE35" s="213" t="e">
        <f t="shared" si="60"/>
        <v>#DIV/0!</v>
      </c>
      <c r="CF35" s="213" t="e">
        <f t="shared" si="61"/>
        <v>#DIV/0!</v>
      </c>
      <c r="CG35" s="213" t="e">
        <f t="shared" si="62"/>
        <v>#DIV/0!</v>
      </c>
      <c r="CH35" s="213" t="e">
        <f t="shared" si="63"/>
        <v>#DIV/0!</v>
      </c>
      <c r="CI35" s="213" t="e">
        <f t="shared" si="64"/>
        <v>#DIV/0!</v>
      </c>
      <c r="CJ35" s="226"/>
      <c r="CK35" s="228"/>
      <c r="CL35" s="228"/>
      <c r="CM35" s="228"/>
      <c r="CN35" s="228"/>
      <c r="CO35" s="228"/>
      <c r="CP35" s="228"/>
      <c r="CQ35" s="228"/>
      <c r="CR35" s="228"/>
      <c r="CS35" s="228"/>
      <c r="CT35" s="228"/>
      <c r="CU35" s="228"/>
      <c r="CV35" s="228"/>
      <c r="CW35" s="228"/>
      <c r="CX35" s="228"/>
      <c r="CY35" s="228"/>
      <c r="CZ35" s="228"/>
      <c r="DA35" s="228"/>
      <c r="DB35" s="228"/>
      <c r="DC35" s="228"/>
      <c r="DD35" s="228"/>
      <c r="DE35" s="228"/>
      <c r="DF35" s="228"/>
      <c r="DG35" s="228"/>
      <c r="DH35" s="228"/>
      <c r="DI35" s="228"/>
      <c r="DJ35" s="228"/>
      <c r="DK35" s="228"/>
      <c r="DL35" s="228"/>
      <c r="DM35" s="228"/>
      <c r="DN35" s="228"/>
      <c r="DO35" s="228"/>
      <c r="DP35" s="228"/>
      <c r="DQ35" s="228"/>
    </row>
    <row r="36" s="61" customFormat="1" ht="16" customHeight="1" spans="1:121">
      <c r="A36" s="68" t="s">
        <v>368</v>
      </c>
      <c r="B36" s="69"/>
      <c r="C36" s="77" t="e">
        <f>-N49*初始化表!B12</f>
        <v>#DIV/0!</v>
      </c>
      <c r="D36" s="79"/>
      <c r="E36" s="79" t="e">
        <f>E35-C36</f>
        <v>#DIV/0!</v>
      </c>
      <c r="F36" s="79" t="e">
        <f t="shared" si="47"/>
        <v>#DIV/0!</v>
      </c>
      <c r="G36" s="73"/>
      <c r="H36" s="68" t="s">
        <v>621</v>
      </c>
      <c r="I36" s="103">
        <f>-C34</f>
        <v>0</v>
      </c>
      <c r="J36" s="106" t="e">
        <f>INT(($N$49*1300-SUMPRODUCT($L$177:$L$180,$H$177:$H$180))/H178)</f>
        <v>#DIV/0!</v>
      </c>
      <c r="K36" s="68" t="s">
        <v>202</v>
      </c>
      <c r="L36" s="90"/>
      <c r="M36" s="85"/>
      <c r="N36" s="68" t="s">
        <v>622</v>
      </c>
      <c r="O36" s="68" t="s">
        <v>623</v>
      </c>
      <c r="P36" s="68" t="s">
        <v>624</v>
      </c>
      <c r="Q36" s="68" t="s">
        <v>625</v>
      </c>
      <c r="R36" s="96" t="s">
        <v>626</v>
      </c>
      <c r="S36" s="68" t="s">
        <v>739</v>
      </c>
      <c r="T36" s="68" t="s">
        <v>740</v>
      </c>
      <c r="U36" s="68" t="s">
        <v>464</v>
      </c>
      <c r="V36" s="115" t="e">
        <f>第7期!BN42</f>
        <v>#DIV/0!</v>
      </c>
      <c r="W36" s="115" t="e">
        <f>第7期!BO42</f>
        <v>#DIV/0!</v>
      </c>
      <c r="X36" s="115" t="e">
        <f>第7期!BP42</f>
        <v>#DIV/0!</v>
      </c>
      <c r="Y36" s="115" t="e">
        <f>第7期!BQ42</f>
        <v>#DIV/0!</v>
      </c>
      <c r="Z36" s="74"/>
      <c r="AA36" s="73"/>
      <c r="AB36" s="151" t="s">
        <v>202</v>
      </c>
      <c r="AC36" s="152" t="e">
        <f>初始化表!$F$22-AC6</f>
        <v>#DIV/0!</v>
      </c>
      <c r="AD36" s="152" t="e">
        <f>初始化表!$F$22-AD6</f>
        <v>#DIV/0!</v>
      </c>
      <c r="AE36" s="152" t="e">
        <f>初始化表!$F$22-AE6</f>
        <v>#DIV/0!</v>
      </c>
      <c r="AF36" s="152" t="e">
        <f>初始化表!$F$22-AF6</f>
        <v>#DIV/0!</v>
      </c>
      <c r="AG36" s="152" t="e">
        <f>初始化表!$F$22-AG6</f>
        <v>#DIV/0!</v>
      </c>
      <c r="AH36" s="73"/>
      <c r="AI36" s="69"/>
      <c r="AJ36" s="68" t="s">
        <v>320</v>
      </c>
      <c r="AK36" s="68" t="s">
        <v>321</v>
      </c>
      <c r="AL36" s="68" t="s">
        <v>322</v>
      </c>
      <c r="AM36" s="68" t="s">
        <v>319</v>
      </c>
      <c r="AN36" s="68" t="s">
        <v>320</v>
      </c>
      <c r="AO36" s="68" t="s">
        <v>321</v>
      </c>
      <c r="AP36" s="68" t="s">
        <v>322</v>
      </c>
      <c r="AQ36" s="68" t="s">
        <v>319</v>
      </c>
      <c r="AR36" s="68" t="s">
        <v>320</v>
      </c>
      <c r="AS36" s="68" t="s">
        <v>321</v>
      </c>
      <c r="AT36" s="68" t="s">
        <v>322</v>
      </c>
      <c r="AU36" s="68" t="s">
        <v>319</v>
      </c>
      <c r="AV36" s="68" t="s">
        <v>320</v>
      </c>
      <c r="AW36" s="68" t="s">
        <v>321</v>
      </c>
      <c r="AX36" s="68" t="s">
        <v>322</v>
      </c>
      <c r="AY36" s="68" t="s">
        <v>41</v>
      </c>
      <c r="AZ36" s="193"/>
      <c r="BA36" s="196">
        <f t="shared" si="65"/>
        <v>0</v>
      </c>
      <c r="BB36" s="201">
        <f t="shared" si="66"/>
        <v>0</v>
      </c>
      <c r="BC36" s="201">
        <f t="shared" si="67"/>
        <v>0</v>
      </c>
      <c r="BD36" s="201">
        <f t="shared" si="68"/>
        <v>0</v>
      </c>
      <c r="BE36" s="201">
        <f t="shared" si="69"/>
        <v>0</v>
      </c>
      <c r="BF36" s="202">
        <f>(BB36*初始化表!E$17+BC36*初始化表!F$17+BD36*初始化表!G$17+BE36*初始化表!H$17)/1300</f>
        <v>0</v>
      </c>
      <c r="BG36" s="207">
        <f t="shared" si="70"/>
        <v>0</v>
      </c>
      <c r="BH36" s="207">
        <f t="shared" si="71"/>
        <v>0</v>
      </c>
      <c r="BI36" s="208"/>
      <c r="BJ36" s="201" t="str">
        <f t="shared" si="72"/>
        <v/>
      </c>
      <c r="BK36" s="201" t="str">
        <f t="shared" si="73"/>
        <v/>
      </c>
      <c r="BL36" s="203"/>
      <c r="BM36" s="214"/>
      <c r="BN36" s="215" t="s">
        <v>459</v>
      </c>
      <c r="BO36" s="215" t="s">
        <v>460</v>
      </c>
      <c r="BP36" s="215" t="s">
        <v>461</v>
      </c>
      <c r="BQ36" s="215" t="s">
        <v>462</v>
      </c>
      <c r="BR36" s="211"/>
      <c r="BS36" s="196">
        <f t="shared" si="48"/>
        <v>0</v>
      </c>
      <c r="BT36" s="213" t="e">
        <f t="shared" si="49"/>
        <v>#DIV/0!</v>
      </c>
      <c r="BU36" s="213" t="e">
        <f t="shared" si="50"/>
        <v>#DIV/0!</v>
      </c>
      <c r="BV36" s="213" t="e">
        <f t="shared" si="51"/>
        <v>#DIV/0!</v>
      </c>
      <c r="BW36" s="213" t="e">
        <f t="shared" si="52"/>
        <v>#DIV/0!</v>
      </c>
      <c r="BX36" s="213" t="e">
        <f t="shared" si="53"/>
        <v>#DIV/0!</v>
      </c>
      <c r="BY36" s="213" t="e">
        <f t="shared" si="54"/>
        <v>#DIV/0!</v>
      </c>
      <c r="BZ36" s="213" t="e">
        <f t="shared" si="55"/>
        <v>#DIV/0!</v>
      </c>
      <c r="CA36" s="213" t="e">
        <f t="shared" si="56"/>
        <v>#DIV/0!</v>
      </c>
      <c r="CB36" s="213" t="e">
        <f t="shared" si="57"/>
        <v>#DIV/0!</v>
      </c>
      <c r="CC36" s="213" t="e">
        <f t="shared" si="58"/>
        <v>#DIV/0!</v>
      </c>
      <c r="CD36" s="213" t="e">
        <f t="shared" si="59"/>
        <v>#DIV/0!</v>
      </c>
      <c r="CE36" s="213" t="e">
        <f t="shared" si="60"/>
        <v>#DIV/0!</v>
      </c>
      <c r="CF36" s="213" t="e">
        <f t="shared" si="61"/>
        <v>#DIV/0!</v>
      </c>
      <c r="CG36" s="213" t="e">
        <f t="shared" si="62"/>
        <v>#DIV/0!</v>
      </c>
      <c r="CH36" s="213" t="e">
        <f t="shared" si="63"/>
        <v>#DIV/0!</v>
      </c>
      <c r="CI36" s="213" t="e">
        <f t="shared" si="64"/>
        <v>#DIV/0!</v>
      </c>
      <c r="CJ36" s="226"/>
      <c r="CK36" s="228"/>
      <c r="CL36" s="228"/>
      <c r="CM36" s="228"/>
      <c r="CN36" s="228"/>
      <c r="CO36" s="228"/>
      <c r="CP36" s="228"/>
      <c r="CQ36" s="228"/>
      <c r="CR36" s="228"/>
      <c r="CS36" s="228"/>
      <c r="CT36" s="228"/>
      <c r="CU36" s="228"/>
      <c r="CV36" s="228"/>
      <c r="CW36" s="228"/>
      <c r="CX36" s="228"/>
      <c r="CY36" s="228"/>
      <c r="CZ36" s="228"/>
      <c r="DA36" s="228"/>
      <c r="DB36" s="228"/>
      <c r="DC36" s="228"/>
      <c r="DD36" s="228"/>
      <c r="DE36" s="228"/>
      <c r="DF36" s="228"/>
      <c r="DG36" s="228"/>
      <c r="DH36" s="228"/>
      <c r="DI36" s="228"/>
      <c r="DJ36" s="228"/>
      <c r="DK36" s="228"/>
      <c r="DL36" s="228"/>
      <c r="DM36" s="228"/>
      <c r="DN36" s="228"/>
      <c r="DO36" s="228"/>
      <c r="DP36" s="228"/>
      <c r="DQ36" s="228"/>
    </row>
    <row r="37" s="61" customFormat="1" ht="16" customHeight="1" spans="1:121">
      <c r="A37" s="68" t="s">
        <v>369</v>
      </c>
      <c r="B37" s="69"/>
      <c r="C37" s="77" t="e">
        <f>IF(F36&lt;0,INT(1-F36),0)</f>
        <v>#DIV/0!</v>
      </c>
      <c r="D37" s="79"/>
      <c r="E37" s="79"/>
      <c r="F37" s="79" t="e">
        <f t="shared" si="47"/>
        <v>#DIV/0!</v>
      </c>
      <c r="G37" s="73"/>
      <c r="H37" s="68" t="s">
        <v>225</v>
      </c>
      <c r="I37" s="103">
        <f>-C35</f>
        <v>0</v>
      </c>
      <c r="J37" s="106" t="e">
        <f>INT(($N$49*1300-SUMPRODUCT($L$177:$L$180,$H$177:$H$180))/H179)</f>
        <v>#DIV/0!</v>
      </c>
      <c r="K37" s="68" t="s">
        <v>206</v>
      </c>
      <c r="L37" s="90"/>
      <c r="M37" s="85"/>
      <c r="N37" s="102">
        <f>第7期!D24</f>
        <v>0</v>
      </c>
      <c r="O37" s="107"/>
      <c r="P37" s="102" t="e">
        <f>MAX(0,INT(MIN(D56-E60+C61,F62-初始化表!B21)))</f>
        <v>#DIV/0!</v>
      </c>
      <c r="Q37" s="102" t="e">
        <f>MAX(0,INT(MIN(F62-MAX(E60,C28),F62+#REF!+#REF!-F30+F48,P37)))</f>
        <v>#DIV/0!</v>
      </c>
      <c r="R37" s="134"/>
      <c r="S37" s="135" t="str">
        <f>IF(第7期!BA7=0,"未定",IF(第7期!BY27*(1-初始化表!B34*1.2)-(1-初始化表!B36)*第7期!BZ27&gt;0,"分红","不分红"))</f>
        <v>未定</v>
      </c>
      <c r="T37" s="135" t="str">
        <f>IF(第7期!BA7=0,"未定",ABS(第7期!BY27-第7期!BZ27))</f>
        <v>未定</v>
      </c>
      <c r="U37" s="68" t="s">
        <v>465</v>
      </c>
      <c r="V37" s="115" t="e">
        <f>第7期!BN43</f>
        <v>#DIV/0!</v>
      </c>
      <c r="W37" s="115" t="e">
        <f>第7期!BO43</f>
        <v>#DIV/0!</v>
      </c>
      <c r="X37" s="115" t="e">
        <f>第7期!BP43</f>
        <v>#DIV/0!</v>
      </c>
      <c r="Y37" s="115" t="e">
        <f>第7期!BQ43</f>
        <v>#DIV/0!</v>
      </c>
      <c r="Z37" s="74"/>
      <c r="AA37" s="73"/>
      <c r="AB37" s="151" t="s">
        <v>206</v>
      </c>
      <c r="AC37" s="152" t="e">
        <f>初始化表!$G$22-AC7</f>
        <v>#DIV/0!</v>
      </c>
      <c r="AD37" s="152" t="e">
        <f>初始化表!$G$22-AD7</f>
        <v>#DIV/0!</v>
      </c>
      <c r="AE37" s="152" t="e">
        <f>初始化表!$G$22-AE7</f>
        <v>#DIV/0!</v>
      </c>
      <c r="AF37" s="152" t="e">
        <f>初始化表!$G$22-AF7</f>
        <v>#DIV/0!</v>
      </c>
      <c r="AG37" s="152" t="e">
        <f>初始化表!$G$22-AG7</f>
        <v>#DIV/0!</v>
      </c>
      <c r="AH37" s="73"/>
      <c r="AI37" s="172"/>
      <c r="AJ37" s="176"/>
      <c r="AK37" s="176"/>
      <c r="AL37" s="176"/>
      <c r="AM37" s="176"/>
      <c r="AN37" s="176"/>
      <c r="AO37" s="176"/>
      <c r="AP37" s="176"/>
      <c r="AQ37" s="176"/>
      <c r="AR37" s="176"/>
      <c r="AS37" s="176"/>
      <c r="AT37" s="176"/>
      <c r="AU37" s="176"/>
      <c r="AV37" s="176"/>
      <c r="AW37" s="176"/>
      <c r="AX37" s="176"/>
      <c r="AY37" s="176"/>
      <c r="AZ37" s="193"/>
      <c r="BA37" s="196">
        <f t="shared" si="65"/>
        <v>0</v>
      </c>
      <c r="BB37" s="201">
        <f t="shared" si="66"/>
        <v>0</v>
      </c>
      <c r="BC37" s="201">
        <f t="shared" si="67"/>
        <v>0</v>
      </c>
      <c r="BD37" s="201">
        <f t="shared" si="68"/>
        <v>0</v>
      </c>
      <c r="BE37" s="201">
        <f t="shared" si="69"/>
        <v>0</v>
      </c>
      <c r="BF37" s="202">
        <f>(BB37*初始化表!E$17+BC37*初始化表!F$17+BD37*初始化表!G$17+BE37*初始化表!H$17)/1300</f>
        <v>0</v>
      </c>
      <c r="BG37" s="207">
        <f t="shared" si="70"/>
        <v>0</v>
      </c>
      <c r="BH37" s="207">
        <f t="shared" si="71"/>
        <v>0</v>
      </c>
      <c r="BI37" s="208"/>
      <c r="BJ37" s="201" t="str">
        <f t="shared" si="72"/>
        <v/>
      </c>
      <c r="BK37" s="201" t="str">
        <f t="shared" si="73"/>
        <v/>
      </c>
      <c r="BL37" s="203"/>
      <c r="BM37" s="215" t="s">
        <v>464</v>
      </c>
      <c r="BN37" s="216">
        <f>BB28</f>
        <v>0</v>
      </c>
      <c r="BO37" s="216">
        <f>BC28</f>
        <v>0</v>
      </c>
      <c r="BP37" s="216">
        <f>BD28</f>
        <v>0</v>
      </c>
      <c r="BQ37" s="216">
        <f>BE28</f>
        <v>0</v>
      </c>
      <c r="BR37" s="211"/>
      <c r="BS37" s="196">
        <f t="shared" si="48"/>
        <v>0</v>
      </c>
      <c r="BT37" s="213" t="e">
        <f t="shared" si="49"/>
        <v>#DIV/0!</v>
      </c>
      <c r="BU37" s="213" t="e">
        <f t="shared" si="50"/>
        <v>#DIV/0!</v>
      </c>
      <c r="BV37" s="213" t="e">
        <f t="shared" si="51"/>
        <v>#DIV/0!</v>
      </c>
      <c r="BW37" s="213" t="e">
        <f t="shared" si="52"/>
        <v>#DIV/0!</v>
      </c>
      <c r="BX37" s="213" t="e">
        <f t="shared" si="53"/>
        <v>#DIV/0!</v>
      </c>
      <c r="BY37" s="213" t="e">
        <f t="shared" si="54"/>
        <v>#DIV/0!</v>
      </c>
      <c r="BZ37" s="213" t="e">
        <f t="shared" si="55"/>
        <v>#DIV/0!</v>
      </c>
      <c r="CA37" s="213" t="e">
        <f t="shared" si="56"/>
        <v>#DIV/0!</v>
      </c>
      <c r="CB37" s="213" t="e">
        <f t="shared" si="57"/>
        <v>#DIV/0!</v>
      </c>
      <c r="CC37" s="213" t="e">
        <f t="shared" si="58"/>
        <v>#DIV/0!</v>
      </c>
      <c r="CD37" s="213" t="e">
        <f t="shared" si="59"/>
        <v>#DIV/0!</v>
      </c>
      <c r="CE37" s="213" t="e">
        <f t="shared" si="60"/>
        <v>#DIV/0!</v>
      </c>
      <c r="CF37" s="213" t="e">
        <f t="shared" si="61"/>
        <v>#DIV/0!</v>
      </c>
      <c r="CG37" s="213" t="e">
        <f t="shared" si="62"/>
        <v>#DIV/0!</v>
      </c>
      <c r="CH37" s="213" t="e">
        <f t="shared" si="63"/>
        <v>#DIV/0!</v>
      </c>
      <c r="CI37" s="213" t="e">
        <f t="shared" si="64"/>
        <v>#DIV/0!</v>
      </c>
      <c r="CJ37" s="226"/>
      <c r="CK37" s="228"/>
      <c r="CL37" s="228"/>
      <c r="CM37" s="228"/>
      <c r="CN37" s="228"/>
      <c r="CO37" s="228"/>
      <c r="CP37" s="228"/>
      <c r="CQ37" s="228"/>
      <c r="CR37" s="228"/>
      <c r="CS37" s="228"/>
      <c r="CT37" s="228"/>
      <c r="CU37" s="228"/>
      <c r="CV37" s="228"/>
      <c r="CW37" s="228"/>
      <c r="CX37" s="228"/>
      <c r="CY37" s="228"/>
      <c r="CZ37" s="228"/>
      <c r="DA37" s="228"/>
      <c r="DB37" s="228"/>
      <c r="DC37" s="228"/>
      <c r="DD37" s="228"/>
      <c r="DE37" s="228"/>
      <c r="DF37" s="228"/>
      <c r="DG37" s="228"/>
      <c r="DH37" s="228"/>
      <c r="DI37" s="228"/>
      <c r="DJ37" s="228"/>
      <c r="DK37" s="228"/>
      <c r="DL37" s="228"/>
      <c r="DM37" s="228"/>
      <c r="DN37" s="228"/>
      <c r="DO37" s="228"/>
      <c r="DP37" s="228"/>
      <c r="DQ37" s="228"/>
    </row>
    <row r="38" s="61" customFormat="1" ht="16" customHeight="1" spans="1:121">
      <c r="A38" s="68" t="s">
        <v>370</v>
      </c>
      <c r="B38" s="69"/>
      <c r="C38" s="77">
        <f>-SUM(F17:F20)</f>
        <v>0</v>
      </c>
      <c r="D38" s="79"/>
      <c r="E38" s="79"/>
      <c r="F38" s="79" t="e">
        <f t="shared" si="47"/>
        <v>#DIV/0!</v>
      </c>
      <c r="G38" s="73"/>
      <c r="H38" s="68" t="s">
        <v>627</v>
      </c>
      <c r="I38" s="103">
        <f>-C44</f>
        <v>0</v>
      </c>
      <c r="J38" s="106" t="e">
        <f>INT(($N$49*1300-SUMPRODUCT($L$177:$L$180,$H$177:$H$180))/H180)</f>
        <v>#DIV/0!</v>
      </c>
      <c r="K38" s="68" t="s">
        <v>208</v>
      </c>
      <c r="L38" s="90"/>
      <c r="M38" s="85"/>
      <c r="N38" s="108" t="s">
        <v>628</v>
      </c>
      <c r="O38" s="108"/>
      <c r="P38" s="109" t="e">
        <f>F48</f>
        <v>#DIV/0!</v>
      </c>
      <c r="Q38" s="68" t="s">
        <v>629</v>
      </c>
      <c r="R38" s="136" t="e">
        <f>F64-MAX(E60,第7期!F64)</f>
        <v>#DIV/0!</v>
      </c>
      <c r="S38" s="137"/>
      <c r="T38" s="120"/>
      <c r="U38" s="68" t="s">
        <v>466</v>
      </c>
      <c r="V38" s="115" t="e">
        <f>第7期!BN44</f>
        <v>#DIV/0!</v>
      </c>
      <c r="W38" s="115" t="e">
        <f>第7期!BO44</f>
        <v>#DIV/0!</v>
      </c>
      <c r="X38" s="115" t="e">
        <f>第7期!BP44</f>
        <v>#DIV/0!</v>
      </c>
      <c r="Y38" s="115" t="e">
        <f>第7期!BQ44</f>
        <v>#DIV/0!</v>
      </c>
      <c r="Z38" s="74"/>
      <c r="AA38" s="73"/>
      <c r="AB38" s="151" t="s">
        <v>208</v>
      </c>
      <c r="AC38" s="152" t="e">
        <f>初始化表!$H$22-AC8</f>
        <v>#DIV/0!</v>
      </c>
      <c r="AD38" s="152" t="e">
        <f>初始化表!$H$22-AD8</f>
        <v>#DIV/0!</v>
      </c>
      <c r="AE38" s="152" t="e">
        <f>初始化表!$H$22-AE8</f>
        <v>#DIV/0!</v>
      </c>
      <c r="AF38" s="152" t="e">
        <f>初始化表!$H$22-AF8</f>
        <v>#DIV/0!</v>
      </c>
      <c r="AG38" s="152" t="e">
        <f>初始化表!$H$22-AG8</f>
        <v>#DIV/0!</v>
      </c>
      <c r="AH38" s="73"/>
      <c r="AI38" s="172"/>
      <c r="AJ38" s="176"/>
      <c r="AK38" s="176"/>
      <c r="AL38" s="176"/>
      <c r="AM38" s="176"/>
      <c r="AN38" s="176"/>
      <c r="AO38" s="176"/>
      <c r="AP38" s="176"/>
      <c r="AQ38" s="176"/>
      <c r="AR38" s="176"/>
      <c r="AS38" s="176"/>
      <c r="AT38" s="176"/>
      <c r="AU38" s="176"/>
      <c r="AV38" s="176"/>
      <c r="AW38" s="176"/>
      <c r="AX38" s="176"/>
      <c r="AY38" s="176"/>
      <c r="AZ38" s="193"/>
      <c r="BA38" s="196">
        <f t="shared" si="65"/>
        <v>0</v>
      </c>
      <c r="BB38" s="201">
        <f t="shared" si="66"/>
        <v>0</v>
      </c>
      <c r="BC38" s="201">
        <f t="shared" si="67"/>
        <v>0</v>
      </c>
      <c r="BD38" s="201">
        <f t="shared" si="68"/>
        <v>0</v>
      </c>
      <c r="BE38" s="201">
        <f t="shared" si="69"/>
        <v>0</v>
      </c>
      <c r="BF38" s="202">
        <f>(BB38*初始化表!E$17+BC38*初始化表!F$17+BD38*初始化表!G$17+BE38*初始化表!H$17)/1300</f>
        <v>0</v>
      </c>
      <c r="BG38" s="207">
        <f t="shared" si="70"/>
        <v>0</v>
      </c>
      <c r="BH38" s="207">
        <f t="shared" si="71"/>
        <v>0</v>
      </c>
      <c r="BI38" s="208"/>
      <c r="BJ38" s="201" t="str">
        <f t="shared" si="72"/>
        <v/>
      </c>
      <c r="BK38" s="201" t="str">
        <f t="shared" si="73"/>
        <v/>
      </c>
      <c r="BL38" s="203"/>
      <c r="BM38" s="215" t="s">
        <v>465</v>
      </c>
      <c r="BN38" s="216">
        <f>BF28</f>
        <v>0</v>
      </c>
      <c r="BO38" s="216">
        <f>BG28</f>
        <v>0</v>
      </c>
      <c r="BP38" s="216">
        <f>BH28</f>
        <v>0</v>
      </c>
      <c r="BQ38" s="216">
        <f>BI28</f>
        <v>0</v>
      </c>
      <c r="BR38" s="211"/>
      <c r="BS38" s="196">
        <f t="shared" si="48"/>
        <v>0</v>
      </c>
      <c r="BT38" s="213" t="e">
        <f t="shared" si="49"/>
        <v>#DIV/0!</v>
      </c>
      <c r="BU38" s="213" t="e">
        <f t="shared" si="50"/>
        <v>#DIV/0!</v>
      </c>
      <c r="BV38" s="213" t="e">
        <f t="shared" si="51"/>
        <v>#DIV/0!</v>
      </c>
      <c r="BW38" s="213" t="e">
        <f t="shared" si="52"/>
        <v>#DIV/0!</v>
      </c>
      <c r="BX38" s="213" t="e">
        <f t="shared" si="53"/>
        <v>#DIV/0!</v>
      </c>
      <c r="BY38" s="213" t="e">
        <f t="shared" si="54"/>
        <v>#DIV/0!</v>
      </c>
      <c r="BZ38" s="213" t="e">
        <f t="shared" si="55"/>
        <v>#DIV/0!</v>
      </c>
      <c r="CA38" s="213" t="e">
        <f t="shared" si="56"/>
        <v>#DIV/0!</v>
      </c>
      <c r="CB38" s="213" t="e">
        <f t="shared" si="57"/>
        <v>#DIV/0!</v>
      </c>
      <c r="CC38" s="213" t="e">
        <f t="shared" si="58"/>
        <v>#DIV/0!</v>
      </c>
      <c r="CD38" s="213" t="e">
        <f t="shared" si="59"/>
        <v>#DIV/0!</v>
      </c>
      <c r="CE38" s="213" t="e">
        <f t="shared" si="60"/>
        <v>#DIV/0!</v>
      </c>
      <c r="CF38" s="213" t="e">
        <f t="shared" si="61"/>
        <v>#DIV/0!</v>
      </c>
      <c r="CG38" s="213" t="e">
        <f t="shared" si="62"/>
        <v>#DIV/0!</v>
      </c>
      <c r="CH38" s="213" t="e">
        <f t="shared" si="63"/>
        <v>#DIV/0!</v>
      </c>
      <c r="CI38" s="213" t="e">
        <f t="shared" si="64"/>
        <v>#DIV/0!</v>
      </c>
      <c r="CJ38" s="226"/>
      <c r="CK38" s="228"/>
      <c r="CL38" s="228"/>
      <c r="CM38" s="228"/>
      <c r="CN38" s="228"/>
      <c r="CO38" s="228"/>
      <c r="CP38" s="228"/>
      <c r="CQ38" s="228"/>
      <c r="CR38" s="228"/>
      <c r="CS38" s="228"/>
      <c r="CT38" s="228"/>
      <c r="CU38" s="228"/>
      <c r="CV38" s="228"/>
      <c r="CW38" s="228"/>
      <c r="CX38" s="228"/>
      <c r="CY38" s="228"/>
      <c r="CZ38" s="228"/>
      <c r="DA38" s="228"/>
      <c r="DB38" s="228"/>
      <c r="DC38" s="228"/>
      <c r="DD38" s="228"/>
      <c r="DE38" s="228"/>
      <c r="DF38" s="228"/>
      <c r="DG38" s="228"/>
      <c r="DH38" s="228"/>
      <c r="DI38" s="228"/>
      <c r="DJ38" s="228"/>
      <c r="DK38" s="228"/>
      <c r="DL38" s="228"/>
      <c r="DM38" s="228"/>
      <c r="DN38" s="228"/>
      <c r="DO38" s="228"/>
      <c r="DP38" s="228"/>
      <c r="DQ38" s="228"/>
    </row>
    <row r="39" s="61" customFormat="1" ht="16" customHeight="1" spans="1:121">
      <c r="A39" s="68" t="s">
        <v>371</v>
      </c>
      <c r="B39" s="69"/>
      <c r="C39" s="77">
        <f>(C38+第7期!C38)/2</f>
        <v>0</v>
      </c>
      <c r="D39" s="79"/>
      <c r="E39" s="79" t="e">
        <f>E36-C39</f>
        <v>#DIV/0!</v>
      </c>
      <c r="F39" s="79"/>
      <c r="G39" s="73"/>
      <c r="H39" s="68" t="s">
        <v>241</v>
      </c>
      <c r="I39" s="103">
        <f>SUM(I34:I38)</f>
        <v>0</v>
      </c>
      <c r="J39" s="110"/>
      <c r="K39" s="110"/>
      <c r="L39" s="110"/>
      <c r="M39" s="85"/>
      <c r="N39" s="68" t="s">
        <v>631</v>
      </c>
      <c r="O39" s="69"/>
      <c r="P39" s="69"/>
      <c r="Q39" s="69"/>
      <c r="R39" s="69"/>
      <c r="S39" s="74"/>
      <c r="T39" s="120"/>
      <c r="U39" s="68" t="s">
        <v>468</v>
      </c>
      <c r="V39" s="115" t="e">
        <f>第7期!BN45</f>
        <v>#DIV/0!</v>
      </c>
      <c r="W39" s="115" t="e">
        <f>第7期!BO45</f>
        <v>#DIV/0!</v>
      </c>
      <c r="X39" s="115" t="e">
        <f>第7期!BP45</f>
        <v>#DIV/0!</v>
      </c>
      <c r="Y39" s="115" t="e">
        <f>第7期!BQ45</f>
        <v>#DIV/0!</v>
      </c>
      <c r="Z39" s="74"/>
      <c r="AA39" s="73"/>
      <c r="AB39" s="74"/>
      <c r="AC39" s="74"/>
      <c r="AD39" s="74"/>
      <c r="AE39" s="74"/>
      <c r="AF39" s="74"/>
      <c r="AG39" s="74"/>
      <c r="AH39" s="73"/>
      <c r="AI39" s="177"/>
      <c r="AJ39" s="178"/>
      <c r="AK39" s="178"/>
      <c r="AL39" s="178"/>
      <c r="AM39" s="178"/>
      <c r="AN39" s="178"/>
      <c r="AO39" s="178"/>
      <c r="AP39" s="178"/>
      <c r="AQ39" s="178"/>
      <c r="AR39" s="178"/>
      <c r="AS39" s="178"/>
      <c r="AT39" s="178"/>
      <c r="AU39" s="178"/>
      <c r="AV39" s="178"/>
      <c r="AW39" s="178"/>
      <c r="AX39" s="178"/>
      <c r="AY39" s="178"/>
      <c r="AZ39" s="193"/>
      <c r="BA39" s="196">
        <f t="shared" si="65"/>
        <v>0</v>
      </c>
      <c r="BB39" s="201">
        <f t="shared" si="66"/>
        <v>0</v>
      </c>
      <c r="BC39" s="201">
        <f t="shared" si="67"/>
        <v>0</v>
      </c>
      <c r="BD39" s="201">
        <f t="shared" si="68"/>
        <v>0</v>
      </c>
      <c r="BE39" s="201">
        <f t="shared" si="69"/>
        <v>0</v>
      </c>
      <c r="BF39" s="202">
        <f>(BB39*初始化表!E$17+BC39*初始化表!F$17+BD39*初始化表!G$17+BE39*初始化表!H$17)/1300</f>
        <v>0</v>
      </c>
      <c r="BG39" s="207">
        <f t="shared" si="70"/>
        <v>0</v>
      </c>
      <c r="BH39" s="207">
        <f t="shared" si="71"/>
        <v>0</v>
      </c>
      <c r="BI39" s="208"/>
      <c r="BJ39" s="201" t="str">
        <f t="shared" si="72"/>
        <v/>
      </c>
      <c r="BK39" s="201" t="str">
        <f t="shared" si="73"/>
        <v/>
      </c>
      <c r="BL39" s="203"/>
      <c r="BM39" s="215" t="s">
        <v>466</v>
      </c>
      <c r="BN39" s="216">
        <f>BJ28</f>
        <v>0</v>
      </c>
      <c r="BO39" s="216">
        <f>BK28</f>
        <v>0</v>
      </c>
      <c r="BP39" s="216">
        <f>BL28</f>
        <v>0</v>
      </c>
      <c r="BQ39" s="216">
        <f>BM28</f>
        <v>0</v>
      </c>
      <c r="BR39" s="211"/>
      <c r="BS39" s="196">
        <f t="shared" si="48"/>
        <v>0</v>
      </c>
      <c r="BT39" s="213" t="e">
        <f t="shared" si="49"/>
        <v>#DIV/0!</v>
      </c>
      <c r="BU39" s="213" t="e">
        <f t="shared" si="50"/>
        <v>#DIV/0!</v>
      </c>
      <c r="BV39" s="213" t="e">
        <f t="shared" si="51"/>
        <v>#DIV/0!</v>
      </c>
      <c r="BW39" s="213" t="e">
        <f t="shared" si="52"/>
        <v>#DIV/0!</v>
      </c>
      <c r="BX39" s="213" t="e">
        <f t="shared" si="53"/>
        <v>#DIV/0!</v>
      </c>
      <c r="BY39" s="213" t="e">
        <f t="shared" si="54"/>
        <v>#DIV/0!</v>
      </c>
      <c r="BZ39" s="213" t="e">
        <f t="shared" si="55"/>
        <v>#DIV/0!</v>
      </c>
      <c r="CA39" s="213" t="e">
        <f t="shared" si="56"/>
        <v>#DIV/0!</v>
      </c>
      <c r="CB39" s="213" t="e">
        <f t="shared" si="57"/>
        <v>#DIV/0!</v>
      </c>
      <c r="CC39" s="213" t="e">
        <f t="shared" si="58"/>
        <v>#DIV/0!</v>
      </c>
      <c r="CD39" s="213" t="e">
        <f t="shared" si="59"/>
        <v>#DIV/0!</v>
      </c>
      <c r="CE39" s="213" t="e">
        <f t="shared" si="60"/>
        <v>#DIV/0!</v>
      </c>
      <c r="CF39" s="213" t="e">
        <f t="shared" si="61"/>
        <v>#DIV/0!</v>
      </c>
      <c r="CG39" s="213" t="e">
        <f t="shared" si="62"/>
        <v>#DIV/0!</v>
      </c>
      <c r="CH39" s="213" t="e">
        <f t="shared" si="63"/>
        <v>#DIV/0!</v>
      </c>
      <c r="CI39" s="213" t="e">
        <f t="shared" si="64"/>
        <v>#DIV/0!</v>
      </c>
      <c r="CJ39" s="226"/>
      <c r="CK39" s="228"/>
      <c r="CL39" s="228"/>
      <c r="CM39" s="228"/>
      <c r="CN39" s="228"/>
      <c r="CO39" s="228"/>
      <c r="CP39" s="228"/>
      <c r="CQ39" s="228"/>
      <c r="CR39" s="228"/>
      <c r="CS39" s="228"/>
      <c r="CT39" s="228"/>
      <c r="CU39" s="228"/>
      <c r="CV39" s="228"/>
      <c r="CW39" s="228"/>
      <c r="CX39" s="228"/>
      <c r="CY39" s="228"/>
      <c r="CZ39" s="228"/>
      <c r="DA39" s="228"/>
      <c r="DB39" s="228"/>
      <c r="DC39" s="228"/>
      <c r="DD39" s="228"/>
      <c r="DE39" s="228"/>
      <c r="DF39" s="228"/>
      <c r="DG39" s="228"/>
      <c r="DH39" s="228"/>
      <c r="DI39" s="228"/>
      <c r="DJ39" s="228"/>
      <c r="DK39" s="228"/>
      <c r="DL39" s="228"/>
      <c r="DM39" s="228"/>
      <c r="DN39" s="228"/>
      <c r="DO39" s="228"/>
      <c r="DP39" s="228"/>
      <c r="DQ39" s="228"/>
    </row>
    <row r="40" s="61" customFormat="1" ht="16" customHeight="1" spans="1:121">
      <c r="A40" s="68" t="s">
        <v>372</v>
      </c>
      <c r="B40" s="69"/>
      <c r="C40" s="77">
        <f>-E22</f>
        <v>0</v>
      </c>
      <c r="D40" s="79"/>
      <c r="E40" s="79"/>
      <c r="F40" s="79" t="e">
        <f>F38+C40</f>
        <v>#DIV/0!</v>
      </c>
      <c r="G40" s="73"/>
      <c r="H40" s="74"/>
      <c r="I40" s="74"/>
      <c r="J40" s="74"/>
      <c r="K40" s="74"/>
      <c r="L40" s="74"/>
      <c r="M40" s="85"/>
      <c r="N40" s="68" t="s">
        <v>632</v>
      </c>
      <c r="O40" s="68" t="s">
        <v>464</v>
      </c>
      <c r="P40" s="68" t="s">
        <v>465</v>
      </c>
      <c r="Q40" s="68" t="s">
        <v>466</v>
      </c>
      <c r="R40" s="68" t="s">
        <v>468</v>
      </c>
      <c r="S40" s="121"/>
      <c r="T40" s="120"/>
      <c r="U40" s="123"/>
      <c r="V40" s="74"/>
      <c r="W40" s="74"/>
      <c r="X40" s="74"/>
      <c r="Y40" s="74"/>
      <c r="Z40" s="74"/>
      <c r="AA40" s="73"/>
      <c r="AB40" s="159" t="s">
        <v>633</v>
      </c>
      <c r="AC40" s="160"/>
      <c r="AD40" s="161" t="e">
        <f>F77/AD41</f>
        <v>#DIV/0!</v>
      </c>
      <c r="AE40" s="161"/>
      <c r="AF40" s="74"/>
      <c r="AG40" s="74"/>
      <c r="AH40" s="73"/>
      <c r="AI40" s="177"/>
      <c r="AJ40" s="178"/>
      <c r="AK40" s="178"/>
      <c r="AL40" s="178"/>
      <c r="AM40" s="178"/>
      <c r="AN40" s="178"/>
      <c r="AO40" s="178"/>
      <c r="AP40" s="178"/>
      <c r="AQ40" s="178"/>
      <c r="AR40" s="178"/>
      <c r="AS40" s="178"/>
      <c r="AT40" s="178"/>
      <c r="AU40" s="178"/>
      <c r="AV40" s="178"/>
      <c r="AW40" s="178"/>
      <c r="AX40" s="178"/>
      <c r="AY40" s="178"/>
      <c r="AZ40" s="193"/>
      <c r="BA40" s="196">
        <f t="shared" si="65"/>
        <v>0</v>
      </c>
      <c r="BB40" s="201">
        <f t="shared" si="66"/>
        <v>0</v>
      </c>
      <c r="BC40" s="201">
        <f t="shared" si="67"/>
        <v>0</v>
      </c>
      <c r="BD40" s="201">
        <f t="shared" si="68"/>
        <v>0</v>
      </c>
      <c r="BE40" s="201">
        <f t="shared" si="69"/>
        <v>0</v>
      </c>
      <c r="BF40" s="202">
        <f>(BB40*初始化表!E$17+BC40*初始化表!F$17+BD40*初始化表!G$17+BE40*初始化表!H$17)/1300</f>
        <v>0</v>
      </c>
      <c r="BG40" s="207">
        <f t="shared" si="70"/>
        <v>0</v>
      </c>
      <c r="BH40" s="207">
        <f t="shared" si="71"/>
        <v>0</v>
      </c>
      <c r="BI40" s="208"/>
      <c r="BJ40" s="201" t="str">
        <f t="shared" si="72"/>
        <v/>
      </c>
      <c r="BK40" s="201" t="str">
        <f t="shared" si="73"/>
        <v/>
      </c>
      <c r="BL40" s="203"/>
      <c r="BM40" s="215" t="s">
        <v>468</v>
      </c>
      <c r="BN40" s="216">
        <f>BN28</f>
        <v>0</v>
      </c>
      <c r="BO40" s="216">
        <f>BO28</f>
        <v>0</v>
      </c>
      <c r="BP40" s="216">
        <f>BP28</f>
        <v>0</v>
      </c>
      <c r="BQ40" s="216">
        <f>BQ28</f>
        <v>0</v>
      </c>
      <c r="BR40" s="211"/>
      <c r="BS40" s="196">
        <f t="shared" si="48"/>
        <v>0</v>
      </c>
      <c r="BT40" s="213" t="e">
        <f t="shared" si="49"/>
        <v>#DIV/0!</v>
      </c>
      <c r="BU40" s="213" t="e">
        <f t="shared" si="50"/>
        <v>#DIV/0!</v>
      </c>
      <c r="BV40" s="213" t="e">
        <f t="shared" si="51"/>
        <v>#DIV/0!</v>
      </c>
      <c r="BW40" s="213" t="e">
        <f t="shared" si="52"/>
        <v>#DIV/0!</v>
      </c>
      <c r="BX40" s="213" t="e">
        <f t="shared" si="53"/>
        <v>#DIV/0!</v>
      </c>
      <c r="BY40" s="213" t="e">
        <f t="shared" si="54"/>
        <v>#DIV/0!</v>
      </c>
      <c r="BZ40" s="213" t="e">
        <f t="shared" si="55"/>
        <v>#DIV/0!</v>
      </c>
      <c r="CA40" s="213" t="e">
        <f t="shared" si="56"/>
        <v>#DIV/0!</v>
      </c>
      <c r="CB40" s="213" t="e">
        <f t="shared" si="57"/>
        <v>#DIV/0!</v>
      </c>
      <c r="CC40" s="213" t="e">
        <f t="shared" si="58"/>
        <v>#DIV/0!</v>
      </c>
      <c r="CD40" s="213" t="e">
        <f t="shared" si="59"/>
        <v>#DIV/0!</v>
      </c>
      <c r="CE40" s="213" t="e">
        <f t="shared" si="60"/>
        <v>#DIV/0!</v>
      </c>
      <c r="CF40" s="213" t="e">
        <f t="shared" si="61"/>
        <v>#DIV/0!</v>
      </c>
      <c r="CG40" s="213" t="e">
        <f t="shared" si="62"/>
        <v>#DIV/0!</v>
      </c>
      <c r="CH40" s="213" t="e">
        <f t="shared" si="63"/>
        <v>#DIV/0!</v>
      </c>
      <c r="CI40" s="213" t="e">
        <f t="shared" si="64"/>
        <v>#DIV/0!</v>
      </c>
      <c r="CJ40" s="226"/>
      <c r="CK40" s="228"/>
      <c r="CL40" s="228"/>
      <c r="CM40" s="228"/>
      <c r="CN40" s="228"/>
      <c r="CO40" s="228"/>
      <c r="CP40" s="228"/>
      <c r="CQ40" s="228"/>
      <c r="CR40" s="228"/>
      <c r="CS40" s="228"/>
      <c r="CT40" s="228"/>
      <c r="CU40" s="228"/>
      <c r="CV40" s="228"/>
      <c r="CW40" s="228"/>
      <c r="CX40" s="228"/>
      <c r="CY40" s="228"/>
      <c r="CZ40" s="228"/>
      <c r="DA40" s="228"/>
      <c r="DB40" s="228"/>
      <c r="DC40" s="228"/>
      <c r="DD40" s="228"/>
      <c r="DE40" s="228"/>
      <c r="DF40" s="228"/>
      <c r="DG40" s="228"/>
      <c r="DH40" s="228"/>
      <c r="DI40" s="228"/>
      <c r="DJ40" s="228"/>
      <c r="DK40" s="228"/>
      <c r="DL40" s="228"/>
      <c r="DM40" s="228"/>
      <c r="DN40" s="228"/>
      <c r="DO40" s="228"/>
      <c r="DP40" s="228"/>
      <c r="DQ40" s="228"/>
    </row>
    <row r="41" s="61" customFormat="1" ht="16" customHeight="1" spans="1:121">
      <c r="A41" s="68" t="s">
        <v>373</v>
      </c>
      <c r="B41" s="69"/>
      <c r="C41" s="77">
        <f>IF(E22&gt;=初始化表!K30,E22*(1-初始化表!L30),IF(E22&gt;=初始化表!K31,E22*(1-初始化表!L31),IF(E22&gt;=初始化表!K32,E22*(1-初始化表!L32),0)))</f>
        <v>0</v>
      </c>
      <c r="D41" s="79">
        <f>C41</f>
        <v>0</v>
      </c>
      <c r="E41" s="79"/>
      <c r="F41" s="79" t="e">
        <f>F40+C41</f>
        <v>#DIV/0!</v>
      </c>
      <c r="G41" s="73"/>
      <c r="H41" s="68" t="s">
        <v>634</v>
      </c>
      <c r="I41" s="69"/>
      <c r="J41" s="69"/>
      <c r="K41" s="69"/>
      <c r="L41" s="69"/>
      <c r="M41" s="85"/>
      <c r="N41" s="68" t="s">
        <v>635</v>
      </c>
      <c r="O41" s="111">
        <f>第7期!AN26</f>
        <v>0.95</v>
      </c>
      <c r="P41" s="111">
        <f>第7期!AN27</f>
        <v>0.95</v>
      </c>
      <c r="Q41" s="111">
        <f>第7期!AN28</f>
        <v>0.95</v>
      </c>
      <c r="R41" s="111">
        <f>第7期!AN29</f>
        <v>0.95</v>
      </c>
      <c r="S41" s="138"/>
      <c r="T41" s="120"/>
      <c r="U41" s="68" t="s">
        <v>636</v>
      </c>
      <c r="V41" s="68" t="s">
        <v>459</v>
      </c>
      <c r="W41" s="68" t="s">
        <v>460</v>
      </c>
      <c r="X41" s="68" t="s">
        <v>461</v>
      </c>
      <c r="Y41" s="68" t="s">
        <v>462</v>
      </c>
      <c r="Z41" s="68" t="s">
        <v>563</v>
      </c>
      <c r="AA41" s="73"/>
      <c r="AB41" s="159" t="s">
        <v>637</v>
      </c>
      <c r="AC41" s="160"/>
      <c r="AD41" s="162">
        <f>((SUM(V42:Y42,V11:Y11))*初始化表!E17+(SUM(V43:Y43,V12:Y12))*初始化表!F17+(SUM(V44:Y44,V13:Y13))*初始化表!G17+(SUM(V45:Y45,V14:Y14))*初始化表!H17)/1300</f>
        <v>0</v>
      </c>
      <c r="AE41" s="162"/>
      <c r="AF41" s="74"/>
      <c r="AG41" s="74"/>
      <c r="AH41" s="73"/>
      <c r="AI41" s="177"/>
      <c r="AJ41" s="178"/>
      <c r="AK41" s="178"/>
      <c r="AL41" s="178"/>
      <c r="AM41" s="178"/>
      <c r="AN41" s="178"/>
      <c r="AO41" s="178"/>
      <c r="AP41" s="178"/>
      <c r="AQ41" s="178"/>
      <c r="AR41" s="178"/>
      <c r="AS41" s="178"/>
      <c r="AT41" s="178"/>
      <c r="AU41" s="178"/>
      <c r="AV41" s="178"/>
      <c r="AW41" s="178"/>
      <c r="AX41" s="178"/>
      <c r="AY41" s="178"/>
      <c r="AZ41" s="193"/>
      <c r="BA41" s="196">
        <f t="shared" si="65"/>
        <v>0</v>
      </c>
      <c r="BB41" s="201">
        <f t="shared" si="66"/>
        <v>0</v>
      </c>
      <c r="BC41" s="201">
        <f t="shared" si="67"/>
        <v>0</v>
      </c>
      <c r="BD41" s="201">
        <f t="shared" si="68"/>
        <v>0</v>
      </c>
      <c r="BE41" s="201">
        <f t="shared" si="69"/>
        <v>0</v>
      </c>
      <c r="BF41" s="202">
        <f>(BB41*初始化表!E$17+BC41*初始化表!F$17+BD41*初始化表!G$17+BE41*初始化表!H$17)/1300</f>
        <v>0</v>
      </c>
      <c r="BG41" s="207">
        <f t="shared" si="70"/>
        <v>0</v>
      </c>
      <c r="BH41" s="207">
        <f t="shared" si="71"/>
        <v>0</v>
      </c>
      <c r="BI41" s="208"/>
      <c r="BJ41" s="201" t="str">
        <f t="shared" si="72"/>
        <v/>
      </c>
      <c r="BK41" s="201" t="str">
        <f t="shared" si="73"/>
        <v/>
      </c>
      <c r="BL41" s="203"/>
      <c r="BM41" s="217" t="s">
        <v>792</v>
      </c>
      <c r="BN41" s="215" t="s">
        <v>459</v>
      </c>
      <c r="BO41" s="215" t="s">
        <v>460</v>
      </c>
      <c r="BP41" s="215" t="s">
        <v>461</v>
      </c>
      <c r="BQ41" s="215" t="s">
        <v>462</v>
      </c>
      <c r="BR41" s="211"/>
      <c r="BS41" s="196">
        <f t="shared" si="48"/>
        <v>0</v>
      </c>
      <c r="BT41" s="213" t="e">
        <f t="shared" si="49"/>
        <v>#DIV/0!</v>
      </c>
      <c r="BU41" s="213" t="e">
        <f t="shared" si="50"/>
        <v>#DIV/0!</v>
      </c>
      <c r="BV41" s="213" t="e">
        <f t="shared" si="51"/>
        <v>#DIV/0!</v>
      </c>
      <c r="BW41" s="213" t="e">
        <f t="shared" si="52"/>
        <v>#DIV/0!</v>
      </c>
      <c r="BX41" s="213" t="e">
        <f t="shared" si="53"/>
        <v>#DIV/0!</v>
      </c>
      <c r="BY41" s="213" t="e">
        <f t="shared" si="54"/>
        <v>#DIV/0!</v>
      </c>
      <c r="BZ41" s="213" t="e">
        <f t="shared" si="55"/>
        <v>#DIV/0!</v>
      </c>
      <c r="CA41" s="213" t="e">
        <f t="shared" si="56"/>
        <v>#DIV/0!</v>
      </c>
      <c r="CB41" s="213" t="e">
        <f t="shared" si="57"/>
        <v>#DIV/0!</v>
      </c>
      <c r="CC41" s="213" t="e">
        <f t="shared" si="58"/>
        <v>#DIV/0!</v>
      </c>
      <c r="CD41" s="213" t="e">
        <f t="shared" si="59"/>
        <v>#DIV/0!</v>
      </c>
      <c r="CE41" s="213" t="e">
        <f t="shared" si="60"/>
        <v>#DIV/0!</v>
      </c>
      <c r="CF41" s="213" t="e">
        <f t="shared" si="61"/>
        <v>#DIV/0!</v>
      </c>
      <c r="CG41" s="213" t="e">
        <f t="shared" si="62"/>
        <v>#DIV/0!</v>
      </c>
      <c r="CH41" s="213" t="e">
        <f t="shared" si="63"/>
        <v>#DIV/0!</v>
      </c>
      <c r="CI41" s="213" t="e">
        <f t="shared" si="64"/>
        <v>#DIV/0!</v>
      </c>
      <c r="CJ41" s="226"/>
      <c r="CK41" s="228"/>
      <c r="CL41" s="228"/>
      <c r="CM41" s="228"/>
      <c r="CN41" s="228"/>
      <c r="CO41" s="228"/>
      <c r="CP41" s="228"/>
      <c r="CQ41" s="228"/>
      <c r="CR41" s="228"/>
      <c r="CS41" s="228"/>
      <c r="CT41" s="228"/>
      <c r="CU41" s="228"/>
      <c r="CV41" s="228"/>
      <c r="CW41" s="228"/>
      <c r="CX41" s="228"/>
      <c r="CY41" s="228"/>
      <c r="CZ41" s="228"/>
      <c r="DA41" s="228"/>
      <c r="DB41" s="228"/>
      <c r="DC41" s="228"/>
      <c r="DD41" s="228"/>
      <c r="DE41" s="228"/>
      <c r="DF41" s="228"/>
      <c r="DG41" s="228"/>
      <c r="DH41" s="228"/>
      <c r="DI41" s="228"/>
      <c r="DJ41" s="228"/>
      <c r="DK41" s="228"/>
      <c r="DL41" s="228"/>
      <c r="DM41" s="228"/>
      <c r="DN41" s="228"/>
      <c r="DO41" s="228"/>
      <c r="DP41" s="228"/>
      <c r="DQ41" s="228"/>
    </row>
    <row r="42" s="61" customFormat="1" ht="16" customHeight="1" spans="1:121">
      <c r="A42" s="68" t="s">
        <v>374</v>
      </c>
      <c r="B42" s="69"/>
      <c r="C42" s="77">
        <f>IF(E22&gt;0,-初始化表!B9-初始化表!B10*E22,0)</f>
        <v>0</v>
      </c>
      <c r="D42" s="79"/>
      <c r="E42" s="79" t="e">
        <f>E39-C42</f>
        <v>#DIV/0!</v>
      </c>
      <c r="F42" s="79" t="e">
        <f>F41+C42</f>
        <v>#DIV/0!</v>
      </c>
      <c r="G42" s="73"/>
      <c r="H42" s="68" t="s">
        <v>639</v>
      </c>
      <c r="I42" s="68" t="s">
        <v>640</v>
      </c>
      <c r="J42" s="68" t="s">
        <v>641</v>
      </c>
      <c r="K42" s="68" t="s">
        <v>642</v>
      </c>
      <c r="L42" s="68" t="s">
        <v>643</v>
      </c>
      <c r="M42" s="85"/>
      <c r="N42" s="68" t="s">
        <v>644</v>
      </c>
      <c r="O42" s="112" t="e">
        <f>1-0.5/MAX(B12:E12)</f>
        <v>#DIV/0!</v>
      </c>
      <c r="P42" s="112" t="e">
        <f>1-0.5/MAX(B13:E13)</f>
        <v>#DIV/0!</v>
      </c>
      <c r="Q42" s="112" t="e">
        <f>1-0.5/MAX(B14:E14)</f>
        <v>#DIV/0!</v>
      </c>
      <c r="R42" s="112" t="e">
        <f>1-0.5/MAX(B15:E15)</f>
        <v>#DIV/0!</v>
      </c>
      <c r="S42" s="139"/>
      <c r="T42" s="120"/>
      <c r="U42" s="68" t="s">
        <v>464</v>
      </c>
      <c r="V42" s="77">
        <f t="shared" ref="V42:Y45" si="74">MAX(B12+V5-V11-V84,0)</f>
        <v>0</v>
      </c>
      <c r="W42" s="77">
        <f t="shared" si="74"/>
        <v>0</v>
      </c>
      <c r="X42" s="77">
        <f t="shared" si="74"/>
        <v>0</v>
      </c>
      <c r="Y42" s="77">
        <f t="shared" si="74"/>
        <v>0</v>
      </c>
      <c r="Z42" s="77">
        <f>SUM(V42:Y42)</f>
        <v>0</v>
      </c>
      <c r="AA42" s="73"/>
      <c r="AB42" s="68" t="s">
        <v>645</v>
      </c>
      <c r="AC42" s="69"/>
      <c r="AD42" s="71" t="e">
        <f>C49/AD41</f>
        <v>#DIV/0!</v>
      </c>
      <c r="AE42" s="71"/>
      <c r="AF42" s="74"/>
      <c r="AG42" s="74"/>
      <c r="AH42" s="73"/>
      <c r="AI42" s="177"/>
      <c r="AJ42" s="178"/>
      <c r="AK42" s="178"/>
      <c r="AL42" s="178"/>
      <c r="AM42" s="178"/>
      <c r="AN42" s="178"/>
      <c r="AO42" s="178"/>
      <c r="AP42" s="178"/>
      <c r="AQ42" s="178"/>
      <c r="AR42" s="178"/>
      <c r="AS42" s="178"/>
      <c r="AT42" s="178"/>
      <c r="AU42" s="178"/>
      <c r="AV42" s="178"/>
      <c r="AW42" s="178"/>
      <c r="AX42" s="178"/>
      <c r="AY42" s="178"/>
      <c r="AZ42" s="193"/>
      <c r="BA42" s="196">
        <f t="shared" si="65"/>
        <v>0</v>
      </c>
      <c r="BB42" s="201">
        <f t="shared" si="66"/>
        <v>0</v>
      </c>
      <c r="BC42" s="201">
        <f t="shared" si="67"/>
        <v>0</v>
      </c>
      <c r="BD42" s="201">
        <f t="shared" si="68"/>
        <v>0</v>
      </c>
      <c r="BE42" s="201">
        <f t="shared" si="69"/>
        <v>0</v>
      </c>
      <c r="BF42" s="202">
        <f>(BB42*初始化表!E$17+BC42*初始化表!F$17+BD42*初始化表!G$17+BE42*初始化表!H$17)/1300</f>
        <v>0</v>
      </c>
      <c r="BG42" s="207">
        <f t="shared" si="70"/>
        <v>0</v>
      </c>
      <c r="BH42" s="207">
        <f t="shared" si="71"/>
        <v>0</v>
      </c>
      <c r="BI42" s="208"/>
      <c r="BJ42" s="201" t="str">
        <f t="shared" si="72"/>
        <v/>
      </c>
      <c r="BK42" s="201" t="str">
        <f t="shared" si="73"/>
        <v/>
      </c>
      <c r="BL42" s="203"/>
      <c r="BM42" s="215" t="s">
        <v>464</v>
      </c>
      <c r="BN42" s="206" t="e">
        <f t="shared" ref="BN42:BQ45" si="75">INT(1/BN32*BN37)</f>
        <v>#DIV/0!</v>
      </c>
      <c r="BO42" s="206" t="e">
        <f t="shared" si="75"/>
        <v>#DIV/0!</v>
      </c>
      <c r="BP42" s="206" t="e">
        <f t="shared" si="75"/>
        <v>#DIV/0!</v>
      </c>
      <c r="BQ42" s="206" t="e">
        <f t="shared" si="75"/>
        <v>#DIV/0!</v>
      </c>
      <c r="BR42" s="211"/>
      <c r="BS42" s="196">
        <f t="shared" si="48"/>
        <v>0</v>
      </c>
      <c r="BT42" s="213" t="e">
        <f t="shared" si="49"/>
        <v>#DIV/0!</v>
      </c>
      <c r="BU42" s="213" t="e">
        <f t="shared" si="50"/>
        <v>#DIV/0!</v>
      </c>
      <c r="BV42" s="213" t="e">
        <f t="shared" si="51"/>
        <v>#DIV/0!</v>
      </c>
      <c r="BW42" s="213" t="e">
        <f t="shared" si="52"/>
        <v>#DIV/0!</v>
      </c>
      <c r="BX42" s="213" t="e">
        <f t="shared" si="53"/>
        <v>#DIV/0!</v>
      </c>
      <c r="BY42" s="213" t="e">
        <f t="shared" si="54"/>
        <v>#DIV/0!</v>
      </c>
      <c r="BZ42" s="213" t="e">
        <f t="shared" si="55"/>
        <v>#DIV/0!</v>
      </c>
      <c r="CA42" s="213" t="e">
        <f t="shared" si="56"/>
        <v>#DIV/0!</v>
      </c>
      <c r="CB42" s="213" t="e">
        <f t="shared" si="57"/>
        <v>#DIV/0!</v>
      </c>
      <c r="CC42" s="213" t="e">
        <f t="shared" si="58"/>
        <v>#DIV/0!</v>
      </c>
      <c r="CD42" s="213" t="e">
        <f t="shared" si="59"/>
        <v>#DIV/0!</v>
      </c>
      <c r="CE42" s="213" t="e">
        <f t="shared" si="60"/>
        <v>#DIV/0!</v>
      </c>
      <c r="CF42" s="213" t="e">
        <f t="shared" si="61"/>
        <v>#DIV/0!</v>
      </c>
      <c r="CG42" s="213" t="e">
        <f t="shared" si="62"/>
        <v>#DIV/0!</v>
      </c>
      <c r="CH42" s="213" t="e">
        <f t="shared" si="63"/>
        <v>#DIV/0!</v>
      </c>
      <c r="CI42" s="213" t="e">
        <f t="shared" si="64"/>
        <v>#DIV/0!</v>
      </c>
      <c r="CJ42" s="226"/>
      <c r="CK42" s="228"/>
      <c r="CL42" s="228"/>
      <c r="CM42" s="228"/>
      <c r="CN42" s="228"/>
      <c r="CO42" s="228"/>
      <c r="CP42" s="228"/>
      <c r="CQ42" s="228"/>
      <c r="CR42" s="228"/>
      <c r="CS42" s="228"/>
      <c r="CT42" s="228"/>
      <c r="CU42" s="228"/>
      <c r="CV42" s="228"/>
      <c r="CW42" s="228"/>
      <c r="CX42" s="228"/>
      <c r="CY42" s="228"/>
      <c r="CZ42" s="228"/>
      <c r="DA42" s="228"/>
      <c r="DB42" s="228"/>
      <c r="DC42" s="228"/>
      <c r="DD42" s="228"/>
      <c r="DE42" s="228"/>
      <c r="DF42" s="228"/>
      <c r="DG42" s="228"/>
      <c r="DH42" s="228"/>
      <c r="DI42" s="228"/>
      <c r="DJ42" s="228"/>
      <c r="DK42" s="228"/>
      <c r="DL42" s="228"/>
      <c r="DM42" s="228"/>
      <c r="DN42" s="228"/>
      <c r="DO42" s="228"/>
      <c r="DP42" s="228"/>
      <c r="DQ42" s="228"/>
    </row>
    <row r="43" s="61" customFormat="1" ht="16" customHeight="1" spans="1:121">
      <c r="A43" s="68" t="s">
        <v>244</v>
      </c>
      <c r="B43" s="69"/>
      <c r="C43" s="77">
        <f>-(IF(SUM(B17:C17)=0,0,初始化表!H25)+IF(SUM(B18:C18)=0,0,初始化表!H26)+IF(SUM(B19:C19)=0,0,初始化表!H27)+IF(SUM(B20:C20)=0,0,初始化表!H28)+IF(SUM(D17:E17)=0,0,初始化表!I25)+IF(SUM(D18:E18)=0,0,初始化表!I26)+IF(SUM(D19:E19)=0,0,初始化表!I27)+IF(SUM(D20:E20)=0,0,初始化表!I28))</f>
        <v>0</v>
      </c>
      <c r="D43" s="79"/>
      <c r="E43" s="79" t="e">
        <f t="shared" ref="E43:E48" si="76">E42-C43</f>
        <v>#DIV/0!</v>
      </c>
      <c r="F43" s="79" t="e">
        <f>F42+C43</f>
        <v>#DIV/0!</v>
      </c>
      <c r="G43" s="73"/>
      <c r="H43" s="83">
        <f>第7期!F70</f>
        <v>0</v>
      </c>
      <c r="I43" s="83" t="e">
        <f>ROUNDUP(MAX(-K29/初始化表!B11,0),0)</f>
        <v>#DIV/0!</v>
      </c>
      <c r="J43" s="83" t="e">
        <f>IF(I43&lt;=0,0,IF(I43&lt;初始化表!K32,初始化表!K32,IF(I43&lt;初始化表!K31,初始化表!K31,IF(I43&lt;初始化表!K30,初始化表!K30,I43))))</f>
        <v>#DIV/0!</v>
      </c>
      <c r="K43" s="107"/>
      <c r="L43" s="83">
        <f>E22+H43-(SUM(B17:E17)*初始化表!E19+SUM(B18:E18)*初始化表!F19+SUM(B19:E19)*初始化表!G19+SUM(B20:E20)*初始化表!H19)</f>
        <v>0</v>
      </c>
      <c r="M43" s="85"/>
      <c r="N43" s="68" t="s">
        <v>646</v>
      </c>
      <c r="O43" s="111">
        <f>工资系数初始化!D26</f>
        <v>0.95</v>
      </c>
      <c r="P43" s="111">
        <f>工资系数初始化!E26</f>
        <v>0.95</v>
      </c>
      <c r="Q43" s="111">
        <f>工资系数初始化!F26</f>
        <v>0.95</v>
      </c>
      <c r="R43" s="111">
        <f>工资系数初始化!G26</f>
        <v>0.95</v>
      </c>
      <c r="S43" s="138"/>
      <c r="T43" s="120"/>
      <c r="U43" s="68" t="s">
        <v>465</v>
      </c>
      <c r="V43" s="77">
        <f t="shared" si="74"/>
        <v>0</v>
      </c>
      <c r="W43" s="77">
        <f t="shared" si="74"/>
        <v>0</v>
      </c>
      <c r="X43" s="77">
        <f t="shared" si="74"/>
        <v>0</v>
      </c>
      <c r="Y43" s="77">
        <f t="shared" si="74"/>
        <v>0</v>
      </c>
      <c r="Z43" s="77">
        <f>SUM(V43:Y43)</f>
        <v>0</v>
      </c>
      <c r="AA43" s="73"/>
      <c r="AB43" s="74"/>
      <c r="AC43" s="74"/>
      <c r="AD43" s="74"/>
      <c r="AE43" s="74"/>
      <c r="AF43" s="74"/>
      <c r="AG43" s="74"/>
      <c r="AH43" s="73"/>
      <c r="AI43" s="177"/>
      <c r="AJ43" s="178"/>
      <c r="AK43" s="178"/>
      <c r="AL43" s="178"/>
      <c r="AM43" s="178"/>
      <c r="AN43" s="178"/>
      <c r="AO43" s="178"/>
      <c r="AP43" s="178"/>
      <c r="AQ43" s="178"/>
      <c r="AR43" s="178"/>
      <c r="AS43" s="178"/>
      <c r="AT43" s="178"/>
      <c r="AU43" s="178"/>
      <c r="AV43" s="178"/>
      <c r="AW43" s="178"/>
      <c r="AX43" s="178"/>
      <c r="AY43" s="178"/>
      <c r="AZ43" s="193"/>
      <c r="BA43" s="196">
        <f t="shared" si="65"/>
        <v>0</v>
      </c>
      <c r="BB43" s="201">
        <f t="shared" si="66"/>
        <v>0</v>
      </c>
      <c r="BC43" s="201">
        <f t="shared" si="67"/>
        <v>0</v>
      </c>
      <c r="BD43" s="201">
        <f t="shared" si="68"/>
        <v>0</v>
      </c>
      <c r="BE43" s="201">
        <f t="shared" si="69"/>
        <v>0</v>
      </c>
      <c r="BF43" s="202">
        <f>(BB43*初始化表!E$17+BC43*初始化表!F$17+BD43*初始化表!G$17+BE43*初始化表!H$17)/1300</f>
        <v>0</v>
      </c>
      <c r="BG43" s="207">
        <f t="shared" si="70"/>
        <v>0</v>
      </c>
      <c r="BH43" s="207">
        <f t="shared" si="71"/>
        <v>0</v>
      </c>
      <c r="BI43" s="208"/>
      <c r="BJ43" s="201" t="str">
        <f t="shared" si="72"/>
        <v/>
      </c>
      <c r="BK43" s="201" t="str">
        <f t="shared" si="73"/>
        <v/>
      </c>
      <c r="BL43" s="203"/>
      <c r="BM43" s="215" t="s">
        <v>465</v>
      </c>
      <c r="BN43" s="206" t="e">
        <f t="shared" si="75"/>
        <v>#DIV/0!</v>
      </c>
      <c r="BO43" s="206" t="e">
        <f t="shared" si="75"/>
        <v>#DIV/0!</v>
      </c>
      <c r="BP43" s="206" t="e">
        <f t="shared" si="75"/>
        <v>#DIV/0!</v>
      </c>
      <c r="BQ43" s="206" t="e">
        <f t="shared" si="75"/>
        <v>#DIV/0!</v>
      </c>
      <c r="BR43" s="211"/>
      <c r="BS43" s="196">
        <f t="shared" si="48"/>
        <v>0</v>
      </c>
      <c r="BT43" s="213" t="e">
        <f t="shared" si="49"/>
        <v>#DIV/0!</v>
      </c>
      <c r="BU43" s="213" t="e">
        <f t="shared" si="50"/>
        <v>#DIV/0!</v>
      </c>
      <c r="BV43" s="213" t="e">
        <f t="shared" si="51"/>
        <v>#DIV/0!</v>
      </c>
      <c r="BW43" s="213" t="e">
        <f t="shared" si="52"/>
        <v>#DIV/0!</v>
      </c>
      <c r="BX43" s="213" t="e">
        <f t="shared" si="53"/>
        <v>#DIV/0!</v>
      </c>
      <c r="BY43" s="213" t="e">
        <f t="shared" si="54"/>
        <v>#DIV/0!</v>
      </c>
      <c r="BZ43" s="213" t="e">
        <f t="shared" si="55"/>
        <v>#DIV/0!</v>
      </c>
      <c r="CA43" s="213" t="e">
        <f t="shared" si="56"/>
        <v>#DIV/0!</v>
      </c>
      <c r="CB43" s="213" t="e">
        <f t="shared" si="57"/>
        <v>#DIV/0!</v>
      </c>
      <c r="CC43" s="213" t="e">
        <f t="shared" si="58"/>
        <v>#DIV/0!</v>
      </c>
      <c r="CD43" s="213" t="e">
        <f t="shared" si="59"/>
        <v>#DIV/0!</v>
      </c>
      <c r="CE43" s="213" t="e">
        <f t="shared" si="60"/>
        <v>#DIV/0!</v>
      </c>
      <c r="CF43" s="213" t="e">
        <f t="shared" si="61"/>
        <v>#DIV/0!</v>
      </c>
      <c r="CG43" s="213" t="e">
        <f t="shared" si="62"/>
        <v>#DIV/0!</v>
      </c>
      <c r="CH43" s="213" t="e">
        <f t="shared" si="63"/>
        <v>#DIV/0!</v>
      </c>
      <c r="CI43" s="213" t="e">
        <f t="shared" si="64"/>
        <v>#DIV/0!</v>
      </c>
      <c r="CJ43" s="226"/>
      <c r="CK43" s="228"/>
      <c r="CL43" s="228"/>
      <c r="CM43" s="228"/>
      <c r="CN43" s="228"/>
      <c r="CO43" s="228"/>
      <c r="CP43" s="228"/>
      <c r="CQ43" s="228"/>
      <c r="CR43" s="228"/>
      <c r="CS43" s="228"/>
      <c r="CT43" s="228"/>
      <c r="CU43" s="228"/>
      <c r="CV43" s="228"/>
      <c r="CW43" s="228"/>
      <c r="CX43" s="228"/>
      <c r="CY43" s="228"/>
      <c r="CZ43" s="228"/>
      <c r="DA43" s="228"/>
      <c r="DB43" s="228"/>
      <c r="DC43" s="228"/>
      <c r="DD43" s="228"/>
      <c r="DE43" s="228"/>
      <c r="DF43" s="228"/>
      <c r="DG43" s="228"/>
      <c r="DH43" s="228"/>
      <c r="DI43" s="228"/>
      <c r="DJ43" s="228"/>
      <c r="DK43" s="228"/>
      <c r="DL43" s="228"/>
      <c r="DM43" s="228"/>
      <c r="DN43" s="228"/>
      <c r="DO43" s="228"/>
      <c r="DP43" s="228"/>
      <c r="DQ43" s="228"/>
    </row>
    <row r="44" s="61" customFormat="1" ht="16" customHeight="1" spans="1:121">
      <c r="A44" s="68" t="s">
        <v>375</v>
      </c>
      <c r="B44" s="69"/>
      <c r="C44" s="77">
        <f>-F24*(SUM(C17*初始化表!E18+C18*初始化表!F18+C19*初始化表!G18+C20*初始化表!H18)*初始化表!B16+SUM(D17*初始化表!E18+D18*初始化表!F18+D19*初始化表!G18+D20*初始化表!H18)*(初始化表!B17-初始化表!B15)+SUM(E17*初始化表!E18+E18*初始化表!F18+E19*初始化表!G18+E20*初始化表!H18)*初始化表!B18)</f>
        <v>0</v>
      </c>
      <c r="D44" s="79"/>
      <c r="E44" s="79" t="e">
        <f t="shared" si="76"/>
        <v>#DIV/0!</v>
      </c>
      <c r="F44" s="79" t="e">
        <f>F43+C44</f>
        <v>#DIV/0!</v>
      </c>
      <c r="G44" s="73"/>
      <c r="H44" s="74"/>
      <c r="I44" s="74"/>
      <c r="J44" s="74"/>
      <c r="K44" s="113" t="s">
        <v>255</v>
      </c>
      <c r="L44" s="114" t="e">
        <f>F77</f>
        <v>#DIV/0!</v>
      </c>
      <c r="M44" s="85"/>
      <c r="N44" s="68" t="s">
        <v>647</v>
      </c>
      <c r="O44" s="68" t="s">
        <v>648</v>
      </c>
      <c r="P44" s="68" t="s">
        <v>649</v>
      </c>
      <c r="Q44" s="68" t="s">
        <v>650</v>
      </c>
      <c r="R44" s="68" t="s">
        <v>313</v>
      </c>
      <c r="S44" s="121"/>
      <c r="T44" s="120"/>
      <c r="U44" s="68" t="s">
        <v>466</v>
      </c>
      <c r="V44" s="77">
        <f t="shared" si="74"/>
        <v>0</v>
      </c>
      <c r="W44" s="77">
        <f t="shared" si="74"/>
        <v>0</v>
      </c>
      <c r="X44" s="77">
        <f t="shared" si="74"/>
        <v>0</v>
      </c>
      <c r="Y44" s="77">
        <f t="shared" si="74"/>
        <v>0</v>
      </c>
      <c r="Z44" s="77">
        <f>SUM(V44:Y44)</f>
        <v>0</v>
      </c>
      <c r="AA44" s="73"/>
      <c r="AB44" s="74"/>
      <c r="AC44" s="74"/>
      <c r="AD44" s="74"/>
      <c r="AE44" s="74"/>
      <c r="AF44" s="74"/>
      <c r="AG44" s="74"/>
      <c r="AH44" s="73"/>
      <c r="AI44" s="177"/>
      <c r="AJ44" s="178"/>
      <c r="AK44" s="178"/>
      <c r="AL44" s="178"/>
      <c r="AM44" s="178"/>
      <c r="AN44" s="178"/>
      <c r="AO44" s="178"/>
      <c r="AP44" s="178"/>
      <c r="AQ44" s="178"/>
      <c r="AR44" s="178"/>
      <c r="AS44" s="178"/>
      <c r="AT44" s="178"/>
      <c r="AU44" s="178"/>
      <c r="AV44" s="178"/>
      <c r="AW44" s="178"/>
      <c r="AX44" s="178"/>
      <c r="AY44" s="178"/>
      <c r="AZ44" s="193"/>
      <c r="BA44" s="196">
        <f t="shared" si="65"/>
        <v>0</v>
      </c>
      <c r="BB44" s="201">
        <f t="shared" si="66"/>
        <v>0</v>
      </c>
      <c r="BC44" s="201">
        <f t="shared" si="67"/>
        <v>0</v>
      </c>
      <c r="BD44" s="201">
        <f t="shared" si="68"/>
        <v>0</v>
      </c>
      <c r="BE44" s="201">
        <f t="shared" si="69"/>
        <v>0</v>
      </c>
      <c r="BF44" s="202">
        <f>(BB44*初始化表!E$17+BC44*初始化表!F$17+BD44*初始化表!G$17+BE44*初始化表!H$17)/1300</f>
        <v>0</v>
      </c>
      <c r="BG44" s="207">
        <f t="shared" si="70"/>
        <v>0</v>
      </c>
      <c r="BH44" s="207">
        <f t="shared" si="71"/>
        <v>0</v>
      </c>
      <c r="BI44" s="208"/>
      <c r="BJ44" s="201" t="str">
        <f t="shared" si="72"/>
        <v/>
      </c>
      <c r="BK44" s="201" t="str">
        <f t="shared" si="73"/>
        <v/>
      </c>
      <c r="BL44" s="203"/>
      <c r="BM44" s="215" t="s">
        <v>466</v>
      </c>
      <c r="BN44" s="206" t="e">
        <f t="shared" si="75"/>
        <v>#DIV/0!</v>
      </c>
      <c r="BO44" s="206" t="e">
        <f t="shared" si="75"/>
        <v>#DIV/0!</v>
      </c>
      <c r="BP44" s="206" t="e">
        <f t="shared" si="75"/>
        <v>#DIV/0!</v>
      </c>
      <c r="BQ44" s="206" t="e">
        <f t="shared" si="75"/>
        <v>#DIV/0!</v>
      </c>
      <c r="BR44" s="211"/>
      <c r="BS44" s="196">
        <f t="shared" si="48"/>
        <v>0</v>
      </c>
      <c r="BT44" s="213" t="e">
        <f t="shared" si="49"/>
        <v>#DIV/0!</v>
      </c>
      <c r="BU44" s="213" t="e">
        <f t="shared" si="50"/>
        <v>#DIV/0!</v>
      </c>
      <c r="BV44" s="213" t="e">
        <f t="shared" si="51"/>
        <v>#DIV/0!</v>
      </c>
      <c r="BW44" s="213" t="e">
        <f t="shared" si="52"/>
        <v>#DIV/0!</v>
      </c>
      <c r="BX44" s="213" t="e">
        <f t="shared" si="53"/>
        <v>#DIV/0!</v>
      </c>
      <c r="BY44" s="213" t="e">
        <f t="shared" si="54"/>
        <v>#DIV/0!</v>
      </c>
      <c r="BZ44" s="213" t="e">
        <f t="shared" si="55"/>
        <v>#DIV/0!</v>
      </c>
      <c r="CA44" s="213" t="e">
        <f t="shared" si="56"/>
        <v>#DIV/0!</v>
      </c>
      <c r="CB44" s="213" t="e">
        <f t="shared" si="57"/>
        <v>#DIV/0!</v>
      </c>
      <c r="CC44" s="213" t="e">
        <f t="shared" si="58"/>
        <v>#DIV/0!</v>
      </c>
      <c r="CD44" s="213" t="e">
        <f t="shared" si="59"/>
        <v>#DIV/0!</v>
      </c>
      <c r="CE44" s="213" t="e">
        <f t="shared" si="60"/>
        <v>#DIV/0!</v>
      </c>
      <c r="CF44" s="213" t="e">
        <f t="shared" si="61"/>
        <v>#DIV/0!</v>
      </c>
      <c r="CG44" s="213" t="e">
        <f t="shared" si="62"/>
        <v>#DIV/0!</v>
      </c>
      <c r="CH44" s="213" t="e">
        <f t="shared" si="63"/>
        <v>#DIV/0!</v>
      </c>
      <c r="CI44" s="213" t="e">
        <f t="shared" si="64"/>
        <v>#DIV/0!</v>
      </c>
      <c r="CJ44" s="226"/>
      <c r="CK44" s="228"/>
      <c r="CL44" s="228"/>
      <c r="CM44" s="228"/>
      <c r="CN44" s="228"/>
      <c r="CO44" s="228"/>
      <c r="CP44" s="228"/>
      <c r="CQ44" s="228"/>
      <c r="CR44" s="228"/>
      <c r="CS44" s="228"/>
      <c r="CT44" s="228"/>
      <c r="CU44" s="228"/>
      <c r="CV44" s="228"/>
      <c r="CW44" s="228"/>
      <c r="CX44" s="228"/>
      <c r="CY44" s="228"/>
      <c r="CZ44" s="228"/>
      <c r="DA44" s="228"/>
      <c r="DB44" s="228"/>
      <c r="DC44" s="228"/>
      <c r="DD44" s="228"/>
      <c r="DE44" s="228"/>
      <c r="DF44" s="228"/>
      <c r="DG44" s="228"/>
      <c r="DH44" s="228"/>
      <c r="DI44" s="228"/>
      <c r="DJ44" s="228"/>
      <c r="DK44" s="228"/>
      <c r="DL44" s="228"/>
      <c r="DM44" s="228"/>
      <c r="DN44" s="228"/>
      <c r="DO44" s="228"/>
      <c r="DP44" s="228"/>
      <c r="DQ44" s="228"/>
    </row>
    <row r="45" s="61" customFormat="1" ht="16" customHeight="1" spans="1:121">
      <c r="A45" s="68" t="s">
        <v>376</v>
      </c>
      <c r="B45" s="69"/>
      <c r="C45" s="77">
        <f>-SUM(B17:E17)*初始化表!E19-SUM(B18:E18)*初始化表!F19-SUM(B19:E19)*初始化表!G19-SUM(B20:E20)*初始化表!H19</f>
        <v>0</v>
      </c>
      <c r="D45" s="79"/>
      <c r="E45" s="79" t="e">
        <f t="shared" si="76"/>
        <v>#DIV/0!</v>
      </c>
      <c r="F45" s="79"/>
      <c r="G45" s="73"/>
      <c r="H45" s="68" t="s">
        <v>282</v>
      </c>
      <c r="I45" s="69"/>
      <c r="J45" s="69"/>
      <c r="K45" s="69"/>
      <c r="L45" s="69"/>
      <c r="M45" s="85"/>
      <c r="N45" s="115">
        <f>第7期!F24</f>
        <v>1</v>
      </c>
      <c r="O45" s="77">
        <f>IF(0.99*LOG(F24,初始化表!B20)&lt;0.99,0.99*LOG(F24,初始化表!B20),0.99)</f>
        <v>0</v>
      </c>
      <c r="P45" s="77" t="e">
        <f>INT(((R42-0.95-(R41-0.95)*0.2)/0.8*10/初始化表!B19+1)*1000+0.5)/1000</f>
        <v>#DIV/0!</v>
      </c>
      <c r="Q45" s="77">
        <f>INT(((0.05-(R41-0.95)*0.2)/0.8*10/初始化表!B19+1)*1000+0.5)/1000</f>
        <v>1.625</v>
      </c>
      <c r="R45" s="140">
        <f>第7期!R45</f>
        <v>1</v>
      </c>
      <c r="S45" s="141" t="s">
        <v>651</v>
      </c>
      <c r="T45" s="142"/>
      <c r="U45" s="68" t="s">
        <v>468</v>
      </c>
      <c r="V45" s="77">
        <f t="shared" si="74"/>
        <v>0</v>
      </c>
      <c r="W45" s="77">
        <f t="shared" si="74"/>
        <v>0</v>
      </c>
      <c r="X45" s="77">
        <f t="shared" si="74"/>
        <v>0</v>
      </c>
      <c r="Y45" s="77">
        <f t="shared" si="74"/>
        <v>0</v>
      </c>
      <c r="Z45" s="77">
        <f>SUM(V45:Y45)</f>
        <v>0</v>
      </c>
      <c r="AA45" s="73"/>
      <c r="AB45" s="74"/>
      <c r="AC45" s="74"/>
      <c r="AD45" s="74"/>
      <c r="AE45" s="74"/>
      <c r="AF45" s="74"/>
      <c r="AG45" s="74"/>
      <c r="AH45" s="73"/>
      <c r="AI45" s="177"/>
      <c r="AJ45" s="178"/>
      <c r="AK45" s="178"/>
      <c r="AL45" s="178"/>
      <c r="AM45" s="178"/>
      <c r="AN45" s="178"/>
      <c r="AO45" s="178"/>
      <c r="AP45" s="178"/>
      <c r="AQ45" s="178"/>
      <c r="AR45" s="178"/>
      <c r="AS45" s="178"/>
      <c r="AT45" s="178"/>
      <c r="AU45" s="178"/>
      <c r="AV45" s="178"/>
      <c r="AW45" s="178"/>
      <c r="AX45" s="178"/>
      <c r="AY45" s="178"/>
      <c r="AZ45" s="193"/>
      <c r="BA45" s="196">
        <f t="shared" si="65"/>
        <v>0</v>
      </c>
      <c r="BB45" s="201">
        <f t="shared" si="66"/>
        <v>0</v>
      </c>
      <c r="BC45" s="201">
        <f t="shared" si="67"/>
        <v>0</v>
      </c>
      <c r="BD45" s="201">
        <f t="shared" si="68"/>
        <v>0</v>
      </c>
      <c r="BE45" s="201">
        <f t="shared" si="69"/>
        <v>0</v>
      </c>
      <c r="BF45" s="202">
        <f>(BB45*初始化表!E$17+BC45*初始化表!F$17+BD45*初始化表!G$17+BE45*初始化表!H$17)/1300</f>
        <v>0</v>
      </c>
      <c r="BG45" s="207">
        <f t="shared" si="70"/>
        <v>0</v>
      </c>
      <c r="BH45" s="207">
        <f t="shared" si="71"/>
        <v>0</v>
      </c>
      <c r="BI45" s="208"/>
      <c r="BJ45" s="201" t="str">
        <f t="shared" si="72"/>
        <v/>
      </c>
      <c r="BK45" s="201" t="str">
        <f t="shared" si="73"/>
        <v/>
      </c>
      <c r="BL45" s="203"/>
      <c r="BM45" s="215" t="s">
        <v>468</v>
      </c>
      <c r="BN45" s="206" t="e">
        <f t="shared" si="75"/>
        <v>#DIV/0!</v>
      </c>
      <c r="BO45" s="206" t="e">
        <f t="shared" si="75"/>
        <v>#DIV/0!</v>
      </c>
      <c r="BP45" s="206" t="e">
        <f t="shared" si="75"/>
        <v>#DIV/0!</v>
      </c>
      <c r="BQ45" s="206" t="e">
        <f t="shared" si="75"/>
        <v>#DIV/0!</v>
      </c>
      <c r="BR45" s="211"/>
      <c r="BS45" s="196">
        <f t="shared" si="48"/>
        <v>0</v>
      </c>
      <c r="BT45" s="213" t="e">
        <f t="shared" si="49"/>
        <v>#DIV/0!</v>
      </c>
      <c r="BU45" s="213" t="e">
        <f t="shared" si="50"/>
        <v>#DIV/0!</v>
      </c>
      <c r="BV45" s="213" t="e">
        <f t="shared" si="51"/>
        <v>#DIV/0!</v>
      </c>
      <c r="BW45" s="213" t="e">
        <f t="shared" si="52"/>
        <v>#DIV/0!</v>
      </c>
      <c r="BX45" s="213" t="e">
        <f t="shared" si="53"/>
        <v>#DIV/0!</v>
      </c>
      <c r="BY45" s="213" t="e">
        <f t="shared" si="54"/>
        <v>#DIV/0!</v>
      </c>
      <c r="BZ45" s="213" t="e">
        <f t="shared" si="55"/>
        <v>#DIV/0!</v>
      </c>
      <c r="CA45" s="213" t="e">
        <f t="shared" si="56"/>
        <v>#DIV/0!</v>
      </c>
      <c r="CB45" s="213" t="e">
        <f t="shared" si="57"/>
        <v>#DIV/0!</v>
      </c>
      <c r="CC45" s="213" t="e">
        <f t="shared" si="58"/>
        <v>#DIV/0!</v>
      </c>
      <c r="CD45" s="213" t="e">
        <f t="shared" si="59"/>
        <v>#DIV/0!</v>
      </c>
      <c r="CE45" s="213" t="e">
        <f t="shared" si="60"/>
        <v>#DIV/0!</v>
      </c>
      <c r="CF45" s="213" t="e">
        <f t="shared" si="61"/>
        <v>#DIV/0!</v>
      </c>
      <c r="CG45" s="213" t="e">
        <f t="shared" si="62"/>
        <v>#DIV/0!</v>
      </c>
      <c r="CH45" s="213" t="e">
        <f t="shared" si="63"/>
        <v>#DIV/0!</v>
      </c>
      <c r="CI45" s="213" t="e">
        <f t="shared" si="64"/>
        <v>#DIV/0!</v>
      </c>
      <c r="CJ45" s="226"/>
      <c r="CK45" s="228"/>
      <c r="CL45" s="228"/>
      <c r="CM45" s="228"/>
      <c r="CN45" s="228"/>
      <c r="CO45" s="228"/>
      <c r="CP45" s="228"/>
      <c r="CQ45" s="228"/>
      <c r="CR45" s="228"/>
      <c r="CS45" s="228"/>
      <c r="CT45" s="228"/>
      <c r="CU45" s="228"/>
      <c r="CV45" s="228"/>
      <c r="CW45" s="228"/>
      <c r="CX45" s="228"/>
      <c r="CY45" s="228"/>
      <c r="CZ45" s="228"/>
      <c r="DA45" s="228"/>
      <c r="DB45" s="228"/>
      <c r="DC45" s="228"/>
      <c r="DD45" s="228"/>
      <c r="DE45" s="228"/>
      <c r="DF45" s="228"/>
      <c r="DG45" s="228"/>
      <c r="DH45" s="228"/>
      <c r="DI45" s="228"/>
      <c r="DJ45" s="228"/>
      <c r="DK45" s="228"/>
      <c r="DL45" s="228"/>
      <c r="DM45" s="228"/>
      <c r="DN45" s="228"/>
      <c r="DO45" s="228"/>
      <c r="DP45" s="228"/>
      <c r="DQ45" s="228"/>
    </row>
    <row r="46" s="61" customFormat="1" ht="16" customHeight="1" spans="1:121">
      <c r="A46" s="68" t="s">
        <v>377</v>
      </c>
      <c r="B46" s="69"/>
      <c r="C46" s="77">
        <f>-(SUMPRODUCT(B12:E15,初始化表!L19:O22)+IF(B12=0,0,初始化表!L13)+IF(B13=0,0,初始化表!L14)+IF(B14=0,0,初始化表!L15)+IF(B15=0,0,初始化表!L16)+IF(C12=0,0,初始化表!M13)+IF(C13=0,0,初始化表!M14)+IF(C14=0,0,初始化表!M15)+IF(C15=0,0,初始化表!M16)+IF(D12=0,0,初始化表!N13)+IF(D13=0,0,初始化表!N14)+IF(D14=0,0,初始化表!N15)+IF(D15=0,0,初始化表!N16)+IF(E12=0,0,初始化表!O13)+IF(E13=0,0,初始化表!O14)+IF(E14=0,0,初始化表!O15)+IF(E15=0,0,初始化表!O16))</f>
        <v>0</v>
      </c>
      <c r="D46" s="79"/>
      <c r="E46" s="79" t="e">
        <f t="shared" si="76"/>
        <v>#DIV/0!</v>
      </c>
      <c r="F46" s="79" t="e">
        <f>F44+C46</f>
        <v>#DIV/0!</v>
      </c>
      <c r="G46" s="73"/>
      <c r="H46" s="68" t="s">
        <v>652</v>
      </c>
      <c r="I46" s="68" t="s">
        <v>459</v>
      </c>
      <c r="J46" s="68" t="s">
        <v>460</v>
      </c>
      <c r="K46" s="68" t="s">
        <v>461</v>
      </c>
      <c r="L46" s="68" t="s">
        <v>462</v>
      </c>
      <c r="M46" s="85"/>
      <c r="N46" s="90"/>
      <c r="O46" s="90"/>
      <c r="P46" s="90"/>
      <c r="Q46" s="68" t="s">
        <v>255</v>
      </c>
      <c r="R46" s="143" t="e">
        <f>F77</f>
        <v>#DIV/0!</v>
      </c>
      <c r="S46" s="141" t="s">
        <v>653</v>
      </c>
      <c r="T46" s="144"/>
      <c r="U46" s="123"/>
      <c r="V46" s="74"/>
      <c r="W46" s="74"/>
      <c r="X46" s="74"/>
      <c r="Y46" s="74"/>
      <c r="Z46" s="74"/>
      <c r="AA46" s="73"/>
      <c r="AB46" s="74"/>
      <c r="AC46" s="74"/>
      <c r="AD46" s="74"/>
      <c r="AE46" s="74"/>
      <c r="AF46" s="74"/>
      <c r="AG46" s="74"/>
      <c r="AH46" s="73"/>
      <c r="AI46" s="177"/>
      <c r="AJ46" s="178"/>
      <c r="AK46" s="178"/>
      <c r="AL46" s="178"/>
      <c r="AM46" s="178"/>
      <c r="AN46" s="178"/>
      <c r="AO46" s="178"/>
      <c r="AP46" s="178"/>
      <c r="AQ46" s="178"/>
      <c r="AR46" s="178"/>
      <c r="AS46" s="178"/>
      <c r="AT46" s="178"/>
      <c r="AU46" s="178"/>
      <c r="AV46" s="178"/>
      <c r="AW46" s="178"/>
      <c r="AX46" s="178"/>
      <c r="AY46" s="178"/>
      <c r="AZ46" s="193"/>
      <c r="BA46" s="196">
        <f t="shared" si="65"/>
        <v>0</v>
      </c>
      <c r="BB46" s="201">
        <f t="shared" si="66"/>
        <v>0</v>
      </c>
      <c r="BC46" s="201">
        <f t="shared" si="67"/>
        <v>0</v>
      </c>
      <c r="BD46" s="201">
        <f t="shared" si="68"/>
        <v>0</v>
      </c>
      <c r="BE46" s="201">
        <f t="shared" si="69"/>
        <v>0</v>
      </c>
      <c r="BF46" s="202">
        <f>(BB46*初始化表!E$17+BC46*初始化表!F$17+BD46*初始化表!G$17+BE46*初始化表!H$17)/1300</f>
        <v>0</v>
      </c>
      <c r="BG46" s="207">
        <f t="shared" si="70"/>
        <v>0</v>
      </c>
      <c r="BH46" s="207">
        <f t="shared" si="71"/>
        <v>0</v>
      </c>
      <c r="BI46" s="208"/>
      <c r="BJ46" s="201" t="str">
        <f t="shared" si="72"/>
        <v/>
      </c>
      <c r="BK46" s="201" t="str">
        <f t="shared" si="73"/>
        <v/>
      </c>
      <c r="BL46" s="203"/>
      <c r="BM46" s="218"/>
      <c r="BN46" s="218"/>
      <c r="BO46" s="218"/>
      <c r="BP46" s="218"/>
      <c r="BQ46" s="218"/>
      <c r="BR46" s="211"/>
      <c r="BS46" s="196">
        <f t="shared" si="48"/>
        <v>0</v>
      </c>
      <c r="BT46" s="213" t="e">
        <f t="shared" si="49"/>
        <v>#DIV/0!</v>
      </c>
      <c r="BU46" s="213" t="e">
        <f t="shared" si="50"/>
        <v>#DIV/0!</v>
      </c>
      <c r="BV46" s="213" t="e">
        <f t="shared" si="51"/>
        <v>#DIV/0!</v>
      </c>
      <c r="BW46" s="213" t="e">
        <f t="shared" si="52"/>
        <v>#DIV/0!</v>
      </c>
      <c r="BX46" s="213" t="e">
        <f t="shared" si="53"/>
        <v>#DIV/0!</v>
      </c>
      <c r="BY46" s="213" t="e">
        <f t="shared" si="54"/>
        <v>#DIV/0!</v>
      </c>
      <c r="BZ46" s="213" t="e">
        <f t="shared" si="55"/>
        <v>#DIV/0!</v>
      </c>
      <c r="CA46" s="213" t="e">
        <f t="shared" si="56"/>
        <v>#DIV/0!</v>
      </c>
      <c r="CB46" s="213" t="e">
        <f t="shared" si="57"/>
        <v>#DIV/0!</v>
      </c>
      <c r="CC46" s="213" t="e">
        <f t="shared" si="58"/>
        <v>#DIV/0!</v>
      </c>
      <c r="CD46" s="213" t="e">
        <f t="shared" si="59"/>
        <v>#DIV/0!</v>
      </c>
      <c r="CE46" s="213" t="e">
        <f t="shared" si="60"/>
        <v>#DIV/0!</v>
      </c>
      <c r="CF46" s="213" t="e">
        <f t="shared" si="61"/>
        <v>#DIV/0!</v>
      </c>
      <c r="CG46" s="213" t="e">
        <f t="shared" si="62"/>
        <v>#DIV/0!</v>
      </c>
      <c r="CH46" s="213" t="e">
        <f t="shared" si="63"/>
        <v>#DIV/0!</v>
      </c>
      <c r="CI46" s="213" t="e">
        <f t="shared" si="64"/>
        <v>#DIV/0!</v>
      </c>
      <c r="CJ46" s="226"/>
      <c r="CK46" s="228"/>
      <c r="CL46" s="228"/>
      <c r="CM46" s="228"/>
      <c r="CN46" s="228"/>
      <c r="CO46" s="228"/>
      <c r="CP46" s="228"/>
      <c r="CQ46" s="228"/>
      <c r="CR46" s="228"/>
      <c r="CS46" s="228"/>
      <c r="CT46" s="228"/>
      <c r="CU46" s="228"/>
      <c r="CV46" s="228"/>
      <c r="CW46" s="228"/>
      <c r="CX46" s="228"/>
      <c r="CY46" s="228"/>
      <c r="CZ46" s="228"/>
      <c r="DA46" s="228"/>
      <c r="DB46" s="228"/>
      <c r="DC46" s="228"/>
      <c r="DD46" s="228"/>
      <c r="DE46" s="228"/>
      <c r="DF46" s="228"/>
      <c r="DG46" s="228"/>
      <c r="DH46" s="228"/>
      <c r="DI46" s="228"/>
      <c r="DJ46" s="228"/>
      <c r="DK46" s="228"/>
      <c r="DL46" s="228"/>
      <c r="DM46" s="228"/>
      <c r="DN46" s="228"/>
      <c r="DO46" s="228"/>
      <c r="DP46" s="228"/>
      <c r="DQ46" s="228"/>
    </row>
    <row r="47" s="61" customFormat="1" ht="16" customHeight="1" spans="1:121">
      <c r="A47" s="68" t="s">
        <v>276</v>
      </c>
      <c r="B47" s="69"/>
      <c r="C47" s="77" t="e">
        <f>-SUM(F6:F9)</f>
        <v>#DIV/0!</v>
      </c>
      <c r="D47" s="79"/>
      <c r="E47" s="79" t="e">
        <f t="shared" si="76"/>
        <v>#DIV/0!</v>
      </c>
      <c r="F47" s="79" t="e">
        <f>F46+C47</f>
        <v>#DIV/0!</v>
      </c>
      <c r="G47" s="73"/>
      <c r="H47" s="68" t="s">
        <v>464</v>
      </c>
      <c r="I47" s="90">
        <v>2</v>
      </c>
      <c r="J47" s="90">
        <v>2</v>
      </c>
      <c r="K47" s="90">
        <v>3</v>
      </c>
      <c r="L47" s="90">
        <v>3</v>
      </c>
      <c r="M47" s="85"/>
      <c r="N47" s="68" t="s">
        <v>654</v>
      </c>
      <c r="O47" s="69"/>
      <c r="P47" s="69"/>
      <c r="Q47" s="69"/>
      <c r="R47" s="145"/>
      <c r="S47" s="141" t="s">
        <v>655</v>
      </c>
      <c r="T47" s="135" t="e">
        <f>R46-T46</f>
        <v>#DIV/0!</v>
      </c>
      <c r="U47" s="68" t="s">
        <v>742</v>
      </c>
      <c r="V47" s="68" t="s">
        <v>459</v>
      </c>
      <c r="W47" s="68" t="s">
        <v>460</v>
      </c>
      <c r="X47" s="68" t="s">
        <v>461</v>
      </c>
      <c r="Y47" s="68" t="s">
        <v>462</v>
      </c>
      <c r="Z47" s="74"/>
      <c r="AA47" s="73"/>
      <c r="AB47" s="74"/>
      <c r="AC47" s="74"/>
      <c r="AD47" s="74"/>
      <c r="AE47" s="74"/>
      <c r="AF47" s="74"/>
      <c r="AG47" s="74"/>
      <c r="AH47" s="73"/>
      <c r="AI47" s="177"/>
      <c r="AJ47" s="178"/>
      <c r="AK47" s="178"/>
      <c r="AL47" s="178"/>
      <c r="AM47" s="178"/>
      <c r="AN47" s="178"/>
      <c r="AO47" s="178"/>
      <c r="AP47" s="178"/>
      <c r="AQ47" s="178"/>
      <c r="AR47" s="178"/>
      <c r="AS47" s="178"/>
      <c r="AT47" s="178"/>
      <c r="AU47" s="178"/>
      <c r="AV47" s="178"/>
      <c r="AW47" s="178"/>
      <c r="AX47" s="178"/>
      <c r="AY47" s="178"/>
      <c r="AZ47" s="193"/>
      <c r="BA47" s="196">
        <f t="shared" si="65"/>
        <v>0</v>
      </c>
      <c r="BB47" s="201">
        <f t="shared" si="66"/>
        <v>0</v>
      </c>
      <c r="BC47" s="201">
        <f t="shared" si="67"/>
        <v>0</v>
      </c>
      <c r="BD47" s="201">
        <f t="shared" si="68"/>
        <v>0</v>
      </c>
      <c r="BE47" s="201">
        <f t="shared" si="69"/>
        <v>0</v>
      </c>
      <c r="BF47" s="202">
        <f>(BB47*初始化表!E$17+BC47*初始化表!F$17+BD47*初始化表!G$17+BE47*初始化表!H$17)/1300</f>
        <v>0</v>
      </c>
      <c r="BG47" s="207">
        <f t="shared" si="70"/>
        <v>0</v>
      </c>
      <c r="BH47" s="207">
        <f t="shared" si="71"/>
        <v>0</v>
      </c>
      <c r="BI47" s="208"/>
      <c r="BJ47" s="201" t="str">
        <f t="shared" si="72"/>
        <v/>
      </c>
      <c r="BK47" s="201" t="str">
        <f t="shared" si="73"/>
        <v/>
      </c>
      <c r="BL47" s="203"/>
      <c r="BM47" s="203"/>
      <c r="BN47" s="203"/>
      <c r="BO47" s="203"/>
      <c r="BP47" s="203"/>
      <c r="BQ47" s="203"/>
      <c r="BR47" s="211"/>
      <c r="BS47" s="196">
        <f t="shared" si="48"/>
        <v>0</v>
      </c>
      <c r="BT47" s="213" t="e">
        <f t="shared" si="49"/>
        <v>#DIV/0!</v>
      </c>
      <c r="BU47" s="213" t="e">
        <f t="shared" si="50"/>
        <v>#DIV/0!</v>
      </c>
      <c r="BV47" s="213" t="e">
        <f t="shared" si="51"/>
        <v>#DIV/0!</v>
      </c>
      <c r="BW47" s="213" t="e">
        <f t="shared" si="52"/>
        <v>#DIV/0!</v>
      </c>
      <c r="BX47" s="213" t="e">
        <f t="shared" si="53"/>
        <v>#DIV/0!</v>
      </c>
      <c r="BY47" s="213" t="e">
        <f t="shared" si="54"/>
        <v>#DIV/0!</v>
      </c>
      <c r="BZ47" s="213" t="e">
        <f t="shared" si="55"/>
        <v>#DIV/0!</v>
      </c>
      <c r="CA47" s="213" t="e">
        <f t="shared" si="56"/>
        <v>#DIV/0!</v>
      </c>
      <c r="CB47" s="213" t="e">
        <f t="shared" si="57"/>
        <v>#DIV/0!</v>
      </c>
      <c r="CC47" s="213" t="e">
        <f t="shared" si="58"/>
        <v>#DIV/0!</v>
      </c>
      <c r="CD47" s="213" t="e">
        <f t="shared" si="59"/>
        <v>#DIV/0!</v>
      </c>
      <c r="CE47" s="213" t="e">
        <f t="shared" si="60"/>
        <v>#DIV/0!</v>
      </c>
      <c r="CF47" s="213" t="e">
        <f t="shared" si="61"/>
        <v>#DIV/0!</v>
      </c>
      <c r="CG47" s="213" t="e">
        <f t="shared" si="62"/>
        <v>#DIV/0!</v>
      </c>
      <c r="CH47" s="213" t="e">
        <f t="shared" si="63"/>
        <v>#DIV/0!</v>
      </c>
      <c r="CI47" s="213" t="e">
        <f t="shared" si="64"/>
        <v>#DIV/0!</v>
      </c>
      <c r="CJ47" s="226"/>
      <c r="CK47" s="228"/>
      <c r="CL47" s="228"/>
      <c r="CM47" s="228"/>
      <c r="CN47" s="228"/>
      <c r="CO47" s="228"/>
      <c r="CP47" s="228"/>
      <c r="CQ47" s="228"/>
      <c r="CR47" s="228"/>
      <c r="CS47" s="228"/>
      <c r="CT47" s="228"/>
      <c r="CU47" s="228"/>
      <c r="CV47" s="228"/>
      <c r="CW47" s="228"/>
      <c r="CX47" s="228"/>
      <c r="CY47" s="228"/>
      <c r="CZ47" s="228"/>
      <c r="DA47" s="228"/>
      <c r="DB47" s="228"/>
      <c r="DC47" s="228"/>
      <c r="DD47" s="228"/>
      <c r="DE47" s="228"/>
      <c r="DF47" s="228"/>
      <c r="DG47" s="228"/>
      <c r="DH47" s="228"/>
      <c r="DI47" s="228"/>
      <c r="DJ47" s="228"/>
      <c r="DK47" s="228"/>
      <c r="DL47" s="228"/>
      <c r="DM47" s="228"/>
      <c r="DN47" s="228"/>
      <c r="DO47" s="228"/>
      <c r="DP47" s="228"/>
      <c r="DQ47" s="228"/>
    </row>
    <row r="48" s="61" customFormat="1" ht="16" customHeight="1" spans="1:121">
      <c r="A48" s="68" t="s">
        <v>280</v>
      </c>
      <c r="B48" s="69"/>
      <c r="C48" s="77" t="e">
        <f>-SUM(B10:E10)</f>
        <v>#DIV/0!</v>
      </c>
      <c r="D48" s="79"/>
      <c r="E48" s="79" t="e">
        <f t="shared" si="76"/>
        <v>#DIV/0!</v>
      </c>
      <c r="F48" s="79" t="e">
        <f>F47+C48</f>
        <v>#DIV/0!</v>
      </c>
      <c r="G48" s="73"/>
      <c r="H48" s="68" t="s">
        <v>465</v>
      </c>
      <c r="I48" s="90">
        <v>2</v>
      </c>
      <c r="J48" s="90">
        <v>2</v>
      </c>
      <c r="K48" s="90">
        <v>3</v>
      </c>
      <c r="L48" s="90">
        <v>3</v>
      </c>
      <c r="M48" s="85"/>
      <c r="N48" s="68" t="s">
        <v>657</v>
      </c>
      <c r="O48" s="68" t="s">
        <v>658</v>
      </c>
      <c r="P48" s="68" t="s">
        <v>659</v>
      </c>
      <c r="Q48" s="68" t="s">
        <v>727</v>
      </c>
      <c r="R48" s="68" t="s">
        <v>642</v>
      </c>
      <c r="S48" s="121"/>
      <c r="T48" s="120"/>
      <c r="U48" s="68" t="s">
        <v>464</v>
      </c>
      <c r="V48" s="146">
        <f>IF(第6期!BB27=0,0,第7期!BB27/第6期!BB27)</f>
        <v>0</v>
      </c>
      <c r="W48" s="146">
        <f>IF(第6期!BC27=0,0,第7期!BC27/第6期!BC27)</f>
        <v>0</v>
      </c>
      <c r="X48" s="146">
        <f>IF(第6期!BD27=0,0,第7期!BD27/第6期!BD27)</f>
        <v>0</v>
      </c>
      <c r="Y48" s="146">
        <f>IF(第6期!BE27=0,0,第7期!BE27/第6期!BE27)</f>
        <v>0</v>
      </c>
      <c r="Z48" s="74"/>
      <c r="AA48" s="73"/>
      <c r="AB48" s="74"/>
      <c r="AC48" s="74"/>
      <c r="AD48" s="74"/>
      <c r="AE48" s="74"/>
      <c r="AF48" s="74"/>
      <c r="AG48" s="74"/>
      <c r="AH48" s="73"/>
      <c r="AI48" s="177"/>
      <c r="AJ48" s="178"/>
      <c r="AK48" s="178"/>
      <c r="AL48" s="178"/>
      <c r="AM48" s="178"/>
      <c r="AN48" s="178"/>
      <c r="AO48" s="178"/>
      <c r="AP48" s="178"/>
      <c r="AQ48" s="178"/>
      <c r="AR48" s="178"/>
      <c r="AS48" s="178"/>
      <c r="AT48" s="178"/>
      <c r="AU48" s="178"/>
      <c r="AV48" s="178"/>
      <c r="AW48" s="178"/>
      <c r="AX48" s="178"/>
      <c r="AY48" s="178"/>
      <c r="AZ48" s="193"/>
      <c r="BA48" s="196">
        <f t="shared" si="65"/>
        <v>0</v>
      </c>
      <c r="BB48" s="201">
        <f t="shared" si="66"/>
        <v>0</v>
      </c>
      <c r="BC48" s="201">
        <f t="shared" si="67"/>
        <v>0</v>
      </c>
      <c r="BD48" s="201">
        <f t="shared" si="68"/>
        <v>0</v>
      </c>
      <c r="BE48" s="201">
        <f t="shared" si="69"/>
        <v>0</v>
      </c>
      <c r="BF48" s="202">
        <f>(BB48*初始化表!E$17+BC48*初始化表!F$17+BD48*初始化表!G$17+BE48*初始化表!H$17)/1300</f>
        <v>0</v>
      </c>
      <c r="BG48" s="207">
        <f t="shared" si="70"/>
        <v>0</v>
      </c>
      <c r="BH48" s="207">
        <f t="shared" si="71"/>
        <v>0</v>
      </c>
      <c r="BI48" s="208"/>
      <c r="BJ48" s="201" t="str">
        <f t="shared" si="72"/>
        <v/>
      </c>
      <c r="BK48" s="201" t="str">
        <f t="shared" si="73"/>
        <v/>
      </c>
      <c r="BL48" s="203"/>
      <c r="BM48" s="203"/>
      <c r="BN48" s="203"/>
      <c r="BO48" s="203"/>
      <c r="BP48" s="203"/>
      <c r="BQ48" s="203"/>
      <c r="BR48" s="211"/>
      <c r="BS48" s="196">
        <f t="shared" si="48"/>
        <v>0</v>
      </c>
      <c r="BT48" s="213" t="e">
        <f t="shared" si="49"/>
        <v>#DIV/0!</v>
      </c>
      <c r="BU48" s="213" t="e">
        <f t="shared" si="50"/>
        <v>#DIV/0!</v>
      </c>
      <c r="BV48" s="213" t="e">
        <f t="shared" si="51"/>
        <v>#DIV/0!</v>
      </c>
      <c r="BW48" s="213" t="e">
        <f t="shared" si="52"/>
        <v>#DIV/0!</v>
      </c>
      <c r="BX48" s="213" t="e">
        <f t="shared" si="53"/>
        <v>#DIV/0!</v>
      </c>
      <c r="BY48" s="213" t="e">
        <f t="shared" si="54"/>
        <v>#DIV/0!</v>
      </c>
      <c r="BZ48" s="213" t="e">
        <f t="shared" si="55"/>
        <v>#DIV/0!</v>
      </c>
      <c r="CA48" s="213" t="e">
        <f t="shared" si="56"/>
        <v>#DIV/0!</v>
      </c>
      <c r="CB48" s="213" t="e">
        <f t="shared" si="57"/>
        <v>#DIV/0!</v>
      </c>
      <c r="CC48" s="213" t="e">
        <f t="shared" si="58"/>
        <v>#DIV/0!</v>
      </c>
      <c r="CD48" s="213" t="e">
        <f t="shared" si="59"/>
        <v>#DIV/0!</v>
      </c>
      <c r="CE48" s="213" t="e">
        <f t="shared" si="60"/>
        <v>#DIV/0!</v>
      </c>
      <c r="CF48" s="213" t="e">
        <f t="shared" si="61"/>
        <v>#DIV/0!</v>
      </c>
      <c r="CG48" s="213" t="e">
        <f t="shared" si="62"/>
        <v>#DIV/0!</v>
      </c>
      <c r="CH48" s="213" t="e">
        <f t="shared" si="63"/>
        <v>#DIV/0!</v>
      </c>
      <c r="CI48" s="213" t="e">
        <f t="shared" si="64"/>
        <v>#DIV/0!</v>
      </c>
      <c r="CJ48" s="226"/>
      <c r="CK48" s="228"/>
      <c r="CL48" s="228"/>
      <c r="CM48" s="228"/>
      <c r="CN48" s="228"/>
      <c r="CO48" s="228"/>
      <c r="CP48" s="228"/>
      <c r="CQ48" s="228"/>
      <c r="CR48" s="228"/>
      <c r="CS48" s="228"/>
      <c r="CT48" s="228"/>
      <c r="CU48" s="228"/>
      <c r="CV48" s="228"/>
      <c r="CW48" s="228"/>
      <c r="CX48" s="228"/>
      <c r="CY48" s="228"/>
      <c r="CZ48" s="228"/>
      <c r="DA48" s="228"/>
      <c r="DB48" s="228"/>
      <c r="DC48" s="228"/>
      <c r="DD48" s="228"/>
      <c r="DE48" s="228"/>
      <c r="DF48" s="228"/>
      <c r="DG48" s="228"/>
      <c r="DH48" s="228"/>
      <c r="DI48" s="228"/>
      <c r="DJ48" s="228"/>
      <c r="DK48" s="228"/>
      <c r="DL48" s="228"/>
      <c r="DM48" s="228"/>
      <c r="DN48" s="228"/>
      <c r="DO48" s="228"/>
      <c r="DP48" s="228"/>
      <c r="DQ48" s="228"/>
    </row>
    <row r="49" s="61" customFormat="1" ht="16" customHeight="1" spans="1:121">
      <c r="A49" s="68" t="s">
        <v>378</v>
      </c>
      <c r="B49" s="69"/>
      <c r="C49" s="77" t="e">
        <f>IF(AJ24="",SUMPRODUCT(B6:E9,V42:Y45),B6*MAX(0,AM9-AK9)+MAX(0,AM10-AK10)*C6+MAX(0,AM11-AK11)*D6+MAX(0,AM12-AK12)*E6+MAX(0,AM13-AK13)*B7+MAX(0,AM14-AK14)*C7+MAX(0,AM15-AK15)*D7+MAX(0,AM16-AK16)*E7+MAX(0,AM17-AK17)*B8+MAX(0,AM18-AK18)*C8+MAX(0,AM19-AK19)*D8+MAX(0,AM20-AK20)*E8+MAX(0,AM21-AK21)*B9+MAX(0,AM22-AK22)*C9+MAX(0,AM23-AK23)*D9+MAX(0,AM24-AK24)*E9)+MIN(B6,V23)*MIN(V11,B12-V84)+MIN(W11,C12-W84)*MIN(C6,W23)+MIN(X11,D12-X84)*MIN(D6,X23)+MIN(Y11,E12-Y84)*MIN(E6,Y23)+MIN(B7,V24)*MIN(V12,B13-V85)+MIN(W12,C13-W85)*MIN(C7,W24)+MIN(X12,D13-X85)*MIN(D7,X24)+MIN(Y12,E13-Y85)*MIN(E7,Y24)+MIN(B8,V25)*MIN(V13,B14-V86)+MIN(W13,C14-W86)*MIN(C8,W25)+MIN(X13,D14-X86)*MIN(D8,X25)+MIN(Y13,E14-Y86)*MIN(E8,Y25)+MIN(B9,V26)*MIN(V14,B15-V87)+MIN(W14,C15-W87)*MIN(C9,W26)+MIN(X14,D15-X87)*MIN(D9,X26)+MIN(Y14,E15-Y87)*MIN(E9,Y26)</f>
        <v>#DIV/0!</v>
      </c>
      <c r="D49" s="79" t="e">
        <f>D41+C49</f>
        <v>#DIV/0!</v>
      </c>
      <c r="E49" s="79"/>
      <c r="F49" s="79" t="e">
        <f>F48+C49</f>
        <v>#DIV/0!</v>
      </c>
      <c r="G49" s="73"/>
      <c r="H49" s="68" t="s">
        <v>466</v>
      </c>
      <c r="I49" s="90">
        <v>2</v>
      </c>
      <c r="J49" s="90">
        <v>2</v>
      </c>
      <c r="K49" s="90">
        <v>3</v>
      </c>
      <c r="L49" s="90">
        <v>3</v>
      </c>
      <c r="M49" s="85"/>
      <c r="N49" s="77" t="e">
        <f>第7期!F69</f>
        <v>#DIV/0!</v>
      </c>
      <c r="O49" s="77" t="e">
        <f>N49+第7期!R49</f>
        <v>#DIV/0!</v>
      </c>
      <c r="P49" s="77">
        <v>0</v>
      </c>
      <c r="Q49" s="77">
        <v>0</v>
      </c>
      <c r="R49" s="90"/>
      <c r="S49" s="74"/>
      <c r="T49" s="120"/>
      <c r="U49" s="68" t="s">
        <v>465</v>
      </c>
      <c r="V49" s="146">
        <f>IF(第6期!BF27=0,0,第7期!BF27/第6期!BF27)</f>
        <v>0</v>
      </c>
      <c r="W49" s="146">
        <f>IF(第6期!BG27=0,0,第7期!BG27/第6期!BG27)</f>
        <v>0</v>
      </c>
      <c r="X49" s="146">
        <f>IF(第6期!BH27=0,0,第7期!BH27/第6期!BH27)</f>
        <v>0</v>
      </c>
      <c r="Y49" s="146">
        <f>IF(第6期!BI27=0,0,第7期!BI27/第6期!BI27)</f>
        <v>0</v>
      </c>
      <c r="Z49" s="74"/>
      <c r="AA49" s="73"/>
      <c r="AB49" s="74"/>
      <c r="AC49" s="74"/>
      <c r="AD49" s="74"/>
      <c r="AE49" s="74"/>
      <c r="AF49" s="74"/>
      <c r="AG49" s="74"/>
      <c r="AH49" s="73"/>
      <c r="AI49" s="177"/>
      <c r="AJ49" s="178"/>
      <c r="AK49" s="178"/>
      <c r="AL49" s="178"/>
      <c r="AM49" s="178"/>
      <c r="AN49" s="178"/>
      <c r="AO49" s="178"/>
      <c r="AP49" s="178"/>
      <c r="AQ49" s="178"/>
      <c r="AR49" s="178"/>
      <c r="AS49" s="178"/>
      <c r="AT49" s="178"/>
      <c r="AU49" s="178"/>
      <c r="AV49" s="178"/>
      <c r="AW49" s="178"/>
      <c r="AX49" s="178"/>
      <c r="AY49" s="178"/>
      <c r="AZ49" s="193"/>
      <c r="BA49" s="196">
        <f t="shared" si="65"/>
        <v>0</v>
      </c>
      <c r="BB49" s="201">
        <f t="shared" si="66"/>
        <v>0</v>
      </c>
      <c r="BC49" s="201">
        <f t="shared" si="67"/>
        <v>0</v>
      </c>
      <c r="BD49" s="201">
        <f t="shared" si="68"/>
        <v>0</v>
      </c>
      <c r="BE49" s="201">
        <f t="shared" si="69"/>
        <v>0</v>
      </c>
      <c r="BF49" s="202">
        <f>(BB49*初始化表!E$17+BC49*初始化表!F$17+BD49*初始化表!G$17+BE49*初始化表!H$17)/1300</f>
        <v>0</v>
      </c>
      <c r="BG49" s="207">
        <f t="shared" si="70"/>
        <v>0</v>
      </c>
      <c r="BH49" s="207">
        <f t="shared" si="71"/>
        <v>0</v>
      </c>
      <c r="BI49" s="208"/>
      <c r="BJ49" s="201" t="str">
        <f t="shared" si="72"/>
        <v/>
      </c>
      <c r="BK49" s="201" t="str">
        <f t="shared" si="73"/>
        <v/>
      </c>
      <c r="BL49" s="203"/>
      <c r="BM49" s="203"/>
      <c r="BN49" s="203"/>
      <c r="BO49" s="203"/>
      <c r="BP49" s="203"/>
      <c r="BQ49" s="203"/>
      <c r="BR49" s="211"/>
      <c r="BS49" s="196">
        <f t="shared" si="48"/>
        <v>0</v>
      </c>
      <c r="BT49" s="213" t="e">
        <f t="shared" si="49"/>
        <v>#DIV/0!</v>
      </c>
      <c r="BU49" s="213" t="e">
        <f t="shared" si="50"/>
        <v>#DIV/0!</v>
      </c>
      <c r="BV49" s="213" t="e">
        <f t="shared" si="51"/>
        <v>#DIV/0!</v>
      </c>
      <c r="BW49" s="213" t="e">
        <f t="shared" si="52"/>
        <v>#DIV/0!</v>
      </c>
      <c r="BX49" s="213" t="e">
        <f t="shared" si="53"/>
        <v>#DIV/0!</v>
      </c>
      <c r="BY49" s="213" t="e">
        <f t="shared" si="54"/>
        <v>#DIV/0!</v>
      </c>
      <c r="BZ49" s="213" t="e">
        <f t="shared" si="55"/>
        <v>#DIV/0!</v>
      </c>
      <c r="CA49" s="213" t="e">
        <f t="shared" si="56"/>
        <v>#DIV/0!</v>
      </c>
      <c r="CB49" s="213" t="e">
        <f t="shared" si="57"/>
        <v>#DIV/0!</v>
      </c>
      <c r="CC49" s="213" t="e">
        <f t="shared" si="58"/>
        <v>#DIV/0!</v>
      </c>
      <c r="CD49" s="213" t="e">
        <f t="shared" si="59"/>
        <v>#DIV/0!</v>
      </c>
      <c r="CE49" s="213" t="e">
        <f t="shared" si="60"/>
        <v>#DIV/0!</v>
      </c>
      <c r="CF49" s="213" t="e">
        <f t="shared" si="61"/>
        <v>#DIV/0!</v>
      </c>
      <c r="CG49" s="213" t="e">
        <f t="shared" si="62"/>
        <v>#DIV/0!</v>
      </c>
      <c r="CH49" s="213" t="e">
        <f t="shared" si="63"/>
        <v>#DIV/0!</v>
      </c>
      <c r="CI49" s="213" t="e">
        <f t="shared" si="64"/>
        <v>#DIV/0!</v>
      </c>
      <c r="CJ49" s="226"/>
      <c r="CK49" s="228"/>
      <c r="CL49" s="228"/>
      <c r="CM49" s="228"/>
      <c r="CN49" s="228"/>
      <c r="CO49" s="228"/>
      <c r="CP49" s="228"/>
      <c r="CQ49" s="228"/>
      <c r="CR49" s="228"/>
      <c r="CS49" s="228"/>
      <c r="CT49" s="228"/>
      <c r="CU49" s="228"/>
      <c r="CV49" s="228"/>
      <c r="CW49" s="228"/>
      <c r="CX49" s="228"/>
      <c r="CY49" s="228"/>
      <c r="CZ49" s="228"/>
      <c r="DA49" s="228"/>
      <c r="DB49" s="228"/>
      <c r="DC49" s="228"/>
      <c r="DD49" s="228"/>
      <c r="DE49" s="228"/>
      <c r="DF49" s="228"/>
      <c r="DG49" s="228"/>
      <c r="DH49" s="228"/>
      <c r="DI49" s="228"/>
      <c r="DJ49" s="228"/>
      <c r="DK49" s="228"/>
      <c r="DL49" s="228"/>
      <c r="DM49" s="228"/>
      <c r="DN49" s="228"/>
      <c r="DO49" s="228"/>
      <c r="DP49" s="228"/>
      <c r="DQ49" s="228"/>
    </row>
    <row r="50" s="61" customFormat="1" ht="16" customHeight="1" spans="1:121">
      <c r="A50" s="68" t="s">
        <v>379</v>
      </c>
      <c r="B50" s="69"/>
      <c r="C50" s="77" t="e">
        <f>-IF(AJ24="",0.4*SUMPRODUCT(B6:E9,V84:Y87),0.4*(AQ9*B6+AQ10*C6+AQ11*D6+AQ12*E6+AQ13*B7+AQ14*C7+AQ15*D7+AQ16*E7+AQ17*B8+AQ18*C8+AQ19*D8+AQ20*E8+AQ21*B9+AQ22*C9+AQ23*D9+AQ24*E9))</f>
        <v>#DIV/0!</v>
      </c>
      <c r="D50" s="79"/>
      <c r="E50" s="79" t="e">
        <f>E48-C50</f>
        <v>#DIV/0!</v>
      </c>
      <c r="F50" s="79" t="e">
        <f>F49+C50</f>
        <v>#DIV/0!</v>
      </c>
      <c r="G50" s="73"/>
      <c r="H50" s="68" t="s">
        <v>468</v>
      </c>
      <c r="I50" s="90">
        <v>2</v>
      </c>
      <c r="J50" s="90">
        <v>2</v>
      </c>
      <c r="K50" s="90">
        <v>3</v>
      </c>
      <c r="L50" s="90">
        <v>3</v>
      </c>
      <c r="M50" s="85"/>
      <c r="N50" s="74"/>
      <c r="O50" s="68" t="s">
        <v>574</v>
      </c>
      <c r="P50" s="79" t="e">
        <f>E60</f>
        <v>#DIV/0!</v>
      </c>
      <c r="Q50" s="147"/>
      <c r="R50" s="74"/>
      <c r="S50" s="74"/>
      <c r="T50" s="120"/>
      <c r="U50" s="68" t="s">
        <v>466</v>
      </c>
      <c r="V50" s="146">
        <f>IF(第6期!BJ27=0,0,第7期!BJ27/第6期!BJ27)</f>
        <v>0</v>
      </c>
      <c r="W50" s="146">
        <f>IF(第6期!BK27=0,0,第7期!BK27/第6期!BK27)</f>
        <v>0</v>
      </c>
      <c r="X50" s="146">
        <f>IF(第6期!BL27=0,0,第7期!BL27/第6期!BL27)</f>
        <v>0</v>
      </c>
      <c r="Y50" s="146">
        <f>IF(第6期!BM27=0,0,第7期!BM27/第6期!BM27)</f>
        <v>0</v>
      </c>
      <c r="Z50" s="74"/>
      <c r="AA50" s="73"/>
      <c r="AB50" s="74"/>
      <c r="AC50" s="74"/>
      <c r="AD50" s="74"/>
      <c r="AE50" s="74"/>
      <c r="AF50" s="74"/>
      <c r="AG50" s="74"/>
      <c r="AH50" s="73"/>
      <c r="AI50" s="177"/>
      <c r="AJ50" s="178"/>
      <c r="AK50" s="178"/>
      <c r="AL50" s="178"/>
      <c r="AM50" s="178"/>
      <c r="AN50" s="178"/>
      <c r="AO50" s="178"/>
      <c r="AP50" s="178"/>
      <c r="AQ50" s="178"/>
      <c r="AR50" s="178"/>
      <c r="AS50" s="178"/>
      <c r="AT50" s="178"/>
      <c r="AU50" s="178"/>
      <c r="AV50" s="178"/>
      <c r="AW50" s="178"/>
      <c r="AX50" s="178"/>
      <c r="AY50" s="178"/>
      <c r="AZ50" s="193"/>
      <c r="BA50" s="196">
        <f t="shared" si="65"/>
        <v>0</v>
      </c>
      <c r="BB50" s="201">
        <f t="shared" si="66"/>
        <v>0</v>
      </c>
      <c r="BC50" s="201">
        <f t="shared" si="67"/>
        <v>0</v>
      </c>
      <c r="BD50" s="201">
        <f t="shared" si="68"/>
        <v>0</v>
      </c>
      <c r="BE50" s="201">
        <f t="shared" si="69"/>
        <v>0</v>
      </c>
      <c r="BF50" s="202">
        <f>(BB50*初始化表!E$17+BC50*初始化表!F$17+BD50*初始化表!G$17+BE50*初始化表!H$17)/1300</f>
        <v>0</v>
      </c>
      <c r="BG50" s="207">
        <f t="shared" si="70"/>
        <v>0</v>
      </c>
      <c r="BH50" s="207">
        <f t="shared" si="71"/>
        <v>0</v>
      </c>
      <c r="BI50" s="208"/>
      <c r="BJ50" s="201" t="str">
        <f t="shared" si="72"/>
        <v/>
      </c>
      <c r="BK50" s="201" t="str">
        <f t="shared" si="73"/>
        <v/>
      </c>
      <c r="BL50" s="203"/>
      <c r="BM50" s="203"/>
      <c r="BN50" s="203"/>
      <c r="BO50" s="203"/>
      <c r="BP50" s="203"/>
      <c r="BQ50" s="203"/>
      <c r="BR50" s="211"/>
      <c r="BS50" s="194" t="s">
        <v>569</v>
      </c>
      <c r="BT50" s="219" t="e">
        <f>SUM(AJ61:AJ80)/初始化表!$B5</f>
        <v>#DIV/0!</v>
      </c>
      <c r="BU50" s="219" t="e">
        <f>SUM(AK61:AK80)/初始化表!$B5</f>
        <v>#DIV/0!</v>
      </c>
      <c r="BV50" s="219" t="e">
        <f>SUM(AL61:AL80)/初始化表!$B5</f>
        <v>#DIV/0!</v>
      </c>
      <c r="BW50" s="219" t="e">
        <f>SUM(AM61:AM80)/初始化表!$B5</f>
        <v>#DIV/0!</v>
      </c>
      <c r="BX50" s="219" t="e">
        <f>SUM(AN61:AN80)/初始化表!$B5</f>
        <v>#DIV/0!</v>
      </c>
      <c r="BY50" s="219" t="e">
        <f>SUM(AO61:AO80)/初始化表!$B5</f>
        <v>#DIV/0!</v>
      </c>
      <c r="BZ50" s="219" t="e">
        <f>SUM(AP61:AP80)/初始化表!$B5</f>
        <v>#DIV/0!</v>
      </c>
      <c r="CA50" s="219" t="e">
        <f>SUM(AQ61:AQ80)/初始化表!$B5</f>
        <v>#DIV/0!</v>
      </c>
      <c r="CB50" s="219" t="e">
        <f>SUM(AR61:AR80)/初始化表!$B5</f>
        <v>#DIV/0!</v>
      </c>
      <c r="CC50" s="219" t="e">
        <f>SUM(AS61:AS80)/初始化表!$B5</f>
        <v>#DIV/0!</v>
      </c>
      <c r="CD50" s="219" t="e">
        <f>SUM(AT61:AT80)/初始化表!$B5</f>
        <v>#DIV/0!</v>
      </c>
      <c r="CE50" s="219" t="e">
        <f>SUM(AU61:AU80)/初始化表!$B5</f>
        <v>#DIV/0!</v>
      </c>
      <c r="CF50" s="219" t="e">
        <f>SUM(AV61:AV80)/初始化表!$B5</f>
        <v>#DIV/0!</v>
      </c>
      <c r="CG50" s="219" t="e">
        <f>SUM(AW61:AW80)/初始化表!$B5</f>
        <v>#DIV/0!</v>
      </c>
      <c r="CH50" s="219" t="e">
        <f>SUM(AX61:AX80)/初始化表!$B5</f>
        <v>#DIV/0!</v>
      </c>
      <c r="CI50" s="219" t="e">
        <f>SUM(AY61:AY80)/初始化表!$B5</f>
        <v>#DIV/0!</v>
      </c>
      <c r="CJ50" s="226"/>
      <c r="CK50" s="228"/>
      <c r="CL50" s="228"/>
      <c r="CM50" s="228"/>
      <c r="CN50" s="228"/>
      <c r="CO50" s="228"/>
      <c r="CP50" s="228"/>
      <c r="CQ50" s="228"/>
      <c r="CR50" s="228"/>
      <c r="CS50" s="228"/>
      <c r="CT50" s="228"/>
      <c r="CU50" s="228"/>
      <c r="CV50" s="228"/>
      <c r="CW50" s="228"/>
      <c r="CX50" s="228"/>
      <c r="CY50" s="228"/>
      <c r="CZ50" s="228"/>
      <c r="DA50" s="228"/>
      <c r="DB50" s="228"/>
      <c r="DC50" s="228"/>
      <c r="DD50" s="228"/>
      <c r="DE50" s="228"/>
      <c r="DF50" s="228"/>
      <c r="DG50" s="228"/>
      <c r="DH50" s="228"/>
      <c r="DI50" s="228"/>
      <c r="DJ50" s="228"/>
      <c r="DK50" s="228"/>
      <c r="DL50" s="228"/>
      <c r="DM50" s="228"/>
      <c r="DN50" s="228"/>
      <c r="DO50" s="228"/>
      <c r="DP50" s="228"/>
      <c r="DQ50" s="228"/>
    </row>
    <row r="51" s="61" customFormat="1" ht="16" customHeight="1" spans="1:121">
      <c r="A51" s="68" t="s">
        <v>380</v>
      </c>
      <c r="B51" s="69"/>
      <c r="C51" s="77" t="e">
        <f>-初始化表!H5*N49*初始化表!B8</f>
        <v>#DIV/0!</v>
      </c>
      <c r="D51" s="79"/>
      <c r="E51" s="79" t="e">
        <f>E50-C51</f>
        <v>#DIV/0!</v>
      </c>
      <c r="F51" s="79"/>
      <c r="G51" s="73"/>
      <c r="H51" s="68" t="s">
        <v>662</v>
      </c>
      <c r="I51" s="68" t="s">
        <v>464</v>
      </c>
      <c r="J51" s="68" t="s">
        <v>465</v>
      </c>
      <c r="K51" s="68" t="s">
        <v>466</v>
      </c>
      <c r="L51" s="68" t="s">
        <v>468</v>
      </c>
      <c r="M51" s="85"/>
      <c r="N51" s="74"/>
      <c r="O51" s="116" t="s">
        <v>296</v>
      </c>
      <c r="P51" s="79" t="e">
        <f>F64</f>
        <v>#DIV/0!</v>
      </c>
      <c r="Q51" s="147"/>
      <c r="R51" s="74"/>
      <c r="S51" s="74"/>
      <c r="T51" s="120"/>
      <c r="U51" s="68" t="s">
        <v>468</v>
      </c>
      <c r="V51" s="146">
        <f>IF(第6期!BN27=0,0,第7期!BN27/第6期!BN27)</f>
        <v>0</v>
      </c>
      <c r="W51" s="146">
        <f>IF(第6期!BO27=0,0,第7期!BO27/第6期!BO27)</f>
        <v>0</v>
      </c>
      <c r="X51" s="146">
        <f>IF(第6期!BP27=0,0,第7期!BP27/第6期!BP27)</f>
        <v>0</v>
      </c>
      <c r="Y51" s="146">
        <f>IF(第6期!BQ27=0,0,第7期!BQ27/第6期!BQ27)</f>
        <v>0</v>
      </c>
      <c r="Z51" s="74"/>
      <c r="AA51" s="73"/>
      <c r="AB51" s="74"/>
      <c r="AC51" s="74"/>
      <c r="AD51" s="74"/>
      <c r="AE51" s="74"/>
      <c r="AF51" s="74"/>
      <c r="AG51" s="74"/>
      <c r="AH51" s="73"/>
      <c r="AI51" s="177"/>
      <c r="AJ51" s="178"/>
      <c r="AK51" s="178"/>
      <c r="AL51" s="178"/>
      <c r="AM51" s="178"/>
      <c r="AN51" s="178"/>
      <c r="AO51" s="178"/>
      <c r="AP51" s="178"/>
      <c r="AQ51" s="178"/>
      <c r="AR51" s="178"/>
      <c r="AS51" s="178"/>
      <c r="AT51" s="178"/>
      <c r="AU51" s="178"/>
      <c r="AV51" s="178"/>
      <c r="AW51" s="178"/>
      <c r="AX51" s="178"/>
      <c r="AY51" s="178"/>
      <c r="AZ51" s="193"/>
      <c r="BA51" s="194" t="s">
        <v>664</v>
      </c>
      <c r="BB51" s="202" t="e">
        <f>SUM(BB31:BB50)/初始化表!$B$5</f>
        <v>#DIV/0!</v>
      </c>
      <c r="BC51" s="202" t="e">
        <f>SUM(BC31:BC50)/初始化表!$B$5</f>
        <v>#DIV/0!</v>
      </c>
      <c r="BD51" s="202" t="e">
        <f>SUM(BD31:BD50)/初始化表!$B$5</f>
        <v>#DIV/0!</v>
      </c>
      <c r="BE51" s="202" t="e">
        <f>SUM(BE31:BE50)/初始化表!$B$5</f>
        <v>#DIV/0!</v>
      </c>
      <c r="BF51" s="202" t="e">
        <f>SUM(BF31:BF50)/初始化表!$B$5</f>
        <v>#DIV/0!</v>
      </c>
      <c r="BG51" s="202" t="e">
        <f>SUM(BG31:BG50)/初始化表!$B$5</f>
        <v>#DIV/0!</v>
      </c>
      <c r="BH51" s="202" t="e">
        <f>SUM(AJ107:AJ126)/SUM(BF31:BF50)</f>
        <v>#DIV/0!</v>
      </c>
      <c r="BI51" s="208"/>
      <c r="BJ51" s="201"/>
      <c r="BK51" s="201"/>
      <c r="BL51" s="203"/>
      <c r="BM51" s="203"/>
      <c r="BN51" s="203"/>
      <c r="BO51" s="203"/>
      <c r="BP51" s="203"/>
      <c r="BQ51" s="203"/>
      <c r="BR51" s="211"/>
      <c r="BS51" s="194" t="s">
        <v>570</v>
      </c>
      <c r="BT51" s="220" t="e">
        <f t="shared" ref="BT51:CI51" si="77">STDEV.P(AJ61:AJ80)</f>
        <v>#DIV/0!</v>
      </c>
      <c r="BU51" s="220" t="e">
        <f t="shared" si="77"/>
        <v>#DIV/0!</v>
      </c>
      <c r="BV51" s="220" t="e">
        <f t="shared" si="77"/>
        <v>#DIV/0!</v>
      </c>
      <c r="BW51" s="220" t="e">
        <f t="shared" si="77"/>
        <v>#DIV/0!</v>
      </c>
      <c r="BX51" s="220" t="e">
        <f t="shared" si="77"/>
        <v>#DIV/0!</v>
      </c>
      <c r="BY51" s="220" t="e">
        <f t="shared" si="77"/>
        <v>#DIV/0!</v>
      </c>
      <c r="BZ51" s="220" t="e">
        <f t="shared" si="77"/>
        <v>#DIV/0!</v>
      </c>
      <c r="CA51" s="220" t="e">
        <f t="shared" si="77"/>
        <v>#DIV/0!</v>
      </c>
      <c r="CB51" s="220" t="e">
        <f t="shared" si="77"/>
        <v>#DIV/0!</v>
      </c>
      <c r="CC51" s="220" t="e">
        <f t="shared" si="77"/>
        <v>#DIV/0!</v>
      </c>
      <c r="CD51" s="220" t="e">
        <f t="shared" si="77"/>
        <v>#DIV/0!</v>
      </c>
      <c r="CE51" s="220" t="e">
        <f t="shared" si="77"/>
        <v>#DIV/0!</v>
      </c>
      <c r="CF51" s="220" t="e">
        <f t="shared" si="77"/>
        <v>#DIV/0!</v>
      </c>
      <c r="CG51" s="220" t="e">
        <f t="shared" si="77"/>
        <v>#DIV/0!</v>
      </c>
      <c r="CH51" s="220" t="e">
        <f t="shared" si="77"/>
        <v>#DIV/0!</v>
      </c>
      <c r="CI51" s="220" t="e">
        <f t="shared" si="77"/>
        <v>#DIV/0!</v>
      </c>
      <c r="CJ51" s="226"/>
      <c r="CK51" s="228"/>
      <c r="CL51" s="228"/>
      <c r="CM51" s="228"/>
      <c r="CN51" s="228"/>
      <c r="CO51" s="228"/>
      <c r="CP51" s="228"/>
      <c r="CQ51" s="228"/>
      <c r="CR51" s="228"/>
      <c r="CS51" s="228"/>
      <c r="CT51" s="228"/>
      <c r="CU51" s="228"/>
      <c r="CV51" s="228"/>
      <c r="CW51" s="228"/>
      <c r="CX51" s="228"/>
      <c r="CY51" s="228"/>
      <c r="CZ51" s="228"/>
      <c r="DA51" s="228"/>
      <c r="DB51" s="228"/>
      <c r="DC51" s="228"/>
      <c r="DD51" s="228"/>
      <c r="DE51" s="228"/>
      <c r="DF51" s="228"/>
      <c r="DG51" s="228"/>
      <c r="DH51" s="228"/>
      <c r="DI51" s="228"/>
      <c r="DJ51" s="228"/>
      <c r="DK51" s="228"/>
      <c r="DL51" s="228"/>
      <c r="DM51" s="228"/>
      <c r="DN51" s="228"/>
      <c r="DO51" s="228"/>
      <c r="DP51" s="228"/>
      <c r="DQ51" s="228"/>
    </row>
    <row r="52" s="61" customFormat="1" ht="16" customHeight="1" spans="1:97">
      <c r="A52" s="68" t="s">
        <v>381</v>
      </c>
      <c r="B52" s="69"/>
      <c r="C52" s="77">
        <f>IF(AJ24="",0,SUM(AP9:AP12)*初始化表!E22+SUM(AP13:AP16)*初始化表!F22+SUM(AP17:AP20)*初始化表!G22+SUM(AP21:AP24)*初始化表!H22)-(SUM(V5:Z5,-I56)*初始化表!E22+SUM(V6:Z6,-J56)*初始化表!F22+SUM(V7:Z7,-K56)*初始化表!G22+SUM(V8:Z8,-L56)*初始化表!H22)</f>
        <v>0</v>
      </c>
      <c r="D52" s="79"/>
      <c r="E52" s="79" t="e">
        <f>E51-C52</f>
        <v>#DIV/0!</v>
      </c>
      <c r="F52" s="79"/>
      <c r="G52" s="73"/>
      <c r="H52" s="68" t="s">
        <v>665</v>
      </c>
      <c r="I52" s="77">
        <f>Z5+初始化表!B4*SUM(B17:E17)</f>
        <v>0</v>
      </c>
      <c r="J52" s="77">
        <f>Z6+初始化表!B4*SUM(B18:E18)</f>
        <v>0</v>
      </c>
      <c r="K52" s="77">
        <f>Z7+初始化表!B4*SUM(B19:E19)</f>
        <v>0</v>
      </c>
      <c r="L52" s="77">
        <f>Z8+初始化表!B4*SUM(B20:E20)</f>
        <v>0</v>
      </c>
      <c r="M52" s="85"/>
      <c r="N52" s="74"/>
      <c r="O52" s="74"/>
      <c r="P52" s="74"/>
      <c r="Q52" s="74"/>
      <c r="R52" s="74"/>
      <c r="S52" s="74"/>
      <c r="T52" s="120"/>
      <c r="U52" s="123"/>
      <c r="V52" s="148"/>
      <c r="W52" s="148"/>
      <c r="X52" s="148"/>
      <c r="Y52" s="148"/>
      <c r="Z52" s="74"/>
      <c r="AA52" s="73"/>
      <c r="AB52" s="74"/>
      <c r="AC52" s="74"/>
      <c r="AD52" s="74"/>
      <c r="AE52" s="74"/>
      <c r="AF52" s="74"/>
      <c r="AG52" s="74"/>
      <c r="AH52" s="73"/>
      <c r="AI52" s="177"/>
      <c r="AJ52" s="178"/>
      <c r="AK52" s="178"/>
      <c r="AL52" s="178"/>
      <c r="AM52" s="178"/>
      <c r="AN52" s="178"/>
      <c r="AO52" s="178"/>
      <c r="AP52" s="178"/>
      <c r="AQ52" s="178"/>
      <c r="AR52" s="178"/>
      <c r="AS52" s="178"/>
      <c r="AT52" s="178"/>
      <c r="AU52" s="178"/>
      <c r="AV52" s="178"/>
      <c r="AW52" s="178"/>
      <c r="AX52" s="178"/>
      <c r="AY52" s="178"/>
      <c r="AZ52" s="193"/>
      <c r="BA52" s="203"/>
      <c r="BB52" s="203"/>
      <c r="BC52" s="203"/>
      <c r="BD52" s="203"/>
      <c r="BE52" s="203"/>
      <c r="BF52" s="203"/>
      <c r="BG52" s="203"/>
      <c r="BH52" s="203"/>
      <c r="BI52" s="203"/>
      <c r="BJ52" s="203"/>
      <c r="BK52" s="203"/>
      <c r="BL52" s="203"/>
      <c r="BM52" s="203"/>
      <c r="BN52" s="203"/>
      <c r="BO52" s="203"/>
      <c r="BP52" s="203"/>
      <c r="BQ52" s="203"/>
      <c r="BR52" s="211"/>
      <c r="BS52" s="211"/>
      <c r="BT52" s="211"/>
      <c r="BU52" s="211"/>
      <c r="BV52" s="211"/>
      <c r="BW52" s="211"/>
      <c r="BX52" s="211"/>
      <c r="BY52" s="211"/>
      <c r="BZ52" s="211"/>
      <c r="CA52" s="211"/>
      <c r="CB52" s="211"/>
      <c r="CC52" s="211"/>
      <c r="CD52" s="211"/>
      <c r="CE52" s="211"/>
      <c r="CF52" s="211"/>
      <c r="CG52" s="211"/>
      <c r="CH52" s="211"/>
      <c r="CI52" s="211"/>
      <c r="CJ52" s="211"/>
      <c r="CK52" s="203"/>
      <c r="CL52" s="203"/>
      <c r="CM52" s="203"/>
      <c r="CN52" s="203"/>
      <c r="CO52" s="203"/>
      <c r="CP52" s="203"/>
      <c r="CQ52" s="203"/>
      <c r="CR52" s="203"/>
      <c r="CS52" s="203"/>
    </row>
    <row r="53" s="61" customFormat="1" ht="16" customHeight="1" spans="1:97">
      <c r="A53" s="68" t="s">
        <v>382</v>
      </c>
      <c r="B53" s="69"/>
      <c r="C53" s="77">
        <f>-(H43+L43)/2*初始化表!B7</f>
        <v>0</v>
      </c>
      <c r="D53" s="79"/>
      <c r="E53" s="79" t="e">
        <f>E52-C53</f>
        <v>#DIV/0!</v>
      </c>
      <c r="F53" s="79" t="e">
        <f>F50+C53</f>
        <v>#DIV/0!</v>
      </c>
      <c r="G53" s="73"/>
      <c r="H53" s="68" t="s">
        <v>671</v>
      </c>
      <c r="I53" s="68" t="s">
        <v>464</v>
      </c>
      <c r="J53" s="68" t="s">
        <v>465</v>
      </c>
      <c r="K53" s="68" t="s">
        <v>466</v>
      </c>
      <c r="L53" s="68" t="s">
        <v>468</v>
      </c>
      <c r="M53" s="85"/>
      <c r="N53" s="74"/>
      <c r="O53" s="74"/>
      <c r="P53" s="74"/>
      <c r="Q53" s="74"/>
      <c r="R53" s="74"/>
      <c r="S53" s="74"/>
      <c r="T53" s="120"/>
      <c r="U53" s="68" t="s">
        <v>731</v>
      </c>
      <c r="V53" s="149" t="s">
        <v>459</v>
      </c>
      <c r="W53" s="149" t="s">
        <v>460</v>
      </c>
      <c r="X53" s="149" t="s">
        <v>461</v>
      </c>
      <c r="Y53" s="149" t="s">
        <v>462</v>
      </c>
      <c r="Z53" s="74"/>
      <c r="AA53" s="68" t="s">
        <v>743</v>
      </c>
      <c r="AB53" s="149" t="s">
        <v>459</v>
      </c>
      <c r="AC53" s="149" t="s">
        <v>460</v>
      </c>
      <c r="AD53" s="149" t="s">
        <v>461</v>
      </c>
      <c r="AE53" s="149" t="s">
        <v>462</v>
      </c>
      <c r="AF53" s="74"/>
      <c r="AG53" s="74"/>
      <c r="AH53" s="73"/>
      <c r="AI53" s="177"/>
      <c r="AJ53" s="178"/>
      <c r="AK53" s="178"/>
      <c r="AL53" s="178"/>
      <c r="AM53" s="178"/>
      <c r="AN53" s="178"/>
      <c r="AO53" s="178"/>
      <c r="AP53" s="178"/>
      <c r="AQ53" s="178"/>
      <c r="AR53" s="178"/>
      <c r="AS53" s="178"/>
      <c r="AT53" s="178"/>
      <c r="AU53" s="178"/>
      <c r="AV53" s="178"/>
      <c r="AW53" s="178"/>
      <c r="AX53" s="178"/>
      <c r="AY53" s="178"/>
      <c r="AZ53" s="193"/>
      <c r="BA53" s="194" t="s">
        <v>37</v>
      </c>
      <c r="BB53" s="194" t="s">
        <v>674</v>
      </c>
      <c r="BC53" s="204"/>
      <c r="BD53" s="194" t="s">
        <v>675</v>
      </c>
      <c r="BE53" s="194" t="s">
        <v>198</v>
      </c>
      <c r="BF53" s="194" t="s">
        <v>202</v>
      </c>
      <c r="BG53" s="194" t="s">
        <v>206</v>
      </c>
      <c r="BH53" s="194" t="s">
        <v>208</v>
      </c>
      <c r="BI53" s="203"/>
      <c r="BJ53" s="203"/>
      <c r="BK53" s="203"/>
      <c r="BL53" s="203"/>
      <c r="BM53" s="203"/>
      <c r="BN53" s="203"/>
      <c r="BO53" s="203"/>
      <c r="BP53" s="203"/>
      <c r="BQ53" s="203"/>
      <c r="BR53" s="211"/>
      <c r="BS53" s="211"/>
      <c r="BT53" s="211"/>
      <c r="BU53" s="211"/>
      <c r="BV53" s="211"/>
      <c r="BW53" s="211"/>
      <c r="BX53" s="211"/>
      <c r="BY53" s="211"/>
      <c r="BZ53" s="211"/>
      <c r="CA53" s="211"/>
      <c r="CB53" s="211"/>
      <c r="CC53" s="211"/>
      <c r="CD53" s="211"/>
      <c r="CE53" s="211"/>
      <c r="CF53" s="211"/>
      <c r="CG53" s="211"/>
      <c r="CH53" s="211"/>
      <c r="CI53" s="211"/>
      <c r="CJ53" s="211"/>
      <c r="CK53" s="203"/>
      <c r="CL53" s="203"/>
      <c r="CM53" s="203"/>
      <c r="CN53" s="203"/>
      <c r="CO53" s="203"/>
      <c r="CP53" s="203"/>
      <c r="CQ53" s="203"/>
      <c r="CR53" s="203"/>
      <c r="CS53" s="203"/>
    </row>
    <row r="54" s="61" customFormat="1" ht="16" customHeight="1" spans="1:97">
      <c r="A54" s="68" t="s">
        <v>383</v>
      </c>
      <c r="B54" s="69"/>
      <c r="C54" s="77">
        <f>-(SUM(V5:Z5,I56)/2*初始化表!E5+SUM(V6:Z6,J56)/2*初始化表!E6+SUM(V7:Z7,K56)/2*初始化表!E7+SUM(V8:Z8,L56)/2*初始化表!E8+IF(AJ24="",0,(SUM(AP9:AP12)*初始化表!E5+SUM(AP13:AP16)*初始化表!E6+SUM(AP17:AP20)*初始化表!E7+SUM(AP21:AP24)*初始化表!E8)/2))</f>
        <v>0</v>
      </c>
      <c r="D54" s="79"/>
      <c r="E54" s="79" t="e">
        <f>E53-C54</f>
        <v>#DIV/0!</v>
      </c>
      <c r="F54" s="79" t="e">
        <f t="shared" ref="F54:F64" si="78">F53+C54</f>
        <v>#DIV/0!</v>
      </c>
      <c r="G54" s="73"/>
      <c r="H54" s="68" t="s">
        <v>665</v>
      </c>
      <c r="I54" s="82">
        <f>INT(I52)-SUM(B12:E12)</f>
        <v>0</v>
      </c>
      <c r="J54" s="82">
        <f>INT(J52)-SUM(B13:E13)</f>
        <v>0</v>
      </c>
      <c r="K54" s="82">
        <f>INT(K52)-SUM(B14:E14)</f>
        <v>0</v>
      </c>
      <c r="L54" s="82">
        <f>INT(L52)-SUM(B15:E15)</f>
        <v>0</v>
      </c>
      <c r="M54" s="85"/>
      <c r="N54" s="74"/>
      <c r="O54" s="74"/>
      <c r="P54" s="74"/>
      <c r="Q54" s="74"/>
      <c r="R54" s="74"/>
      <c r="S54" s="74"/>
      <c r="T54" s="120"/>
      <c r="U54" s="68" t="s">
        <v>464</v>
      </c>
      <c r="V54" s="146">
        <f>IF(第6期!BB28=0,0,第7期!BB28/第6期!BB28)</f>
        <v>0</v>
      </c>
      <c r="W54" s="146">
        <f>IF(第6期!BC28=0,0,第7期!BC28/第6期!BC28)</f>
        <v>0</v>
      </c>
      <c r="X54" s="146">
        <f>IF(第6期!BD28=0,0,第7期!BD28/第6期!BD28)</f>
        <v>0</v>
      </c>
      <c r="Y54" s="146">
        <f>IF(第6期!BE28=0,0,第7期!BE28/第6期!BE28)</f>
        <v>0</v>
      </c>
      <c r="Z54" s="74"/>
      <c r="AA54" s="68" t="s">
        <v>464</v>
      </c>
      <c r="AB54" s="150">
        <f>IF(第6期!BB28=0,0,(第7期!BB28-第6期!BB28)/20)</f>
        <v>0</v>
      </c>
      <c r="AC54" s="150">
        <f>IF(第6期!BC28=0,0,(第7期!BC28-第6期!BC28)/20)</f>
        <v>0</v>
      </c>
      <c r="AD54" s="150">
        <f>IF(第6期!BD28=0,0,(第7期!BD28-第6期!BD28)/20)</f>
        <v>0</v>
      </c>
      <c r="AE54" s="150">
        <f>IF(第6期!BE28=0,0,(第7期!BE28-第6期!BE28)/20)</f>
        <v>0</v>
      </c>
      <c r="AF54" s="74"/>
      <c r="AG54" s="74"/>
      <c r="AH54" s="73"/>
      <c r="AI54" s="177"/>
      <c r="AJ54" s="178"/>
      <c r="AK54" s="178"/>
      <c r="AL54" s="178"/>
      <c r="AM54" s="178"/>
      <c r="AN54" s="178"/>
      <c r="AO54" s="178"/>
      <c r="AP54" s="178"/>
      <c r="AQ54" s="178"/>
      <c r="AR54" s="178"/>
      <c r="AS54" s="178"/>
      <c r="AT54" s="178"/>
      <c r="AU54" s="178"/>
      <c r="AV54" s="178"/>
      <c r="AW54" s="178"/>
      <c r="AX54" s="178"/>
      <c r="AY54" s="178"/>
      <c r="AZ54" s="193"/>
      <c r="BA54" s="195">
        <f t="shared" ref="BA54:BA73" si="79">BA31</f>
        <v>0</v>
      </c>
      <c r="BB54" s="205">
        <f>IF(BT5=1,AL107/(第7期!AP107/2+AP107),0)</f>
        <v>0</v>
      </c>
      <c r="BC54" s="203"/>
      <c r="BD54" s="194">
        <f>BA54</f>
        <v>0</v>
      </c>
      <c r="BE54" s="209" t="e">
        <f>BB31/$BE$31</f>
        <v>#DIV/0!</v>
      </c>
      <c r="BF54" s="209" t="e">
        <f>BC31/$BE$31</f>
        <v>#DIV/0!</v>
      </c>
      <c r="BG54" s="209" t="e">
        <f>BD31/$BE$31</f>
        <v>#DIV/0!</v>
      </c>
      <c r="BH54" s="209">
        <v>1</v>
      </c>
      <c r="BI54" s="203"/>
      <c r="BJ54" s="203"/>
      <c r="BK54" s="203"/>
      <c r="BL54" s="203"/>
      <c r="BM54" s="203"/>
      <c r="BN54" s="203"/>
      <c r="BO54" s="203"/>
      <c r="BP54" s="203"/>
      <c r="BQ54" s="203"/>
      <c r="BR54" s="211"/>
      <c r="BS54" s="211"/>
      <c r="BT54" s="211"/>
      <c r="BU54" s="211"/>
      <c r="BV54" s="211"/>
      <c r="BW54" s="211"/>
      <c r="BX54" s="211"/>
      <c r="BY54" s="211"/>
      <c r="BZ54" s="211"/>
      <c r="CA54" s="211"/>
      <c r="CB54" s="211"/>
      <c r="CC54" s="211"/>
      <c r="CD54" s="211"/>
      <c r="CE54" s="211"/>
      <c r="CF54" s="211"/>
      <c r="CG54" s="211"/>
      <c r="CH54" s="211"/>
      <c r="CI54" s="211"/>
      <c r="CJ54" s="211"/>
      <c r="CK54" s="203"/>
      <c r="CL54" s="203"/>
      <c r="CM54" s="203"/>
      <c r="CN54" s="203"/>
      <c r="CO54" s="203"/>
      <c r="CP54" s="203"/>
      <c r="CQ54" s="203"/>
      <c r="CR54" s="203"/>
      <c r="CS54" s="203"/>
    </row>
    <row r="55" s="61" customFormat="1" ht="16" customHeight="1" spans="1:97">
      <c r="A55" s="68" t="s">
        <v>384</v>
      </c>
      <c r="B55" s="69"/>
      <c r="C55" s="77">
        <f>N37</f>
        <v>0</v>
      </c>
      <c r="D55" s="79"/>
      <c r="E55" s="79"/>
      <c r="F55" s="79" t="e">
        <f t="shared" si="78"/>
        <v>#DIV/0!</v>
      </c>
      <c r="G55" s="73"/>
      <c r="H55" s="68" t="s">
        <v>677</v>
      </c>
      <c r="I55" s="68" t="s">
        <v>464</v>
      </c>
      <c r="J55" s="68" t="s">
        <v>465</v>
      </c>
      <c r="K55" s="68" t="s">
        <v>466</v>
      </c>
      <c r="L55" s="68" t="s">
        <v>468</v>
      </c>
      <c r="M55" s="85"/>
      <c r="N55" s="74"/>
      <c r="O55" s="74"/>
      <c r="P55" s="74"/>
      <c r="Q55" s="74"/>
      <c r="R55" s="74"/>
      <c r="S55" s="74"/>
      <c r="T55" s="120"/>
      <c r="U55" s="68" t="s">
        <v>465</v>
      </c>
      <c r="V55" s="146">
        <f>IF(第6期!BF28=0,0,第7期!BF28/第6期!BF28)</f>
        <v>0</v>
      </c>
      <c r="W55" s="146">
        <f>IF(第6期!BG28=0,0,第7期!BG28/第6期!BG28)</f>
        <v>0</v>
      </c>
      <c r="X55" s="146">
        <f>IF(第6期!BH28=0,0,第7期!BH28/第6期!BH28)</f>
        <v>0</v>
      </c>
      <c r="Y55" s="146">
        <f>IF(第6期!BI28=0,0,第7期!BI28/第6期!BI28)</f>
        <v>0</v>
      </c>
      <c r="Z55" s="74"/>
      <c r="AA55" s="68" t="s">
        <v>465</v>
      </c>
      <c r="AB55" s="150">
        <f>IF(第6期!BF28=0,0,(第7期!BF28-第6期!BF28)/20)</f>
        <v>0</v>
      </c>
      <c r="AC55" s="150">
        <f>IF(第6期!BG28=0,0,(第7期!BG28-第6期!BG28)/20)</f>
        <v>0</v>
      </c>
      <c r="AD55" s="150">
        <f>IF(第6期!BH28=0,0,(第7期!BH28-第6期!BH28)/20)</f>
        <v>0</v>
      </c>
      <c r="AE55" s="150">
        <f>IF(第6期!BI28=0,0,(第7期!BI28-第6期!BI28)/20)</f>
        <v>0</v>
      </c>
      <c r="AF55" s="74"/>
      <c r="AG55" s="74"/>
      <c r="AH55" s="73"/>
      <c r="AI55" s="177"/>
      <c r="AJ55" s="178"/>
      <c r="AK55" s="178"/>
      <c r="AL55" s="178"/>
      <c r="AM55" s="178"/>
      <c r="AN55" s="178"/>
      <c r="AO55" s="178"/>
      <c r="AP55" s="178"/>
      <c r="AQ55" s="178"/>
      <c r="AR55" s="178"/>
      <c r="AS55" s="178"/>
      <c r="AT55" s="178"/>
      <c r="AU55" s="178"/>
      <c r="AV55" s="178"/>
      <c r="AW55" s="178"/>
      <c r="AX55" s="178"/>
      <c r="AY55" s="178"/>
      <c r="AZ55" s="193"/>
      <c r="BA55" s="195">
        <f t="shared" si="79"/>
        <v>0</v>
      </c>
      <c r="BB55" s="205">
        <f>IF(BT6=1,AL108/(第7期!AP108/2+AP108),0)</f>
        <v>0</v>
      </c>
      <c r="BC55" s="203"/>
      <c r="BD55" s="194">
        <f t="shared" ref="BD55:BD73" si="80">BA55</f>
        <v>0</v>
      </c>
      <c r="BE55" s="209" t="e">
        <f t="shared" ref="BE55:BH70" si="81">BB32/$BE$31</f>
        <v>#DIV/0!</v>
      </c>
      <c r="BF55" s="209" t="e">
        <f t="shared" si="81"/>
        <v>#DIV/0!</v>
      </c>
      <c r="BG55" s="209" t="e">
        <f t="shared" si="81"/>
        <v>#DIV/0!</v>
      </c>
      <c r="BH55" s="209" t="e">
        <f t="shared" ref="BH55:BH60" si="82">BE32/$BE$31</f>
        <v>#DIV/0!</v>
      </c>
      <c r="BI55" s="203"/>
      <c r="BJ55" s="203"/>
      <c r="BK55" s="203"/>
      <c r="BL55" s="203"/>
      <c r="BM55" s="203"/>
      <c r="BN55" s="203"/>
      <c r="BO55" s="203"/>
      <c r="BP55" s="203"/>
      <c r="BQ55" s="203"/>
      <c r="BR55" s="211"/>
      <c r="BS55" s="211"/>
      <c r="BT55" s="211"/>
      <c r="BU55" s="211"/>
      <c r="BV55" s="211"/>
      <c r="BW55" s="211"/>
      <c r="BX55" s="211"/>
      <c r="BY55" s="211"/>
      <c r="BZ55" s="211"/>
      <c r="CA55" s="211"/>
      <c r="CB55" s="211"/>
      <c r="CC55" s="211"/>
      <c r="CD55" s="211"/>
      <c r="CE55" s="211"/>
      <c r="CF55" s="211"/>
      <c r="CG55" s="211"/>
      <c r="CH55" s="211"/>
      <c r="CI55" s="211"/>
      <c r="CJ55" s="211"/>
      <c r="CK55" s="203"/>
      <c r="CL55" s="203"/>
      <c r="CM55" s="203"/>
      <c r="CN55" s="203"/>
      <c r="CO55" s="203"/>
      <c r="CP55" s="203"/>
      <c r="CQ55" s="203"/>
      <c r="CR55" s="203"/>
      <c r="CS55" s="203"/>
    </row>
    <row r="56" s="61" customFormat="1" ht="16" customHeight="1" spans="1:97">
      <c r="A56" s="68" t="s">
        <v>385</v>
      </c>
      <c r="B56" s="69"/>
      <c r="C56" s="77">
        <f>N37*初始化表!B23/4</f>
        <v>0</v>
      </c>
      <c r="D56" s="79" t="e">
        <f>D49+C56</f>
        <v>#DIV/0!</v>
      </c>
      <c r="E56" s="79"/>
      <c r="F56" s="79" t="e">
        <f t="shared" si="78"/>
        <v>#DIV/0!</v>
      </c>
      <c r="G56" s="73"/>
      <c r="H56" s="68" t="s">
        <v>665</v>
      </c>
      <c r="I56" s="77">
        <f>SUM(B17:E17)+Z5-SUM(B12:E12)</f>
        <v>0</v>
      </c>
      <c r="J56" s="77">
        <f>SUM(B18:E18)+Z6-SUM(B13:E13)</f>
        <v>0</v>
      </c>
      <c r="K56" s="77">
        <f>SUM(B19:E19)+Z7-SUM(B14:E14)</f>
        <v>0</v>
      </c>
      <c r="L56" s="77">
        <f>SUM(B20:E20)+Z8-SUM(B15:E15)</f>
        <v>0</v>
      </c>
      <c r="M56" s="85"/>
      <c r="N56" s="74"/>
      <c r="O56" s="74"/>
      <c r="P56" s="74"/>
      <c r="Q56" s="74"/>
      <c r="R56" s="74"/>
      <c r="S56" s="74"/>
      <c r="T56" s="120"/>
      <c r="U56" s="68" t="s">
        <v>466</v>
      </c>
      <c r="V56" s="146">
        <f>IF(第6期!BJ28=0,0,第7期!BJ28/第6期!BJ28)</f>
        <v>0</v>
      </c>
      <c r="W56" s="146">
        <f>IF(第6期!BK28=0,0,第7期!BK28/第6期!BK28)</f>
        <v>0</v>
      </c>
      <c r="X56" s="146">
        <f>IF(第6期!BL28=0,0,第7期!BL28/第6期!BL28)</f>
        <v>0</v>
      </c>
      <c r="Y56" s="146">
        <f>IF(第6期!BM28=0,0,第7期!BM28/第6期!BM28)</f>
        <v>0</v>
      </c>
      <c r="Z56" s="74"/>
      <c r="AA56" s="68" t="s">
        <v>466</v>
      </c>
      <c r="AB56" s="150">
        <f>IF(第6期!BJ28=0,0,(第7期!BJ28-第6期!BJ28)/20)</f>
        <v>0</v>
      </c>
      <c r="AC56" s="150">
        <f>IF(第6期!BK28=0,0,(第7期!BK28-第6期!BK28)/20)</f>
        <v>0</v>
      </c>
      <c r="AD56" s="150">
        <f>IF(第6期!BL28=0,0,(第7期!BL28-第6期!BL28)/20)</f>
        <v>0</v>
      </c>
      <c r="AE56" s="150">
        <f>IF(第6期!BM28=0,0,(第7期!BM28-第6期!BM28)/20)</f>
        <v>0</v>
      </c>
      <c r="AF56" s="74"/>
      <c r="AG56" s="74"/>
      <c r="AH56" s="73"/>
      <c r="AI56" s="177"/>
      <c r="AJ56" s="178"/>
      <c r="AK56" s="178"/>
      <c r="AL56" s="178"/>
      <c r="AM56" s="178"/>
      <c r="AN56" s="178"/>
      <c r="AO56" s="178"/>
      <c r="AP56" s="178"/>
      <c r="AQ56" s="178"/>
      <c r="AR56" s="178"/>
      <c r="AS56" s="178"/>
      <c r="AT56" s="178"/>
      <c r="AU56" s="178"/>
      <c r="AV56" s="178"/>
      <c r="AW56" s="178"/>
      <c r="AX56" s="178"/>
      <c r="AY56" s="178"/>
      <c r="AZ56" s="193"/>
      <c r="BA56" s="195">
        <f t="shared" si="79"/>
        <v>0</v>
      </c>
      <c r="BB56" s="205">
        <f>IF(BT7=1,AL109/(第7期!AP109/2+AP109),0)</f>
        <v>0</v>
      </c>
      <c r="BC56" s="203"/>
      <c r="BD56" s="194">
        <f t="shared" si="80"/>
        <v>0</v>
      </c>
      <c r="BE56" s="209" t="e">
        <f t="shared" si="81"/>
        <v>#DIV/0!</v>
      </c>
      <c r="BF56" s="209" t="e">
        <f t="shared" si="81"/>
        <v>#DIV/0!</v>
      </c>
      <c r="BG56" s="209" t="e">
        <f t="shared" si="81"/>
        <v>#DIV/0!</v>
      </c>
      <c r="BH56" s="209" t="e">
        <f t="shared" si="82"/>
        <v>#DIV/0!</v>
      </c>
      <c r="BI56" s="203"/>
      <c r="BJ56" s="203"/>
      <c r="BK56" s="203"/>
      <c r="BL56" s="203"/>
      <c r="BM56" s="203"/>
      <c r="BN56" s="203"/>
      <c r="BO56" s="203"/>
      <c r="BP56" s="203"/>
      <c r="BQ56" s="203"/>
      <c r="BR56" s="211"/>
      <c r="BS56" s="211"/>
      <c r="BT56" s="211"/>
      <c r="BU56" s="211"/>
      <c r="BV56" s="211"/>
      <c r="BW56" s="211"/>
      <c r="BX56" s="211"/>
      <c r="BY56" s="211"/>
      <c r="BZ56" s="211"/>
      <c r="CA56" s="211"/>
      <c r="CB56" s="211"/>
      <c r="CC56" s="211"/>
      <c r="CD56" s="211"/>
      <c r="CE56" s="211"/>
      <c r="CF56" s="211"/>
      <c r="CG56" s="211"/>
      <c r="CH56" s="211"/>
      <c r="CI56" s="211"/>
      <c r="CJ56" s="211"/>
      <c r="CK56" s="203"/>
      <c r="CL56" s="203"/>
      <c r="CM56" s="203"/>
      <c r="CN56" s="203"/>
      <c r="CO56" s="203"/>
      <c r="CP56" s="203"/>
      <c r="CQ56" s="203"/>
      <c r="CR56" s="203"/>
      <c r="CS56" s="203"/>
    </row>
    <row r="57" s="61" customFormat="1" ht="16" customHeight="1" spans="1:97">
      <c r="A57" s="68" t="s">
        <v>386</v>
      </c>
      <c r="B57" s="69"/>
      <c r="C57" s="77">
        <f>-B24</f>
        <v>0</v>
      </c>
      <c r="D57" s="79"/>
      <c r="E57" s="79"/>
      <c r="F57" s="79" t="e">
        <f t="shared" si="78"/>
        <v>#DIV/0!</v>
      </c>
      <c r="G57" s="73"/>
      <c r="H57" s="68" t="s">
        <v>680</v>
      </c>
      <c r="I57" s="68" t="s">
        <v>459</v>
      </c>
      <c r="J57" s="68" t="s">
        <v>460</v>
      </c>
      <c r="K57" s="68" t="s">
        <v>461</v>
      </c>
      <c r="L57" s="68" t="s">
        <v>462</v>
      </c>
      <c r="M57" s="85"/>
      <c r="N57" s="74"/>
      <c r="O57" s="74"/>
      <c r="P57" s="74"/>
      <c r="Q57" s="74"/>
      <c r="R57" s="74"/>
      <c r="S57" s="74"/>
      <c r="T57" s="120"/>
      <c r="U57" s="68" t="s">
        <v>468</v>
      </c>
      <c r="V57" s="146">
        <f>IF(第6期!BN28=0,0,第7期!BN28/第6期!BN28)</f>
        <v>0</v>
      </c>
      <c r="W57" s="146">
        <f>IF(第6期!BO28=0,0,第7期!BO28/第6期!BO28)</f>
        <v>0</v>
      </c>
      <c r="X57" s="146">
        <f>IF(第6期!BP28=0,0,第7期!BP28/第6期!BP28)</f>
        <v>0</v>
      </c>
      <c r="Y57" s="146">
        <f>IF(第6期!BQ28=0,0,第7期!BQ28/第6期!BQ28)</f>
        <v>0</v>
      </c>
      <c r="Z57" s="74"/>
      <c r="AA57" s="68" t="s">
        <v>468</v>
      </c>
      <c r="AB57" s="150">
        <f>IF(第6期!BN28=0,0,(第7期!BN28-第6期!BN28)/20)</f>
        <v>0</v>
      </c>
      <c r="AC57" s="150">
        <f>IF(第6期!BO28=0,0,(第7期!BO28-第6期!BO28)/20)</f>
        <v>0</v>
      </c>
      <c r="AD57" s="150">
        <f>IF(第6期!BP28=0,0,(第7期!BP28-第6期!BP28)/20)</f>
        <v>0</v>
      </c>
      <c r="AE57" s="150">
        <f>IF(第6期!BQ28=0,0,(第7期!BQ28-第6期!BQ28)/20)</f>
        <v>0</v>
      </c>
      <c r="AF57" s="74"/>
      <c r="AG57" s="74"/>
      <c r="AH57" s="73"/>
      <c r="AI57" s="179" t="s">
        <v>681</v>
      </c>
      <c r="AJ57" s="180">
        <f>IF(AJ37="",0,SUM(AJ37:AJ56)/TEXT(COUNTA(AJ37:AJ56),"0;;"))</f>
        <v>0</v>
      </c>
      <c r="AK57" s="180">
        <f t="shared" ref="AK57:AY57" si="83">IF(AK37="",0,SUM(AK37:AK56)/TEXT(COUNTA(AK37:AK56),"0;;"))</f>
        <v>0</v>
      </c>
      <c r="AL57" s="180">
        <f t="shared" si="83"/>
        <v>0</v>
      </c>
      <c r="AM57" s="180">
        <f t="shared" si="83"/>
        <v>0</v>
      </c>
      <c r="AN57" s="180">
        <f t="shared" si="83"/>
        <v>0</v>
      </c>
      <c r="AO57" s="180">
        <f t="shared" si="83"/>
        <v>0</v>
      </c>
      <c r="AP57" s="180">
        <f t="shared" si="83"/>
        <v>0</v>
      </c>
      <c r="AQ57" s="180">
        <f t="shared" si="83"/>
        <v>0</v>
      </c>
      <c r="AR57" s="180">
        <f t="shared" si="83"/>
        <v>0</v>
      </c>
      <c r="AS57" s="180">
        <f t="shared" si="83"/>
        <v>0</v>
      </c>
      <c r="AT57" s="180">
        <f t="shared" si="83"/>
        <v>0</v>
      </c>
      <c r="AU57" s="180">
        <f t="shared" si="83"/>
        <v>0</v>
      </c>
      <c r="AV57" s="180">
        <f t="shared" si="83"/>
        <v>0</v>
      </c>
      <c r="AW57" s="180">
        <f t="shared" si="83"/>
        <v>0</v>
      </c>
      <c r="AX57" s="180">
        <f t="shared" si="83"/>
        <v>0</v>
      </c>
      <c r="AY57" s="180">
        <f t="shared" si="83"/>
        <v>0</v>
      </c>
      <c r="AZ57" s="193"/>
      <c r="BA57" s="195">
        <f t="shared" si="79"/>
        <v>0</v>
      </c>
      <c r="BB57" s="205">
        <f>IF(BT8=1,AL110/(第7期!AP110/2+AP110),0)</f>
        <v>0</v>
      </c>
      <c r="BC57" s="203"/>
      <c r="BD57" s="194">
        <f t="shared" si="80"/>
        <v>0</v>
      </c>
      <c r="BE57" s="209" t="e">
        <f t="shared" si="81"/>
        <v>#DIV/0!</v>
      </c>
      <c r="BF57" s="209" t="e">
        <f t="shared" si="81"/>
        <v>#DIV/0!</v>
      </c>
      <c r="BG57" s="209" t="e">
        <f t="shared" si="81"/>
        <v>#DIV/0!</v>
      </c>
      <c r="BH57" s="209" t="e">
        <f t="shared" si="82"/>
        <v>#DIV/0!</v>
      </c>
      <c r="BI57" s="203"/>
      <c r="BJ57" s="203"/>
      <c r="BK57" s="203"/>
      <c r="BL57" s="203"/>
      <c r="BM57" s="203"/>
      <c r="BN57" s="203"/>
      <c r="BO57" s="203"/>
      <c r="BP57" s="203"/>
      <c r="BQ57" s="203"/>
      <c r="BR57" s="211"/>
      <c r="BS57" s="211"/>
      <c r="BT57" s="211"/>
      <c r="BU57" s="211"/>
      <c r="BV57" s="211"/>
      <c r="BW57" s="211"/>
      <c r="BX57" s="211"/>
      <c r="BY57" s="211"/>
      <c r="BZ57" s="211"/>
      <c r="CA57" s="211"/>
      <c r="CB57" s="211"/>
      <c r="CC57" s="211"/>
      <c r="CD57" s="211"/>
      <c r="CE57" s="211"/>
      <c r="CF57" s="211"/>
      <c r="CG57" s="211"/>
      <c r="CH57" s="211"/>
      <c r="CI57" s="211"/>
      <c r="CJ57" s="211"/>
      <c r="CK57" s="203"/>
      <c r="CL57" s="203"/>
      <c r="CM57" s="203"/>
      <c r="CN57" s="203"/>
      <c r="CO57" s="203"/>
      <c r="CP57" s="203"/>
      <c r="CQ57" s="203"/>
      <c r="CR57" s="203"/>
      <c r="CS57" s="203"/>
    </row>
    <row r="58" s="61" customFormat="1" ht="16" customHeight="1" spans="1:97">
      <c r="A58" s="68" t="s">
        <v>387</v>
      </c>
      <c r="B58" s="69"/>
      <c r="C58" s="77">
        <f>-B24*初始化表!B22/4</f>
        <v>0</v>
      </c>
      <c r="D58" s="79"/>
      <c r="E58" s="79" t="e">
        <f>E54-C58</f>
        <v>#DIV/0!</v>
      </c>
      <c r="F58" s="79" t="e">
        <f t="shared" si="78"/>
        <v>#DIV/0!</v>
      </c>
      <c r="G58" s="73"/>
      <c r="H58" s="68" t="s">
        <v>464</v>
      </c>
      <c r="I58" s="77">
        <f>INT(IF($F$24=1,IF(MOD(($I52+SUM($V5:$Y5)-SUM($V11:$Y11))*I47/SUM($I47:$L47)-V5+V11-9,20)&gt;11,(($I52+SUM($V5:$Y5)-SUM($V11:$Y11))*I47/SUM($I47:$L47)-V5+V11),(($I52+SUM($V5:$Y5)-SUM($V11:$Y11))*I47/SUM($I47:$L47)-V5+V11)-MOD(($I52+SUM($V5:$Y5)-SUM($V11:$Y11))*I47/SUM($I47:$L47)-V5+V11-9,20)),($I52+SUM($V5:$Y5)-SUM($V11:$Y11))*I47/SUM($I47:$L47)-V5+V11))</f>
        <v>-11</v>
      </c>
      <c r="J58" s="77">
        <f>INT(IF($F$24=1,IF(MOD(($I52+SUM($V5:$Y5)-SUM($V11:$Y11))*J47/SUM($I47:$L47)-W5+W11-9,20)&gt;11,(($I52+SUM($V5:$Y5)-SUM($V11:$Y11))*J47/SUM($I47:$L47)-W5+W11),(($I52+SUM($V5:$Y5)-SUM($V11:$Y11))*J47/SUM($I47:$L47)-W5+W11)-MOD(($I52+SUM($V5:$Y5)-SUM($V11:$Y11))*J47/SUM($I47:$L47)-W5+W11-9,20)),($I52+SUM($V5:$Y5)-SUM($V11:$Y11))*J47/SUM($I47:$L47)-W5+W11))</f>
        <v>-11</v>
      </c>
      <c r="K58" s="77">
        <f>INT(IF($F$24=1,IF(MOD(($I52+SUM($V5:$Y5)-SUM($V11:$Y11))*K47/SUM($I47:$L47)-X5+X11-9,20)&gt;11,(($I52+SUM($V5:$Y5)-SUM($V11:$Y11))*K47/SUM($I47:$L47)-X5+X11),(($I52+SUM($V5:$Y5)-SUM($V11:$Y11))*K47/SUM($I47:$L47)-X5+X11)-MOD(($I52+SUM($V5:$Y5)-SUM($V11:$Y11))*K47/SUM($I47:$L47)-X5+X11-9,20)),($I52+SUM($V5:$Y5)-SUM($V11:$Y11))*K47/SUM($I47:$L47)-X5+X11))</f>
        <v>-11</v>
      </c>
      <c r="L58" s="77">
        <f>INT(IF($F$24=1,IF(MOD(($I52+SUM($V5:$Y5)-SUM($V11:$Y11))*L47/SUM($I47:$L47)-Y5+Y11-9,20)&gt;11,(($I52+SUM($V5:$Y5)-SUM($V11:$Y11))*L47/SUM($I47:$L47)-Y5+Y11),(($I52+SUM($V5:$Y5)-SUM($V11:$Y11))*L47/SUM($I47:$L47)-Y5+Y11)-MOD(($I52+SUM($V5:$Y5)-SUM($V11:$Y11))*L47/SUM($I47:$L47)-Y5+Y11-9,20)),($I52+SUM($V5:$Y5)-SUM($V11:$Y11))*L47/SUM($I47:$L47)-Y5+Y11))</f>
        <v>-11</v>
      </c>
      <c r="M58" s="85"/>
      <c r="N58" s="74"/>
      <c r="O58" s="74"/>
      <c r="P58" s="74"/>
      <c r="Q58" s="74"/>
      <c r="R58" s="74"/>
      <c r="S58" s="74"/>
      <c r="T58" s="120"/>
      <c r="U58" s="123"/>
      <c r="V58" s="74"/>
      <c r="W58" s="74"/>
      <c r="X58" s="74"/>
      <c r="Y58" s="74"/>
      <c r="Z58" s="74"/>
      <c r="AA58" s="73"/>
      <c r="AB58" s="74"/>
      <c r="AC58" s="74"/>
      <c r="AD58" s="74"/>
      <c r="AE58" s="74"/>
      <c r="AF58" s="74"/>
      <c r="AG58" s="74"/>
      <c r="AH58" s="73"/>
      <c r="AI58" s="68" t="s">
        <v>481</v>
      </c>
      <c r="AJ58" s="69"/>
      <c r="AK58" s="69"/>
      <c r="AL58" s="69"/>
      <c r="AM58" s="69"/>
      <c r="AN58" s="69"/>
      <c r="AO58" s="69"/>
      <c r="AP58" s="69"/>
      <c r="AQ58" s="69"/>
      <c r="AR58" s="69"/>
      <c r="AS58" s="69"/>
      <c r="AT58" s="69"/>
      <c r="AU58" s="69"/>
      <c r="AV58" s="69"/>
      <c r="AW58" s="69"/>
      <c r="AX58" s="69"/>
      <c r="AY58" s="69"/>
      <c r="AZ58" s="193"/>
      <c r="BA58" s="195">
        <f t="shared" si="79"/>
        <v>0</v>
      </c>
      <c r="BB58" s="205">
        <f>IF(BT9=1,AL111/(第7期!AP111/2+AP111),0)</f>
        <v>0</v>
      </c>
      <c r="BC58" s="203"/>
      <c r="BD58" s="194">
        <f t="shared" si="80"/>
        <v>0</v>
      </c>
      <c r="BE58" s="209" t="e">
        <f t="shared" si="81"/>
        <v>#DIV/0!</v>
      </c>
      <c r="BF58" s="209" t="e">
        <f t="shared" si="81"/>
        <v>#DIV/0!</v>
      </c>
      <c r="BG58" s="209" t="e">
        <f t="shared" si="81"/>
        <v>#DIV/0!</v>
      </c>
      <c r="BH58" s="209" t="e">
        <f t="shared" si="82"/>
        <v>#DIV/0!</v>
      </c>
      <c r="BI58" s="203"/>
      <c r="BJ58" s="203"/>
      <c r="BK58" s="203"/>
      <c r="BL58" s="203"/>
      <c r="BM58" s="203"/>
      <c r="BN58" s="203"/>
      <c r="BO58" s="203"/>
      <c r="BP58" s="203"/>
      <c r="BQ58" s="203"/>
      <c r="BR58" s="211"/>
      <c r="BS58" s="211"/>
      <c r="BT58" s="211"/>
      <c r="BU58" s="211"/>
      <c r="BV58" s="211"/>
      <c r="BW58" s="211"/>
      <c r="BX58" s="211"/>
      <c r="BY58" s="211"/>
      <c r="BZ58" s="211"/>
      <c r="CA58" s="211"/>
      <c r="CB58" s="211"/>
      <c r="CC58" s="211"/>
      <c r="CD58" s="211"/>
      <c r="CE58" s="211"/>
      <c r="CF58" s="211"/>
      <c r="CG58" s="211"/>
      <c r="CH58" s="211"/>
      <c r="CI58" s="211"/>
      <c r="CJ58" s="211"/>
      <c r="CK58" s="203"/>
      <c r="CL58" s="203"/>
      <c r="CM58" s="203"/>
      <c r="CN58" s="203"/>
      <c r="CO58" s="203"/>
      <c r="CP58" s="203"/>
      <c r="CQ58" s="203"/>
      <c r="CR58" s="203"/>
      <c r="CS58" s="203"/>
    </row>
    <row r="59" s="61" customFormat="1" ht="16" customHeight="1" spans="1:97">
      <c r="A59" s="68" t="s">
        <v>388</v>
      </c>
      <c r="B59" s="69"/>
      <c r="C59" s="77" t="e">
        <f>-R33</f>
        <v>#DIV/0!</v>
      </c>
      <c r="D59" s="79"/>
      <c r="E59" s="79"/>
      <c r="F59" s="79" t="e">
        <f t="shared" si="78"/>
        <v>#DIV/0!</v>
      </c>
      <c r="G59" s="73"/>
      <c r="H59" s="68" t="s">
        <v>465</v>
      </c>
      <c r="I59" s="77">
        <f>INT(IF($F$24=1,IF(MOD(($J52+SUM($V6:$Y6)-SUM($V12:$Y12))*I48/SUM($I48:$L48)-V6+V12-9,20)&gt;11,(($J52+SUM($V6:$Y6)-SUM($V12:$Y12))*I48/SUM($I48:$L48)-V6+V12),(($J52+SUM($V6:$Y6)-SUM($V12:$Y12))*I48/SUM($I48:$L48)-V6+V12)-MOD(($J52+SUM($V6:$Y6)-SUM($V12:$Y12))*I48/SUM($I48:$L48)-V6+V12-9,20)),($J52+SUM($V6:$Y6)-SUM($V12:$Y12))*I48/SUM($I48:$L48)-V6+V12))</f>
        <v>-11</v>
      </c>
      <c r="J59" s="77">
        <f>INT(IF($F$24=1,IF(MOD(($J52+SUM($V6:$Y6)-SUM($V12:$Y12))*J48/SUM($I48:$L48)-W6+W12-9,20)&gt;11,(($J52+SUM($V6:$Y6)-SUM($V12:$Y12))*J48/SUM($I48:$L48)-W6+W12),(($J52+SUM($V6:$Y6)-SUM($V12:$Y12))*J48/SUM($I48:$L48)-W6+W12)-MOD(($J52+SUM($V6:$Y6)-SUM($V12:$Y12))*J48/SUM($I48:$L48)-W6+W12-9,20)),($J52+SUM($V6:$Y6)-SUM($V12:$Y12))*J48/SUM($I48:$L48)-W6+W12))</f>
        <v>-11</v>
      </c>
      <c r="K59" s="77">
        <f>INT(IF($F$24=1,IF(MOD(($J52+SUM($V6:$Y6)-SUM($V12:$Y12))*K48/SUM($I48:$L48)-X6+X12-9,20)&gt;11,(($J52+SUM($V6:$Y6)-SUM($V12:$Y12))*K48/SUM($I48:$L48)-X6+X12),(($J52+SUM($V6:$Y6)-SUM($V12:$Y12))*K48/SUM($I48:$L48)-X6+X12)-MOD(($J52+SUM($V6:$Y6)-SUM($V12:$Y12))*K48/SUM($I48:$L48)-X6+X12-9,20)),($J52+SUM($V6:$Y6)-SUM($V12:$Y12))*K48/SUM($I48:$L48)-X6+X12))</f>
        <v>-11</v>
      </c>
      <c r="L59" s="77">
        <f>INT(IF($F$24=1,IF(MOD(($J52+SUM($V6:$Y6)-SUM($V12:$Y12))*L48/SUM($I48:$L48)-Y6+Y12-9,20)&gt;11,(($J52+SUM($V6:$Y6)-SUM($V12:$Y12))*L48/SUM($I48:$L48)-Y6+Y12),(($J52+SUM($V6:$Y6)-SUM($V12:$Y12))*L48/SUM($I48:$L48)-Y6+Y12)-MOD(($J52+SUM($V6:$Y6)-SUM($V12:$Y12))*L48/SUM($I48:$L48)-Y6+Y12-9,20)),($J52+SUM($V6:$Y6)-SUM($V12:$Y12))*L48/SUM($I48:$L48)-Y6+Y12))</f>
        <v>-11</v>
      </c>
      <c r="M59" s="85"/>
      <c r="N59" s="74"/>
      <c r="O59" s="74"/>
      <c r="P59" s="74"/>
      <c r="Q59" s="74"/>
      <c r="R59" s="74"/>
      <c r="S59" s="74"/>
      <c r="T59" s="120"/>
      <c r="U59" s="68" t="s">
        <v>728</v>
      </c>
      <c r="V59" s="68" t="s">
        <v>459</v>
      </c>
      <c r="W59" s="68" t="s">
        <v>460</v>
      </c>
      <c r="X59" s="68" t="s">
        <v>461</v>
      </c>
      <c r="Y59" s="68" t="s">
        <v>462</v>
      </c>
      <c r="Z59" s="68" t="s">
        <v>569</v>
      </c>
      <c r="AA59" s="68" t="s">
        <v>744</v>
      </c>
      <c r="AB59" s="149" t="s">
        <v>459</v>
      </c>
      <c r="AC59" s="149" t="s">
        <v>460</v>
      </c>
      <c r="AD59" s="149" t="s">
        <v>461</v>
      </c>
      <c r="AE59" s="149" t="s">
        <v>462</v>
      </c>
      <c r="AF59" s="149" t="s">
        <v>563</v>
      </c>
      <c r="AG59" s="74"/>
      <c r="AH59" s="73"/>
      <c r="AI59" s="68" t="s">
        <v>37</v>
      </c>
      <c r="AJ59" s="68" t="s">
        <v>35</v>
      </c>
      <c r="AK59" s="69"/>
      <c r="AL59" s="69"/>
      <c r="AM59" s="69"/>
      <c r="AN59" s="68" t="s">
        <v>465</v>
      </c>
      <c r="AO59" s="69"/>
      <c r="AP59" s="69"/>
      <c r="AQ59" s="69"/>
      <c r="AR59" s="68" t="s">
        <v>466</v>
      </c>
      <c r="AS59" s="69"/>
      <c r="AT59" s="69"/>
      <c r="AU59" s="69"/>
      <c r="AV59" s="68" t="s">
        <v>468</v>
      </c>
      <c r="AW59" s="69"/>
      <c r="AX59" s="69"/>
      <c r="AY59" s="69"/>
      <c r="AZ59" s="193"/>
      <c r="BA59" s="195">
        <f t="shared" si="79"/>
        <v>0</v>
      </c>
      <c r="BB59" s="205">
        <f>IF(BT10=1,AL112/(第7期!AP112/2+AP112),0)</f>
        <v>0</v>
      </c>
      <c r="BC59" s="203"/>
      <c r="BD59" s="194">
        <f t="shared" si="80"/>
        <v>0</v>
      </c>
      <c r="BE59" s="209" t="e">
        <f t="shared" si="81"/>
        <v>#DIV/0!</v>
      </c>
      <c r="BF59" s="209" t="e">
        <f t="shared" si="81"/>
        <v>#DIV/0!</v>
      </c>
      <c r="BG59" s="209" t="e">
        <f t="shared" si="81"/>
        <v>#DIV/0!</v>
      </c>
      <c r="BH59" s="209" t="e">
        <f t="shared" si="82"/>
        <v>#DIV/0!</v>
      </c>
      <c r="BI59" s="203"/>
      <c r="BJ59" s="203"/>
      <c r="BK59" s="203"/>
      <c r="BL59" s="203"/>
      <c r="BM59" s="203"/>
      <c r="BN59" s="203"/>
      <c r="BO59" s="203"/>
      <c r="BP59" s="203"/>
      <c r="BQ59" s="203"/>
      <c r="BR59" s="211"/>
      <c r="BS59" s="211"/>
      <c r="BT59" s="211"/>
      <c r="BU59" s="211"/>
      <c r="BV59" s="211"/>
      <c r="BW59" s="211"/>
      <c r="BX59" s="211"/>
      <c r="BY59" s="211"/>
      <c r="BZ59" s="211"/>
      <c r="CA59" s="211"/>
      <c r="CB59" s="211"/>
      <c r="CC59" s="211"/>
      <c r="CD59" s="211"/>
      <c r="CE59" s="211"/>
      <c r="CF59" s="211"/>
      <c r="CG59" s="211"/>
      <c r="CH59" s="211"/>
      <c r="CI59" s="211"/>
      <c r="CJ59" s="211"/>
      <c r="CK59" s="203"/>
      <c r="CL59" s="203"/>
      <c r="CM59" s="203"/>
      <c r="CN59" s="203"/>
      <c r="CO59" s="203"/>
      <c r="CP59" s="203"/>
      <c r="CQ59" s="203"/>
      <c r="CR59" s="203"/>
      <c r="CS59" s="203"/>
    </row>
    <row r="60" s="61" customFormat="1" ht="16" customHeight="1" spans="1:97">
      <c r="A60" s="68" t="s">
        <v>389</v>
      </c>
      <c r="B60" s="69"/>
      <c r="C60" s="77" t="e">
        <f>C59*0.1</f>
        <v>#DIV/0!</v>
      </c>
      <c r="D60" s="79"/>
      <c r="E60" s="79" t="e">
        <f>E58-C60</f>
        <v>#DIV/0!</v>
      </c>
      <c r="F60" s="79" t="e">
        <f t="shared" si="78"/>
        <v>#DIV/0!</v>
      </c>
      <c r="G60" s="73"/>
      <c r="H60" s="68" t="s">
        <v>466</v>
      </c>
      <c r="I60" s="77">
        <f>INT(IF($F$24=1,IF(MOD(($K52+SUM($V7:$Y7)-SUM($V13:$Y13))*I49/SUM($I49:$L49)-V7+V13-9,20)&gt;11,(($K52+SUM($V7:$Y7)-SUM($V13:$Y13))*I49/SUM($I49:$L49)-V7+V13),(($K52+SUM($V7:$Y7)-SUM($V13:$Y13))*I49/SUM($I49:$L49)-V7+V13)-MOD(($K52+SUM($V7:$Y7)-SUM($V13:$Y13))*I49/SUM($I49:$L49)-V7+V13-9,20)),($K52+SUM($V7:$Y7)-SUM($V13:$Y13))*I49/SUM($I49:$L49)-V7+V13))</f>
        <v>-11</v>
      </c>
      <c r="J60" s="77">
        <f>INT(IF($F$24=1,IF(MOD(($K52+SUM($V7:$Y7)-SUM($V13:$Y13))*J49/SUM($I49:$L49)-W7+W13-9,20)&gt;11,(($K52+SUM($V7:$Y7)-SUM($V13:$Y13))*J49/SUM($I49:$L49)-W7+W13),(($K52+SUM($V7:$Y7)-SUM($V13:$Y13))*J49/SUM($I49:$L49)-W7+W13)-MOD(($K52+SUM($V7:$Y7)-SUM($V13:$Y13))*J49/SUM($I49:$L49)-W7+W13-9,20)),($K52+SUM($V7:$Y7)-SUM($V13:$Y13))*J49/SUM($I49:$L49)-W7+W13))</f>
        <v>-11</v>
      </c>
      <c r="K60" s="77">
        <f>INT(IF($F$24=1,IF(MOD(($K52+SUM($V7:$Y7)-SUM($V13:$Y13))*K49/SUM($I49:$L49)-X7+X13-9,20)&gt;11,(($K52+SUM($V7:$Y7)-SUM($V13:$Y13))*K49/SUM($I49:$L49)-X7+X13),(($K52+SUM($V7:$Y7)-SUM($V13:$Y13))*K49/SUM($I49:$L49)-X7+X13)-MOD(($K52+SUM($V7:$Y7)-SUM($V13:$Y13))*K49/SUM($I49:$L49)-X7+X13-9,20)),($K52+SUM($V7:$Y7)-SUM($V13:$Y13))*K49/SUM($I49:$L49)-X7+X13))</f>
        <v>-11</v>
      </c>
      <c r="L60" s="77">
        <f>INT(IF($F$24=1,IF(MOD(($K52+SUM($V7:$Y7)-SUM($V13:$Y13))*L49/SUM($I49:$L49)-Y7+Y13-9,20)&gt;11,(($K52+SUM($V7:$Y7)-SUM($V13:$Y13))*L49/SUM($I49:$L49)-Y7+Y13),(($K52+SUM($V7:$Y7)-SUM($V13:$Y13))*L49/SUM($I49:$L49)-Y7+Y13)-MOD(($K52+SUM($V7:$Y7)-SUM($V13:$Y13))*L49/SUM($I49:$L49)-Y7+Y13-9,20)),($K52+SUM($V7:$Y7)-SUM($V13:$Y13))*L49/SUM($I49:$L49)-Y7+Y13))</f>
        <v>-11</v>
      </c>
      <c r="M60" s="85"/>
      <c r="N60" s="74"/>
      <c r="O60" s="74"/>
      <c r="P60" s="74"/>
      <c r="Q60" s="74"/>
      <c r="R60" s="74"/>
      <c r="S60" s="74"/>
      <c r="T60" s="120"/>
      <c r="U60" s="68" t="s">
        <v>464</v>
      </c>
      <c r="V60" s="150">
        <f>V30-第7期!V30</f>
        <v>0</v>
      </c>
      <c r="W60" s="150">
        <f>W30-第7期!W30</f>
        <v>0</v>
      </c>
      <c r="X60" s="150">
        <f>X30-第7期!X30</f>
        <v>0</v>
      </c>
      <c r="Y60" s="150">
        <f>Y30-第7期!Y30</f>
        <v>0</v>
      </c>
      <c r="Z60" s="150">
        <f>SUM(V60:Y60)/4</f>
        <v>0</v>
      </c>
      <c r="AA60" s="68" t="s">
        <v>464</v>
      </c>
      <c r="AB60" s="150">
        <f>第7期!BB28</f>
        <v>0</v>
      </c>
      <c r="AC60" s="150">
        <f>第7期!BC28</f>
        <v>0</v>
      </c>
      <c r="AD60" s="150">
        <f>第7期!BD28</f>
        <v>0</v>
      </c>
      <c r="AE60" s="150">
        <f>第7期!BE28</f>
        <v>0</v>
      </c>
      <c r="AF60" s="150">
        <f>SUM(AB60:AE60)</f>
        <v>0</v>
      </c>
      <c r="AG60" s="74"/>
      <c r="AH60" s="73"/>
      <c r="AI60" s="69"/>
      <c r="AJ60" s="68" t="s">
        <v>320</v>
      </c>
      <c r="AK60" s="68" t="s">
        <v>321</v>
      </c>
      <c r="AL60" s="68" t="s">
        <v>322</v>
      </c>
      <c r="AM60" s="68" t="s">
        <v>319</v>
      </c>
      <c r="AN60" s="68" t="s">
        <v>320</v>
      </c>
      <c r="AO60" s="68" t="s">
        <v>321</v>
      </c>
      <c r="AP60" s="68" t="s">
        <v>322</v>
      </c>
      <c r="AQ60" s="68" t="s">
        <v>319</v>
      </c>
      <c r="AR60" s="68" t="s">
        <v>320</v>
      </c>
      <c r="AS60" s="68" t="s">
        <v>321</v>
      </c>
      <c r="AT60" s="68" t="s">
        <v>322</v>
      </c>
      <c r="AU60" s="68" t="s">
        <v>319</v>
      </c>
      <c r="AV60" s="68" t="s">
        <v>320</v>
      </c>
      <c r="AW60" s="68" t="s">
        <v>321</v>
      </c>
      <c r="AX60" s="68" t="s">
        <v>322</v>
      </c>
      <c r="AY60" s="68" t="s">
        <v>41</v>
      </c>
      <c r="AZ60" s="193"/>
      <c r="BA60" s="195">
        <f t="shared" si="79"/>
        <v>0</v>
      </c>
      <c r="BB60" s="205">
        <f>IF(BT11=1,AL113/(第7期!AP113/2+AP113),0)</f>
        <v>0</v>
      </c>
      <c r="BC60" s="203"/>
      <c r="BD60" s="194">
        <f t="shared" si="80"/>
        <v>0</v>
      </c>
      <c r="BE60" s="209" t="e">
        <f t="shared" si="81"/>
        <v>#DIV/0!</v>
      </c>
      <c r="BF60" s="209" t="e">
        <f t="shared" si="81"/>
        <v>#DIV/0!</v>
      </c>
      <c r="BG60" s="209" t="e">
        <f t="shared" si="81"/>
        <v>#DIV/0!</v>
      </c>
      <c r="BH60" s="209" t="e">
        <f t="shared" si="82"/>
        <v>#DIV/0!</v>
      </c>
      <c r="BI60" s="203"/>
      <c r="BJ60" s="203"/>
      <c r="BK60" s="203"/>
      <c r="BL60" s="203"/>
      <c r="BM60" s="203"/>
      <c r="BN60" s="203"/>
      <c r="BO60" s="203"/>
      <c r="BP60" s="203"/>
      <c r="BQ60" s="203"/>
      <c r="BR60" s="211"/>
      <c r="BS60" s="211"/>
      <c r="BT60" s="211"/>
      <c r="BU60" s="211"/>
      <c r="BV60" s="211"/>
      <c r="BW60" s="211"/>
      <c r="BX60" s="211"/>
      <c r="BY60" s="211"/>
      <c r="BZ60" s="211"/>
      <c r="CA60" s="211"/>
      <c r="CB60" s="211"/>
      <c r="CC60" s="211"/>
      <c r="CD60" s="211"/>
      <c r="CE60" s="211"/>
      <c r="CF60" s="211"/>
      <c r="CG60" s="211"/>
      <c r="CH60" s="211"/>
      <c r="CI60" s="211"/>
      <c r="CJ60" s="211"/>
      <c r="CK60" s="203"/>
      <c r="CL60" s="203"/>
      <c r="CM60" s="203"/>
      <c r="CN60" s="203"/>
      <c r="CO60" s="203"/>
      <c r="CP60" s="203"/>
      <c r="CQ60" s="203"/>
      <c r="CR60" s="203"/>
      <c r="CS60" s="203"/>
    </row>
    <row r="61" s="61" customFormat="1" ht="16" customHeight="1" spans="1:97">
      <c r="A61" s="68" t="s">
        <v>793</v>
      </c>
      <c r="B61" s="69"/>
      <c r="C61" s="77" t="e">
        <f>-IF(F77*初始化表!B25&gt;-第7期!F80,F77*初始化表!B25+第7期!F80,0)</f>
        <v>#DIV/0!</v>
      </c>
      <c r="D61" s="79"/>
      <c r="E61" s="79"/>
      <c r="F61" s="79" t="e">
        <f t="shared" si="78"/>
        <v>#DIV/0!</v>
      </c>
      <c r="G61" s="73"/>
      <c r="H61" s="68" t="s">
        <v>468</v>
      </c>
      <c r="I61" s="77">
        <f>INT(IF($F$24=1,IF(MOD(($L52+SUM($V8:$Y8)-SUM($V14:$Y14))*I50/SUM($I50:$L50)-V8+V14-9,20)&gt;11,(($L52+SUM($V8:$Y8)-SUM($V14:$Y14))*I50/SUM($I50:$L50)-V8+V14),(($L52+SUM($V8:$Y8)-SUM($V14:$Y14))*I50/SUM($I50:$L50)-V8+V14)-MOD(($L52+SUM($V8:$Y8)-SUM($V14:$Y14))*I50/SUM($I50:$L50)-V8+V14-9,20)),($L52+SUM($V8:$Y8)-SUM($V14:$Y14))*I50/SUM($I50:$L50)-V8+V14))</f>
        <v>-11</v>
      </c>
      <c r="J61" s="77">
        <f>INT(IF($F$24=1,IF(MOD(($L52+SUM($V8:$Y8)-SUM($V14:$Y14))*J50/SUM($I50:$L50)-W8+W14-9,20)&gt;11,(($L52+SUM($V8:$Y8)-SUM($V14:$Y14))*J50/SUM($I50:$L50)-W8+W14),(($L52+SUM($V8:$Y8)-SUM($V14:$Y14))*J50/SUM($I50:$L50)-W8+W14)-MOD(($L52+SUM($V8:$Y8)-SUM($V14:$Y14))*J50/SUM($I50:$L50)-W8+W14-9,20)),($L52+SUM($V8:$Y8)-SUM($V14:$Y14))*J50/SUM($I50:$L50)-W8+W14))</f>
        <v>-11</v>
      </c>
      <c r="K61" s="77">
        <f>INT(IF($F$24=1,IF(MOD(($L52+SUM($V8:$Y8)-SUM($V14:$Y14))*K50/SUM($I50:$L50)-X8+X14-9,20)&gt;11,(($L52+SUM($V8:$Y8)-SUM($V14:$Y14))*K50/SUM($I50:$L50)-X8+X14),(($L52+SUM($V8:$Y8)-SUM($V14:$Y14))*K50/SUM($I50:$L50)-X8+X14)-MOD(($L52+SUM($V8:$Y8)-SUM($V14:$Y14))*K50/SUM($I50:$L50)-X8+X14-9,20)),($L52+SUM($V8:$Y8)-SUM($V14:$Y14))*K50/SUM($I50:$L50)-X8+X14))</f>
        <v>-11</v>
      </c>
      <c r="L61" s="77">
        <f>INT(IF($F$24=1,IF(MOD(($L52+SUM($V8:$Y8)-SUM($V14:$Y14))*L50/SUM($I50:$L50)-Y8+Y14-9,20)&gt;11,(($L52+SUM($V8:$Y8)-SUM($V14:$Y14))*L50/SUM($I50:$L50)-Y8+Y14),(($L52+SUM($V8:$Y8)-SUM($V14:$Y14))*L50/SUM($I50:$L50)-Y8+Y14)-MOD(($L52+SUM($V8:$Y8)-SUM($V14:$Y14))*L50/SUM($I50:$L50)-Y8+Y14-9,20)),($L52+SUM($V8:$Y8)-SUM($V14:$Y14))*L50/SUM($I50:$L50)-Y8+Y14))</f>
        <v>-11</v>
      </c>
      <c r="M61" s="85"/>
      <c r="N61" s="74"/>
      <c r="O61" s="74"/>
      <c r="P61" s="74"/>
      <c r="Q61" s="74"/>
      <c r="R61" s="74"/>
      <c r="S61" s="74"/>
      <c r="T61" s="120"/>
      <c r="U61" s="68" t="s">
        <v>465</v>
      </c>
      <c r="V61" s="150">
        <f>V31-第7期!V31</f>
        <v>0</v>
      </c>
      <c r="W61" s="150">
        <f>W31-第7期!W31</f>
        <v>0</v>
      </c>
      <c r="X61" s="150">
        <f>X31-第7期!X31</f>
        <v>0</v>
      </c>
      <c r="Y61" s="150">
        <f>Y31-第7期!Y31</f>
        <v>0</v>
      </c>
      <c r="Z61" s="150">
        <f t="shared" ref="Z61:Z63" si="84">SUM(V61:Y61)/4</f>
        <v>0</v>
      </c>
      <c r="AA61" s="68" t="s">
        <v>465</v>
      </c>
      <c r="AB61" s="150">
        <f>第7期!BF28</f>
        <v>0</v>
      </c>
      <c r="AC61" s="150">
        <f>第7期!BG28</f>
        <v>0</v>
      </c>
      <c r="AD61" s="150">
        <f>第7期!BH28</f>
        <v>0</v>
      </c>
      <c r="AE61" s="150">
        <f>第7期!BI28</f>
        <v>0</v>
      </c>
      <c r="AF61" s="150">
        <f t="shared" ref="AF61:AF63" si="85">SUM(AB61:AE61)</f>
        <v>0</v>
      </c>
      <c r="AG61" s="74"/>
      <c r="AH61" s="73"/>
      <c r="AI61" s="172"/>
      <c r="AJ61" s="181"/>
      <c r="AK61" s="181"/>
      <c r="AL61" s="181"/>
      <c r="AM61" s="181"/>
      <c r="AN61" s="181"/>
      <c r="AO61" s="181"/>
      <c r="AP61" s="181"/>
      <c r="AQ61" s="181"/>
      <c r="AR61" s="181"/>
      <c r="AS61" s="181"/>
      <c r="AT61" s="181"/>
      <c r="AU61" s="181"/>
      <c r="AV61" s="181"/>
      <c r="AW61" s="181"/>
      <c r="AX61" s="181"/>
      <c r="AY61" s="181"/>
      <c r="AZ61" s="193"/>
      <c r="BA61" s="195">
        <f t="shared" si="79"/>
        <v>0</v>
      </c>
      <c r="BB61" s="205">
        <f>IF(BT12=1,AL114/(第7期!AP114/2+AP114),0)</f>
        <v>0</v>
      </c>
      <c r="BC61" s="203"/>
      <c r="BD61" s="194">
        <f t="shared" si="80"/>
        <v>0</v>
      </c>
      <c r="BE61" s="209" t="e">
        <f t="shared" si="81"/>
        <v>#DIV/0!</v>
      </c>
      <c r="BF61" s="209" t="e">
        <f t="shared" si="81"/>
        <v>#DIV/0!</v>
      </c>
      <c r="BG61" s="209" t="e">
        <f t="shared" si="81"/>
        <v>#DIV/0!</v>
      </c>
      <c r="BH61" s="209" t="e">
        <f t="shared" si="81"/>
        <v>#DIV/0!</v>
      </c>
      <c r="BI61" s="203"/>
      <c r="BJ61" s="203"/>
      <c r="BK61" s="203"/>
      <c r="BL61" s="203"/>
      <c r="BM61" s="203"/>
      <c r="BN61" s="203"/>
      <c r="BO61" s="203"/>
      <c r="BP61" s="203"/>
      <c r="BQ61" s="203"/>
      <c r="BR61" s="211"/>
      <c r="BS61" s="211"/>
      <c r="BT61" s="211"/>
      <c r="BU61" s="211"/>
      <c r="BV61" s="211"/>
      <c r="BW61" s="211"/>
      <c r="BX61" s="211"/>
      <c r="BY61" s="211"/>
      <c r="BZ61" s="211"/>
      <c r="CA61" s="211"/>
      <c r="CB61" s="211"/>
      <c r="CC61" s="211"/>
      <c r="CD61" s="211"/>
      <c r="CE61" s="211"/>
      <c r="CF61" s="211"/>
      <c r="CG61" s="211"/>
      <c r="CH61" s="211"/>
      <c r="CI61" s="211"/>
      <c r="CJ61" s="211"/>
      <c r="CK61" s="203"/>
      <c r="CL61" s="203"/>
      <c r="CM61" s="203"/>
      <c r="CN61" s="203"/>
      <c r="CO61" s="203"/>
      <c r="CP61" s="203"/>
      <c r="CQ61" s="203"/>
      <c r="CR61" s="203"/>
      <c r="CS61" s="203"/>
    </row>
    <row r="62" s="61" customFormat="1" ht="16" customHeight="1" spans="1:97">
      <c r="A62" s="68" t="s">
        <v>306</v>
      </c>
      <c r="B62" s="69"/>
      <c r="C62" s="77">
        <f>-D22*初始化表!B8</f>
        <v>0</v>
      </c>
      <c r="D62" s="79"/>
      <c r="E62" s="79"/>
      <c r="F62" s="79" t="e">
        <f t="shared" si="78"/>
        <v>#DIV/0!</v>
      </c>
      <c r="G62" s="73"/>
      <c r="H62" s="68" t="s">
        <v>685</v>
      </c>
      <c r="I62" s="68" t="s">
        <v>459</v>
      </c>
      <c r="J62" s="68" t="s">
        <v>460</v>
      </c>
      <c r="K62" s="68" t="s">
        <v>461</v>
      </c>
      <c r="L62" s="68" t="s">
        <v>462</v>
      </c>
      <c r="M62" s="85"/>
      <c r="N62" s="117" t="s">
        <v>745</v>
      </c>
      <c r="O62" s="117" t="s">
        <v>38</v>
      </c>
      <c r="P62" s="117" t="s">
        <v>39</v>
      </c>
      <c r="Q62" s="117" t="s">
        <v>40</v>
      </c>
      <c r="R62" s="117" t="s">
        <v>41</v>
      </c>
      <c r="S62" s="74"/>
      <c r="T62" s="120"/>
      <c r="U62" s="68" t="s">
        <v>466</v>
      </c>
      <c r="V62" s="150">
        <f>V32-第7期!V32</f>
        <v>0</v>
      </c>
      <c r="W62" s="150">
        <f>W32-第7期!W32</f>
        <v>0</v>
      </c>
      <c r="X62" s="150">
        <f>X32-第7期!X32</f>
        <v>0</v>
      </c>
      <c r="Y62" s="150">
        <f>Y32-第7期!Y32</f>
        <v>0</v>
      </c>
      <c r="Z62" s="150">
        <f t="shared" si="84"/>
        <v>0</v>
      </c>
      <c r="AA62" s="68" t="s">
        <v>466</v>
      </c>
      <c r="AB62" s="150">
        <f>第7期!BJ28</f>
        <v>0</v>
      </c>
      <c r="AC62" s="150">
        <f>第7期!BK28</f>
        <v>0</v>
      </c>
      <c r="AD62" s="150">
        <f>第7期!BL28</f>
        <v>0</v>
      </c>
      <c r="AE62" s="150">
        <f>第7期!BM28</f>
        <v>0</v>
      </c>
      <c r="AF62" s="150">
        <f t="shared" si="85"/>
        <v>0</v>
      </c>
      <c r="AG62" s="74"/>
      <c r="AH62" s="73"/>
      <c r="AI62" s="172"/>
      <c r="AJ62" s="181"/>
      <c r="AK62" s="181"/>
      <c r="AL62" s="181"/>
      <c r="AM62" s="181"/>
      <c r="AN62" s="181"/>
      <c r="AO62" s="181"/>
      <c r="AP62" s="181"/>
      <c r="AQ62" s="181"/>
      <c r="AR62" s="181"/>
      <c r="AS62" s="181"/>
      <c r="AT62" s="181"/>
      <c r="AU62" s="181"/>
      <c r="AV62" s="181"/>
      <c r="AW62" s="181"/>
      <c r="AX62" s="181"/>
      <c r="AY62" s="181"/>
      <c r="AZ62" s="193"/>
      <c r="BA62" s="195">
        <f t="shared" si="79"/>
        <v>0</v>
      </c>
      <c r="BB62" s="205">
        <f>IF(BT13=1,AL115/(第7期!AP115/2+AP115),0)</f>
        <v>0</v>
      </c>
      <c r="BC62" s="203"/>
      <c r="BD62" s="194">
        <f t="shared" si="80"/>
        <v>0</v>
      </c>
      <c r="BE62" s="209" t="e">
        <f t="shared" si="81"/>
        <v>#DIV/0!</v>
      </c>
      <c r="BF62" s="209" t="e">
        <f t="shared" si="81"/>
        <v>#DIV/0!</v>
      </c>
      <c r="BG62" s="209" t="e">
        <f t="shared" si="81"/>
        <v>#DIV/0!</v>
      </c>
      <c r="BH62" s="209" t="e">
        <f t="shared" si="81"/>
        <v>#DIV/0!</v>
      </c>
      <c r="BI62" s="203"/>
      <c r="BJ62" s="203"/>
      <c r="BK62" s="203"/>
      <c r="BL62" s="203"/>
      <c r="BM62" s="203"/>
      <c r="BN62" s="203"/>
      <c r="BO62" s="203"/>
      <c r="BP62" s="203"/>
      <c r="BQ62" s="203"/>
      <c r="BR62" s="211"/>
      <c r="BS62" s="211"/>
      <c r="BT62" s="211"/>
      <c r="BU62" s="211"/>
      <c r="BV62" s="211"/>
      <c r="BW62" s="211"/>
      <c r="BX62" s="211"/>
      <c r="BY62" s="211"/>
      <c r="BZ62" s="211"/>
      <c r="CA62" s="211"/>
      <c r="CB62" s="211"/>
      <c r="CC62" s="211"/>
      <c r="CD62" s="211"/>
      <c r="CE62" s="211"/>
      <c r="CF62" s="211"/>
      <c r="CG62" s="211"/>
      <c r="CH62" s="211"/>
      <c r="CI62" s="211"/>
      <c r="CJ62" s="211"/>
      <c r="CK62" s="203"/>
      <c r="CL62" s="203"/>
      <c r="CM62" s="203"/>
      <c r="CN62" s="203"/>
      <c r="CO62" s="203"/>
      <c r="CP62" s="203"/>
      <c r="CQ62" s="203"/>
      <c r="CR62" s="203"/>
      <c r="CS62" s="203"/>
    </row>
    <row r="63" s="61" customFormat="1" ht="16" customHeight="1" spans="1:97">
      <c r="A63" s="68" t="s">
        <v>794</v>
      </c>
      <c r="B63" s="69"/>
      <c r="C63" s="72" t="e">
        <f>IF(R37&gt;P37,-P37,-R37)</f>
        <v>#DIV/0!</v>
      </c>
      <c r="D63" s="79"/>
      <c r="E63" s="79"/>
      <c r="F63" s="79" t="e">
        <f t="shared" si="78"/>
        <v>#DIV/0!</v>
      </c>
      <c r="G63" s="73"/>
      <c r="H63" s="68" t="s">
        <v>464</v>
      </c>
      <c r="I63" s="97">
        <v>0</v>
      </c>
      <c r="J63" s="97"/>
      <c r="K63" s="97">
        <v>0</v>
      </c>
      <c r="L63" s="97"/>
      <c r="M63" s="85"/>
      <c r="N63" s="117" t="s">
        <v>198</v>
      </c>
      <c r="O63" s="118">
        <f>O68-第7期!O68</f>
        <v>0</v>
      </c>
      <c r="P63" s="118">
        <f>P68-第7期!P68</f>
        <v>0</v>
      </c>
      <c r="Q63" s="118">
        <f>Q68-第7期!Q68</f>
        <v>0</v>
      </c>
      <c r="R63" s="118">
        <f>R68-第7期!R68</f>
        <v>0</v>
      </c>
      <c r="S63" s="74"/>
      <c r="T63" s="120"/>
      <c r="U63" s="68" t="s">
        <v>468</v>
      </c>
      <c r="V63" s="150">
        <f>V33-第7期!V33</f>
        <v>0</v>
      </c>
      <c r="W63" s="150">
        <f>W33-第7期!W33</f>
        <v>0</v>
      </c>
      <c r="X63" s="150">
        <f>X33-第7期!X33</f>
        <v>0</v>
      </c>
      <c r="Y63" s="150">
        <f>Y33-第7期!Y33</f>
        <v>0</v>
      </c>
      <c r="Z63" s="150">
        <f t="shared" si="84"/>
        <v>0</v>
      </c>
      <c r="AA63" s="68" t="s">
        <v>468</v>
      </c>
      <c r="AB63" s="150">
        <f>第7期!BN28</f>
        <v>0</v>
      </c>
      <c r="AC63" s="150">
        <f>第7期!BO28</f>
        <v>0</v>
      </c>
      <c r="AD63" s="150">
        <f>第7期!BP28</f>
        <v>0</v>
      </c>
      <c r="AE63" s="150">
        <f>第7期!BQ28</f>
        <v>0</v>
      </c>
      <c r="AF63" s="150">
        <f t="shared" si="85"/>
        <v>0</v>
      </c>
      <c r="AG63" s="74"/>
      <c r="AH63" s="73"/>
      <c r="AI63" s="182"/>
      <c r="AJ63" s="183"/>
      <c r="AK63" s="183"/>
      <c r="AL63" s="183"/>
      <c r="AM63" s="183"/>
      <c r="AN63" s="183"/>
      <c r="AO63" s="183"/>
      <c r="AP63" s="183"/>
      <c r="AQ63" s="183"/>
      <c r="AR63" s="183"/>
      <c r="AS63" s="183"/>
      <c r="AT63" s="183"/>
      <c r="AU63" s="183"/>
      <c r="AV63" s="183"/>
      <c r="AW63" s="183"/>
      <c r="AX63" s="183"/>
      <c r="AY63" s="183"/>
      <c r="AZ63" s="193"/>
      <c r="BA63" s="195">
        <f t="shared" si="79"/>
        <v>0</v>
      </c>
      <c r="BB63" s="205">
        <f>IF(BT14=1,AL116/(第7期!AP116/2+AP116),0)</f>
        <v>0</v>
      </c>
      <c r="BC63" s="203"/>
      <c r="BD63" s="194">
        <f t="shared" si="80"/>
        <v>0</v>
      </c>
      <c r="BE63" s="209" t="e">
        <f t="shared" si="81"/>
        <v>#DIV/0!</v>
      </c>
      <c r="BF63" s="209" t="e">
        <f t="shared" si="81"/>
        <v>#DIV/0!</v>
      </c>
      <c r="BG63" s="209" t="e">
        <f t="shared" si="81"/>
        <v>#DIV/0!</v>
      </c>
      <c r="BH63" s="209" t="e">
        <f t="shared" si="81"/>
        <v>#DIV/0!</v>
      </c>
      <c r="BI63" s="203"/>
      <c r="BJ63" s="203"/>
      <c r="BK63" s="203"/>
      <c r="BL63" s="203"/>
      <c r="BM63" s="203"/>
      <c r="BN63" s="203"/>
      <c r="BO63" s="203"/>
      <c r="BP63" s="203"/>
      <c r="BQ63" s="203"/>
      <c r="BR63" s="211"/>
      <c r="BS63" s="211"/>
      <c r="BT63" s="211"/>
      <c r="BU63" s="211"/>
      <c r="BV63" s="211"/>
      <c r="BW63" s="211"/>
      <c r="BX63" s="211"/>
      <c r="BY63" s="211"/>
      <c r="BZ63" s="211"/>
      <c r="CA63" s="211"/>
      <c r="CB63" s="211"/>
      <c r="CC63" s="211"/>
      <c r="CD63" s="211"/>
      <c r="CE63" s="211"/>
      <c r="CF63" s="211"/>
      <c r="CG63" s="211"/>
      <c r="CH63" s="211"/>
      <c r="CI63" s="211"/>
      <c r="CJ63" s="211"/>
      <c r="CK63" s="203"/>
      <c r="CL63" s="203"/>
      <c r="CM63" s="203"/>
      <c r="CN63" s="203"/>
      <c r="CO63" s="203"/>
      <c r="CP63" s="203"/>
      <c r="CQ63" s="203"/>
      <c r="CR63" s="203"/>
      <c r="CS63" s="203"/>
    </row>
    <row r="64" s="61" customFormat="1" ht="16" customHeight="1" spans="1:97">
      <c r="A64" s="68" t="s">
        <v>392</v>
      </c>
      <c r="B64" s="69"/>
      <c r="C64" s="77">
        <f>-D24</f>
        <v>0</v>
      </c>
      <c r="D64" s="79"/>
      <c r="E64" s="79"/>
      <c r="F64" s="79" t="e">
        <f t="shared" si="78"/>
        <v>#DIV/0!</v>
      </c>
      <c r="G64" s="73"/>
      <c r="H64" s="68" t="s">
        <v>465</v>
      </c>
      <c r="I64" s="97"/>
      <c r="J64" s="97"/>
      <c r="K64" s="97"/>
      <c r="L64" s="97"/>
      <c r="M64" s="85"/>
      <c r="N64" s="117" t="s">
        <v>202</v>
      </c>
      <c r="O64" s="118">
        <f>O69-第7期!O69</f>
        <v>0</v>
      </c>
      <c r="P64" s="118">
        <f>P69-第7期!P69</f>
        <v>0</v>
      </c>
      <c r="Q64" s="118">
        <f>Q69-第7期!Q69</f>
        <v>0</v>
      </c>
      <c r="R64" s="118">
        <f>R69-第7期!R69</f>
        <v>0</v>
      </c>
      <c r="S64" s="74"/>
      <c r="T64" s="120"/>
      <c r="U64" s="74"/>
      <c r="V64" s="74"/>
      <c r="W64" s="74"/>
      <c r="X64" s="74"/>
      <c r="Y64" s="74"/>
      <c r="Z64" s="74"/>
      <c r="AA64" s="73"/>
      <c r="AB64" s="74"/>
      <c r="AC64" s="74"/>
      <c r="AD64" s="74"/>
      <c r="AE64" s="74"/>
      <c r="AF64" s="74"/>
      <c r="AG64" s="74"/>
      <c r="AH64" s="73"/>
      <c r="AI64" s="182"/>
      <c r="AJ64" s="183"/>
      <c r="AK64" s="183"/>
      <c r="AL64" s="183"/>
      <c r="AM64" s="183"/>
      <c r="AN64" s="183"/>
      <c r="AO64" s="183"/>
      <c r="AP64" s="183"/>
      <c r="AQ64" s="183"/>
      <c r="AR64" s="183"/>
      <c r="AS64" s="183"/>
      <c r="AT64" s="183"/>
      <c r="AU64" s="183"/>
      <c r="AV64" s="183"/>
      <c r="AW64" s="183"/>
      <c r="AX64" s="183"/>
      <c r="AY64" s="183"/>
      <c r="AZ64" s="193"/>
      <c r="BA64" s="195">
        <f t="shared" si="79"/>
        <v>0</v>
      </c>
      <c r="BB64" s="205">
        <f>IF(BT15=1,AL117/(第7期!AP117/2+AP117),0)</f>
        <v>0</v>
      </c>
      <c r="BC64" s="203"/>
      <c r="BD64" s="194">
        <f t="shared" si="80"/>
        <v>0</v>
      </c>
      <c r="BE64" s="209" t="e">
        <f t="shared" si="81"/>
        <v>#DIV/0!</v>
      </c>
      <c r="BF64" s="209" t="e">
        <f t="shared" si="81"/>
        <v>#DIV/0!</v>
      </c>
      <c r="BG64" s="209" t="e">
        <f t="shared" si="81"/>
        <v>#DIV/0!</v>
      </c>
      <c r="BH64" s="209" t="e">
        <f t="shared" si="81"/>
        <v>#DIV/0!</v>
      </c>
      <c r="BI64" s="203"/>
      <c r="BJ64" s="203"/>
      <c r="BK64" s="203"/>
      <c r="BL64" s="203"/>
      <c r="BM64" s="203"/>
      <c r="BN64" s="203"/>
      <c r="BO64" s="203"/>
      <c r="BP64" s="203"/>
      <c r="BQ64" s="203"/>
      <c r="BR64" s="211"/>
      <c r="BS64" s="211"/>
      <c r="BT64" s="211"/>
      <c r="BU64" s="211"/>
      <c r="BV64" s="211"/>
      <c r="BW64" s="211"/>
      <c r="BX64" s="211"/>
      <c r="BY64" s="211"/>
      <c r="BZ64" s="211"/>
      <c r="CA64" s="211"/>
      <c r="CB64" s="211"/>
      <c r="CC64" s="211"/>
      <c r="CD64" s="211"/>
      <c r="CE64" s="211"/>
      <c r="CF64" s="211"/>
      <c r="CG64" s="211"/>
      <c r="CH64" s="211"/>
      <c r="CI64" s="211"/>
      <c r="CJ64" s="211"/>
      <c r="CK64" s="203"/>
      <c r="CL64" s="203"/>
      <c r="CM64" s="203"/>
      <c r="CN64" s="203"/>
      <c r="CO64" s="203"/>
      <c r="CP64" s="203"/>
      <c r="CQ64" s="203"/>
      <c r="CR64" s="203"/>
      <c r="CS64" s="203"/>
    </row>
    <row r="65" s="61" customFormat="1" ht="16" customHeight="1" spans="1:97">
      <c r="A65" s="74"/>
      <c r="B65" s="74"/>
      <c r="C65" s="74"/>
      <c r="D65" s="74"/>
      <c r="E65" s="74"/>
      <c r="F65" s="74"/>
      <c r="G65" s="73"/>
      <c r="H65" s="68" t="s">
        <v>466</v>
      </c>
      <c r="I65" s="97"/>
      <c r="J65" s="97"/>
      <c r="K65" s="97"/>
      <c r="L65" s="97"/>
      <c r="M65" s="85"/>
      <c r="N65" s="117" t="s">
        <v>206</v>
      </c>
      <c r="O65" s="118">
        <f>O70-第7期!O70</f>
        <v>0</v>
      </c>
      <c r="P65" s="118">
        <f>P70-第7期!P70</f>
        <v>0</v>
      </c>
      <c r="Q65" s="118">
        <f>Q70-第7期!Q70</f>
        <v>0</v>
      </c>
      <c r="R65" s="118">
        <f>R70-第7期!R70</f>
        <v>0</v>
      </c>
      <c r="S65" s="74"/>
      <c r="T65" s="120"/>
      <c r="U65" s="68" t="s">
        <v>746</v>
      </c>
      <c r="V65" s="68" t="s">
        <v>459</v>
      </c>
      <c r="W65" s="68" t="s">
        <v>460</v>
      </c>
      <c r="X65" s="68" t="s">
        <v>461</v>
      </c>
      <c r="Y65" s="68" t="s">
        <v>462</v>
      </c>
      <c r="Z65" s="74"/>
      <c r="AA65" s="73"/>
      <c r="AB65" s="74"/>
      <c r="AC65" s="74"/>
      <c r="AD65" s="74"/>
      <c r="AE65" s="74"/>
      <c r="AF65" s="74"/>
      <c r="AG65" s="74"/>
      <c r="AH65" s="73"/>
      <c r="AI65" s="182"/>
      <c r="AJ65" s="183"/>
      <c r="AK65" s="183"/>
      <c r="AL65" s="183"/>
      <c r="AM65" s="183"/>
      <c r="AN65" s="183"/>
      <c r="AO65" s="183"/>
      <c r="AP65" s="183"/>
      <c r="AQ65" s="183"/>
      <c r="AR65" s="183"/>
      <c r="AS65" s="183"/>
      <c r="AT65" s="183"/>
      <c r="AU65" s="183"/>
      <c r="AV65" s="183"/>
      <c r="AW65" s="183"/>
      <c r="AX65" s="183"/>
      <c r="AY65" s="183"/>
      <c r="AZ65" s="193"/>
      <c r="BA65" s="195">
        <f t="shared" si="79"/>
        <v>0</v>
      </c>
      <c r="BB65" s="205">
        <f>IF(BT16=1,AL118/(第7期!AP118/2+AP118),0)</f>
        <v>0</v>
      </c>
      <c r="BC65" s="203"/>
      <c r="BD65" s="194">
        <f t="shared" si="80"/>
        <v>0</v>
      </c>
      <c r="BE65" s="209" t="e">
        <f t="shared" si="81"/>
        <v>#DIV/0!</v>
      </c>
      <c r="BF65" s="209" t="e">
        <f t="shared" si="81"/>
        <v>#DIV/0!</v>
      </c>
      <c r="BG65" s="209" t="e">
        <f t="shared" si="81"/>
        <v>#DIV/0!</v>
      </c>
      <c r="BH65" s="209" t="e">
        <f t="shared" si="81"/>
        <v>#DIV/0!</v>
      </c>
      <c r="BI65" s="203"/>
      <c r="BJ65" s="203"/>
      <c r="BK65" s="203"/>
      <c r="BL65" s="203"/>
      <c r="BM65" s="203"/>
      <c r="BN65" s="203"/>
      <c r="BO65" s="203"/>
      <c r="BP65" s="203"/>
      <c r="BQ65" s="203"/>
      <c r="BR65" s="211"/>
      <c r="BS65" s="211"/>
      <c r="BT65" s="211"/>
      <c r="BU65" s="211"/>
      <c r="BV65" s="211"/>
      <c r="BW65" s="211"/>
      <c r="BX65" s="211"/>
      <c r="BY65" s="211"/>
      <c r="BZ65" s="211"/>
      <c r="CA65" s="211"/>
      <c r="CB65" s="211"/>
      <c r="CC65" s="211"/>
      <c r="CD65" s="211"/>
      <c r="CE65" s="211"/>
      <c r="CF65" s="211"/>
      <c r="CG65" s="211"/>
      <c r="CH65" s="211"/>
      <c r="CI65" s="211"/>
      <c r="CJ65" s="211"/>
      <c r="CK65" s="203"/>
      <c r="CL65" s="203"/>
      <c r="CM65" s="203"/>
      <c r="CN65" s="203"/>
      <c r="CO65" s="203"/>
      <c r="CP65" s="203"/>
      <c r="CQ65" s="203"/>
      <c r="CR65" s="203"/>
      <c r="CS65" s="203"/>
    </row>
    <row r="66" s="61" customFormat="1" ht="16" customHeight="1" spans="1:97">
      <c r="A66" s="68" t="s">
        <v>423</v>
      </c>
      <c r="B66" s="69"/>
      <c r="C66" s="69"/>
      <c r="D66" s="74"/>
      <c r="E66" s="68" t="s">
        <v>448</v>
      </c>
      <c r="F66" s="69"/>
      <c r="G66" s="73"/>
      <c r="H66" s="68" t="s">
        <v>468</v>
      </c>
      <c r="I66" s="97"/>
      <c r="J66" s="97"/>
      <c r="K66" s="97"/>
      <c r="L66" s="97"/>
      <c r="M66" s="85"/>
      <c r="N66" s="117" t="s">
        <v>208</v>
      </c>
      <c r="O66" s="118">
        <f>O71-第7期!O71</f>
        <v>0</v>
      </c>
      <c r="P66" s="118">
        <f>P71-第7期!P71</f>
        <v>0</v>
      </c>
      <c r="Q66" s="118">
        <f>Q71-第7期!Q71</f>
        <v>0</v>
      </c>
      <c r="R66" s="118">
        <f>R71-第7期!R71</f>
        <v>0</v>
      </c>
      <c r="S66" s="74"/>
      <c r="T66" s="120"/>
      <c r="U66" s="68" t="s">
        <v>464</v>
      </c>
      <c r="V66" s="150">
        <f>ABS(IF(AB54=0,0,V60/AB54))</f>
        <v>0</v>
      </c>
      <c r="W66" s="150">
        <f t="shared" ref="W66:Y69" si="86">ABS(IF(AC54=0,0,W60/AC54))</f>
        <v>0</v>
      </c>
      <c r="X66" s="150">
        <f t="shared" si="86"/>
        <v>0</v>
      </c>
      <c r="Y66" s="150">
        <f t="shared" si="86"/>
        <v>0</v>
      </c>
      <c r="Z66" s="74"/>
      <c r="AA66" s="73"/>
      <c r="AB66" s="74"/>
      <c r="AC66" s="74"/>
      <c r="AD66" s="74"/>
      <c r="AE66" s="74"/>
      <c r="AF66" s="74"/>
      <c r="AG66" s="74"/>
      <c r="AH66" s="73"/>
      <c r="AI66" s="182"/>
      <c r="AJ66" s="183"/>
      <c r="AK66" s="183"/>
      <c r="AL66" s="183"/>
      <c r="AM66" s="183"/>
      <c r="AN66" s="183"/>
      <c r="AO66" s="183"/>
      <c r="AP66" s="183"/>
      <c r="AQ66" s="183"/>
      <c r="AR66" s="183"/>
      <c r="AS66" s="183"/>
      <c r="AT66" s="183"/>
      <c r="AU66" s="183"/>
      <c r="AV66" s="183"/>
      <c r="AW66" s="183"/>
      <c r="AX66" s="183"/>
      <c r="AY66" s="183"/>
      <c r="AZ66" s="193"/>
      <c r="BA66" s="195">
        <f t="shared" si="79"/>
        <v>0</v>
      </c>
      <c r="BB66" s="205">
        <f>IF(BT17=1,AL119/(第7期!AP119/2+AP119),0)</f>
        <v>0</v>
      </c>
      <c r="BC66" s="203"/>
      <c r="BD66" s="194">
        <f t="shared" si="80"/>
        <v>0</v>
      </c>
      <c r="BE66" s="209" t="e">
        <f t="shared" si="81"/>
        <v>#DIV/0!</v>
      </c>
      <c r="BF66" s="209" t="e">
        <f t="shared" si="81"/>
        <v>#DIV/0!</v>
      </c>
      <c r="BG66" s="209" t="e">
        <f t="shared" si="81"/>
        <v>#DIV/0!</v>
      </c>
      <c r="BH66" s="209" t="e">
        <f t="shared" si="81"/>
        <v>#DIV/0!</v>
      </c>
      <c r="BI66" s="203"/>
      <c r="BJ66" s="203"/>
      <c r="BK66" s="203"/>
      <c r="BL66" s="203"/>
      <c r="BM66" s="203"/>
      <c r="BN66" s="203"/>
      <c r="BO66" s="203"/>
      <c r="BP66" s="203"/>
      <c r="BQ66" s="203"/>
      <c r="BR66" s="211"/>
      <c r="BS66" s="211"/>
      <c r="BT66" s="211"/>
      <c r="BU66" s="211"/>
      <c r="BV66" s="211"/>
      <c r="BW66" s="211"/>
      <c r="BX66" s="211"/>
      <c r="BY66" s="211"/>
      <c r="BZ66" s="211"/>
      <c r="CA66" s="211"/>
      <c r="CB66" s="211"/>
      <c r="CC66" s="211"/>
      <c r="CD66" s="211"/>
      <c r="CE66" s="211"/>
      <c r="CF66" s="211"/>
      <c r="CG66" s="211"/>
      <c r="CH66" s="211"/>
      <c r="CI66" s="211"/>
      <c r="CJ66" s="211"/>
      <c r="CK66" s="203"/>
      <c r="CL66" s="203"/>
      <c r="CM66" s="203"/>
      <c r="CN66" s="203"/>
      <c r="CO66" s="203"/>
      <c r="CP66" s="203"/>
      <c r="CQ66" s="203"/>
      <c r="CR66" s="203"/>
      <c r="CS66" s="203"/>
    </row>
    <row r="67" s="61" customFormat="1" ht="16" customHeight="1" spans="1:97">
      <c r="A67" s="68" t="s">
        <v>795</v>
      </c>
      <c r="B67" s="68" t="s">
        <v>796</v>
      </c>
      <c r="C67" s="68" t="s">
        <v>797</v>
      </c>
      <c r="D67" s="74"/>
      <c r="E67" s="163" t="s">
        <v>798</v>
      </c>
      <c r="F67" s="163" t="s">
        <v>799</v>
      </c>
      <c r="G67" s="73"/>
      <c r="H67" s="68" t="s">
        <v>687</v>
      </c>
      <c r="I67" s="69" t="str">
        <f>I62</f>
        <v>市场1</v>
      </c>
      <c r="J67" s="69" t="str">
        <f>J62</f>
        <v>市场2</v>
      </c>
      <c r="K67" s="69" t="str">
        <f>K62</f>
        <v>市场3</v>
      </c>
      <c r="L67" s="69" t="str">
        <f>L62</f>
        <v>市场4</v>
      </c>
      <c r="M67" s="241" t="s">
        <v>693</v>
      </c>
      <c r="N67" s="117" t="s">
        <v>729</v>
      </c>
      <c r="O67" s="117" t="s">
        <v>38</v>
      </c>
      <c r="P67" s="117" t="s">
        <v>39</v>
      </c>
      <c r="Q67" s="117" t="s">
        <v>40</v>
      </c>
      <c r="R67" s="117" t="s">
        <v>41</v>
      </c>
      <c r="S67" s="74"/>
      <c r="T67" s="120"/>
      <c r="U67" s="68" t="s">
        <v>465</v>
      </c>
      <c r="V67" s="150">
        <f t="shared" ref="V67:V69" si="87">ABS(IF(AB55=0,0,V61/AB55))</f>
        <v>0</v>
      </c>
      <c r="W67" s="150">
        <f t="shared" si="86"/>
        <v>0</v>
      </c>
      <c r="X67" s="150">
        <f t="shared" si="86"/>
        <v>0</v>
      </c>
      <c r="Y67" s="150">
        <f t="shared" si="86"/>
        <v>0</v>
      </c>
      <c r="Z67" s="74"/>
      <c r="AA67" s="73"/>
      <c r="AB67" s="74"/>
      <c r="AC67" s="74"/>
      <c r="AD67" s="74"/>
      <c r="AE67" s="74"/>
      <c r="AF67" s="74"/>
      <c r="AG67" s="74"/>
      <c r="AH67" s="73"/>
      <c r="AI67" s="182"/>
      <c r="AJ67" s="183"/>
      <c r="AK67" s="183"/>
      <c r="AL67" s="183"/>
      <c r="AM67" s="183"/>
      <c r="AN67" s="183"/>
      <c r="AO67" s="183"/>
      <c r="AP67" s="183"/>
      <c r="AQ67" s="183"/>
      <c r="AR67" s="183"/>
      <c r="AS67" s="183"/>
      <c r="AT67" s="183"/>
      <c r="AU67" s="183"/>
      <c r="AV67" s="183"/>
      <c r="AW67" s="183"/>
      <c r="AX67" s="183"/>
      <c r="AY67" s="183"/>
      <c r="AZ67" s="193"/>
      <c r="BA67" s="195">
        <f t="shared" si="79"/>
        <v>0</v>
      </c>
      <c r="BB67" s="205">
        <f>IF(BT18=1,AL120/(第7期!AP120/2+AP120),0)</f>
        <v>0</v>
      </c>
      <c r="BC67" s="203"/>
      <c r="BD67" s="194">
        <f t="shared" si="80"/>
        <v>0</v>
      </c>
      <c r="BE67" s="209" t="e">
        <f t="shared" si="81"/>
        <v>#DIV/0!</v>
      </c>
      <c r="BF67" s="209" t="e">
        <f t="shared" si="81"/>
        <v>#DIV/0!</v>
      </c>
      <c r="BG67" s="209" t="e">
        <f t="shared" si="81"/>
        <v>#DIV/0!</v>
      </c>
      <c r="BH67" s="209" t="e">
        <f t="shared" si="81"/>
        <v>#DIV/0!</v>
      </c>
      <c r="BI67" s="203"/>
      <c r="BJ67" s="203"/>
      <c r="BK67" s="203"/>
      <c r="BL67" s="203"/>
      <c r="BM67" s="203"/>
      <c r="BN67" s="203"/>
      <c r="BO67" s="203"/>
      <c r="BP67" s="203"/>
      <c r="BQ67" s="203"/>
      <c r="BR67" s="211"/>
      <c r="BS67" s="211"/>
      <c r="BT67" s="211"/>
      <c r="BU67" s="211"/>
      <c r="BV67" s="211"/>
      <c r="BW67" s="211"/>
      <c r="BX67" s="211"/>
      <c r="BY67" s="211"/>
      <c r="BZ67" s="211"/>
      <c r="CA67" s="211"/>
      <c r="CB67" s="211"/>
      <c r="CC67" s="211"/>
      <c r="CD67" s="211"/>
      <c r="CE67" s="211"/>
      <c r="CF67" s="211"/>
      <c r="CG67" s="211"/>
      <c r="CH67" s="211"/>
      <c r="CI67" s="211"/>
      <c r="CJ67" s="211"/>
      <c r="CK67" s="203"/>
      <c r="CL67" s="203"/>
      <c r="CM67" s="203"/>
      <c r="CN67" s="203"/>
      <c r="CO67" s="203"/>
      <c r="CP67" s="203"/>
      <c r="CQ67" s="203"/>
      <c r="CR67" s="203"/>
      <c r="CS67" s="203"/>
    </row>
    <row r="68" s="61" customFormat="1" ht="16" customHeight="1" spans="1:97">
      <c r="A68" s="68" t="s">
        <v>800</v>
      </c>
      <c r="B68" s="77" t="e">
        <f>F64</f>
        <v>#DIV/0!</v>
      </c>
      <c r="C68" s="77" t="e">
        <f>B68</f>
        <v>#DIV/0!</v>
      </c>
      <c r="D68" s="74"/>
      <c r="E68" s="163" t="s">
        <v>345</v>
      </c>
      <c r="F68" s="235">
        <f>L17</f>
        <v>0</v>
      </c>
      <c r="G68" s="73"/>
      <c r="H68" s="69" t="str">
        <f>H63</f>
        <v>产品1</v>
      </c>
      <c r="I68" s="77">
        <f t="shared" ref="I68:L71" si="88">V84</f>
        <v>0</v>
      </c>
      <c r="J68" s="77">
        <f t="shared" si="88"/>
        <v>0</v>
      </c>
      <c r="K68" s="77">
        <f t="shared" si="88"/>
        <v>0</v>
      </c>
      <c r="L68" s="77">
        <f t="shared" si="88"/>
        <v>0</v>
      </c>
      <c r="M68" s="242">
        <f>SUM(I63:L63)</f>
        <v>0</v>
      </c>
      <c r="N68" s="117" t="s">
        <v>198</v>
      </c>
      <c r="O68" s="118">
        <f>IF(V17-第7期!V17=0,0,IF((V23-第7期!V23)/(V17-第7期!V17)&gt;=0,(V23-第7期!V23)/(V17-第7期!V17),-(V23-第7期!V23)/(V17-第7期!V17)))</f>
        <v>0</v>
      </c>
      <c r="P68" s="118">
        <f>IF(W17-第7期!W17=0,0,IF((W23-第7期!W23)/(W17-第7期!W17)&gt;=0,(W23-第7期!W23)/(W17-第7期!W17),-(W23-第7期!W23)/(W17-第7期!W17)))</f>
        <v>0</v>
      </c>
      <c r="Q68" s="118">
        <f>IF(X17-第7期!X17=0,0,IF((X23-第7期!X23)/(X17-第7期!X17)&gt;=0,(X23-第7期!X23)/(X17-第7期!X17),-(X23-第7期!X23)/(X17-第7期!X17)))</f>
        <v>0</v>
      </c>
      <c r="R68" s="118">
        <f>IF(Y17-第7期!Y17=0,0,IF((Y23-第7期!Y23)/(Y17-第7期!Y17)&gt;=0,(Y23-第7期!Y23)/(Y17-第7期!Y17),-(Y23-第7期!Y23)/(Y17-第7期!Y17)))</f>
        <v>0</v>
      </c>
      <c r="S68" s="74"/>
      <c r="T68" s="120"/>
      <c r="U68" s="68" t="s">
        <v>466</v>
      </c>
      <c r="V68" s="150">
        <f t="shared" si="87"/>
        <v>0</v>
      </c>
      <c r="W68" s="150">
        <f t="shared" si="86"/>
        <v>0</v>
      </c>
      <c r="X68" s="150">
        <f t="shared" si="86"/>
        <v>0</v>
      </c>
      <c r="Y68" s="150">
        <f t="shared" si="86"/>
        <v>0</v>
      </c>
      <c r="Z68" s="74"/>
      <c r="AA68" s="73"/>
      <c r="AB68" s="74"/>
      <c r="AC68" s="74"/>
      <c r="AD68" s="74"/>
      <c r="AE68" s="74"/>
      <c r="AF68" s="74"/>
      <c r="AG68" s="74"/>
      <c r="AH68" s="73"/>
      <c r="AI68" s="182"/>
      <c r="AJ68" s="183"/>
      <c r="AK68" s="183"/>
      <c r="AL68" s="183"/>
      <c r="AM68" s="183"/>
      <c r="AN68" s="183"/>
      <c r="AO68" s="183"/>
      <c r="AP68" s="183"/>
      <c r="AQ68" s="183"/>
      <c r="AR68" s="183"/>
      <c r="AS68" s="183"/>
      <c r="AT68" s="183"/>
      <c r="AU68" s="183"/>
      <c r="AV68" s="183"/>
      <c r="AW68" s="183"/>
      <c r="AX68" s="183"/>
      <c r="AY68" s="183"/>
      <c r="AZ68" s="193"/>
      <c r="BA68" s="195">
        <f t="shared" si="79"/>
        <v>0</v>
      </c>
      <c r="BB68" s="205">
        <f>IF(BT19=1,AL121/(第7期!AP121/2+AP121),0)</f>
        <v>0</v>
      </c>
      <c r="BC68" s="203"/>
      <c r="BD68" s="194">
        <f t="shared" si="80"/>
        <v>0</v>
      </c>
      <c r="BE68" s="209" t="e">
        <f t="shared" si="81"/>
        <v>#DIV/0!</v>
      </c>
      <c r="BF68" s="209" t="e">
        <f t="shared" si="81"/>
        <v>#DIV/0!</v>
      </c>
      <c r="BG68" s="209" t="e">
        <f t="shared" si="81"/>
        <v>#DIV/0!</v>
      </c>
      <c r="BH68" s="209" t="e">
        <f t="shared" si="81"/>
        <v>#DIV/0!</v>
      </c>
      <c r="BI68" s="203"/>
      <c r="BJ68" s="203"/>
      <c r="BK68" s="203"/>
      <c r="BL68" s="203"/>
      <c r="BM68" s="203"/>
      <c r="BN68" s="203"/>
      <c r="BO68" s="203"/>
      <c r="BP68" s="203"/>
      <c r="BQ68" s="203"/>
      <c r="BR68" s="211"/>
      <c r="BS68" s="211"/>
      <c r="BT68" s="211"/>
      <c r="BU68" s="211"/>
      <c r="BV68" s="211"/>
      <c r="BW68" s="211"/>
      <c r="BX68" s="211"/>
      <c r="BY68" s="211"/>
      <c r="BZ68" s="211"/>
      <c r="CA68" s="211"/>
      <c r="CB68" s="211"/>
      <c r="CC68" s="211"/>
      <c r="CD68" s="211"/>
      <c r="CE68" s="211"/>
      <c r="CF68" s="211"/>
      <c r="CG68" s="211"/>
      <c r="CH68" s="211"/>
      <c r="CI68" s="211"/>
      <c r="CJ68" s="211"/>
      <c r="CK68" s="203"/>
      <c r="CL68" s="203"/>
      <c r="CM68" s="203"/>
      <c r="CN68" s="203"/>
      <c r="CO68" s="203"/>
      <c r="CP68" s="203"/>
      <c r="CQ68" s="203"/>
      <c r="CR68" s="203"/>
      <c r="CS68" s="203"/>
    </row>
    <row r="69" s="61" customFormat="1" ht="16" customHeight="1" spans="1:97">
      <c r="A69" s="68" t="s">
        <v>801</v>
      </c>
      <c r="B69" s="77">
        <f>D24</f>
        <v>0</v>
      </c>
      <c r="C69" s="77" t="e">
        <f t="shared" ref="C69:C76" si="89">C68+B69</f>
        <v>#DIV/0!</v>
      </c>
      <c r="D69" s="74"/>
      <c r="E69" s="163" t="s">
        <v>346</v>
      </c>
      <c r="F69" s="235" t="e">
        <f>O49</f>
        <v>#DIV/0!</v>
      </c>
      <c r="G69" s="73"/>
      <c r="H69" s="69" t="str">
        <f>H64</f>
        <v>产品2</v>
      </c>
      <c r="I69" s="77">
        <f t="shared" si="88"/>
        <v>0</v>
      </c>
      <c r="J69" s="77">
        <f t="shared" si="88"/>
        <v>0</v>
      </c>
      <c r="K69" s="77">
        <f t="shared" si="88"/>
        <v>0</v>
      </c>
      <c r="L69" s="77">
        <f t="shared" si="88"/>
        <v>0</v>
      </c>
      <c r="M69" s="242">
        <f>SUM(I64:L64)</f>
        <v>0</v>
      </c>
      <c r="N69" s="117" t="s">
        <v>202</v>
      </c>
      <c r="O69" s="118">
        <f>IF(V18-第7期!V18=0,0,IF((V24-第7期!V24)/(V18-第7期!V18)&gt;=0,(V24-第7期!V24)/(V18-第7期!V18),-(V24-第7期!V24)/(V18-第7期!V18)))</f>
        <v>0</v>
      </c>
      <c r="P69" s="118">
        <f>IF(W18-第7期!W18=0,0,IF((W24-第7期!W24)/(W18-第7期!W18)&gt;=0,(W24-第7期!W24)/(W18-第7期!W18),-(W24-第7期!W24)/(W18-第7期!W18)))</f>
        <v>0</v>
      </c>
      <c r="Q69" s="118">
        <f>IF(X18-第7期!X18=0,0,IF((X24-第7期!X24)/(X18-第7期!X18)&gt;=0,(X24-第7期!X24)/(X18-第7期!X18),-(X24-第7期!X24)/(X18-第7期!X18)))</f>
        <v>0</v>
      </c>
      <c r="R69" s="118">
        <f>IF(Y18-第7期!Y18=0,0,IF((Y24-第7期!Y24)/(Y18-第7期!Y18)&gt;=0,(Y24-第7期!Y24)/(Y18-第7期!Y18),-(Y24-第7期!Y24)/(Y18-第7期!Y18)))</f>
        <v>0</v>
      </c>
      <c r="S69" s="74"/>
      <c r="T69" s="120"/>
      <c r="U69" s="68" t="s">
        <v>468</v>
      </c>
      <c r="V69" s="150">
        <f t="shared" si="87"/>
        <v>0</v>
      </c>
      <c r="W69" s="150">
        <f t="shared" si="86"/>
        <v>0</v>
      </c>
      <c r="X69" s="150">
        <f t="shared" si="86"/>
        <v>0</v>
      </c>
      <c r="Y69" s="150">
        <f t="shared" si="86"/>
        <v>0</v>
      </c>
      <c r="Z69" s="74"/>
      <c r="AA69" s="73"/>
      <c r="AB69" s="74"/>
      <c r="AC69" s="74"/>
      <c r="AD69" s="74"/>
      <c r="AE69" s="74"/>
      <c r="AF69" s="74"/>
      <c r="AG69" s="74"/>
      <c r="AH69" s="73"/>
      <c r="AI69" s="182"/>
      <c r="AJ69" s="183"/>
      <c r="AK69" s="183"/>
      <c r="AL69" s="183"/>
      <c r="AM69" s="183"/>
      <c r="AN69" s="183"/>
      <c r="AO69" s="183"/>
      <c r="AP69" s="183"/>
      <c r="AQ69" s="183"/>
      <c r="AR69" s="183"/>
      <c r="AS69" s="183"/>
      <c r="AT69" s="183"/>
      <c r="AU69" s="183"/>
      <c r="AV69" s="183"/>
      <c r="AW69" s="183"/>
      <c r="AX69" s="183"/>
      <c r="AY69" s="183"/>
      <c r="AZ69" s="193"/>
      <c r="BA69" s="195">
        <f t="shared" si="79"/>
        <v>0</v>
      </c>
      <c r="BB69" s="205">
        <f>IF(BT20=1,AL122/(第7期!AP122/2+AP122),0)</f>
        <v>0</v>
      </c>
      <c r="BC69" s="203"/>
      <c r="BD69" s="194">
        <f t="shared" si="80"/>
        <v>0</v>
      </c>
      <c r="BE69" s="209" t="e">
        <f t="shared" si="81"/>
        <v>#DIV/0!</v>
      </c>
      <c r="BF69" s="209" t="e">
        <f t="shared" si="81"/>
        <v>#DIV/0!</v>
      </c>
      <c r="BG69" s="209" t="e">
        <f t="shared" si="81"/>
        <v>#DIV/0!</v>
      </c>
      <c r="BH69" s="209" t="e">
        <f t="shared" si="81"/>
        <v>#DIV/0!</v>
      </c>
      <c r="BI69" s="203"/>
      <c r="BJ69" s="203"/>
      <c r="BK69" s="203"/>
      <c r="BL69" s="203"/>
      <c r="BM69" s="203"/>
      <c r="BN69" s="203"/>
      <c r="BO69" s="203"/>
      <c r="BP69" s="203"/>
      <c r="BQ69" s="203"/>
      <c r="BR69" s="211"/>
      <c r="BS69" s="211"/>
      <c r="BT69" s="211"/>
      <c r="BU69" s="211"/>
      <c r="BV69" s="211"/>
      <c r="BW69" s="211"/>
      <c r="BX69" s="211"/>
      <c r="BY69" s="211"/>
      <c r="BZ69" s="211"/>
      <c r="CA69" s="211"/>
      <c r="CB69" s="211"/>
      <c r="CC69" s="211"/>
      <c r="CD69" s="211"/>
      <c r="CE69" s="211"/>
      <c r="CF69" s="211"/>
      <c r="CG69" s="211"/>
      <c r="CH69" s="211"/>
      <c r="CI69" s="211"/>
      <c r="CJ69" s="211"/>
      <c r="CK69" s="203"/>
      <c r="CL69" s="203"/>
      <c r="CM69" s="203"/>
      <c r="CN69" s="203"/>
      <c r="CO69" s="203"/>
      <c r="CP69" s="203"/>
      <c r="CQ69" s="203"/>
      <c r="CR69" s="203"/>
      <c r="CS69" s="203"/>
    </row>
    <row r="70" s="61" customFormat="1" ht="16" customHeight="1" spans="1:97">
      <c r="A70" s="68" t="s">
        <v>441</v>
      </c>
      <c r="B70" s="77">
        <f>L43</f>
        <v>0</v>
      </c>
      <c r="C70" s="77" t="e">
        <f t="shared" si="89"/>
        <v>#DIV/0!</v>
      </c>
      <c r="D70" s="74"/>
      <c r="E70" s="163" t="s">
        <v>441</v>
      </c>
      <c r="F70" s="236">
        <f>L43</f>
        <v>0</v>
      </c>
      <c r="G70" s="73"/>
      <c r="H70" s="69" t="str">
        <f>H65</f>
        <v>产品3</v>
      </c>
      <c r="I70" s="77">
        <f t="shared" si="88"/>
        <v>0</v>
      </c>
      <c r="J70" s="77">
        <f t="shared" si="88"/>
        <v>0</v>
      </c>
      <c r="K70" s="77">
        <f t="shared" si="88"/>
        <v>0</v>
      </c>
      <c r="L70" s="77">
        <f t="shared" si="88"/>
        <v>0</v>
      </c>
      <c r="M70" s="242">
        <f>SUM(I65:L65)</f>
        <v>0</v>
      </c>
      <c r="N70" s="117" t="s">
        <v>206</v>
      </c>
      <c r="O70" s="118">
        <f>IF(V19-第7期!V19=0,0,IF((V25-第7期!V25)/(V19-第7期!V19)&gt;=0,(V25-第7期!V25)/(V19-第7期!V19),-(V25-第7期!V25)/(V19-第7期!V19)))</f>
        <v>0</v>
      </c>
      <c r="P70" s="118">
        <f>IF(W19-第7期!W19=0,0,IF((W25-第7期!W25)/(W19-第7期!W19)&gt;=0,(W25-第7期!W25)/(W19-第7期!W19),-(W25-第7期!W25)/(W19-第7期!W19)))</f>
        <v>0</v>
      </c>
      <c r="Q70" s="118">
        <f>IF(X19-第7期!X19=0,0,IF((X25-第7期!X25)/(X19-第7期!X19)&gt;=0,(X25-第7期!X25)/(X19-第7期!X19),-(X25-第7期!X25)/(X19-第7期!X19)))</f>
        <v>0</v>
      </c>
      <c r="R70" s="118">
        <f>IF(Y19-第7期!Y19=0,0,IF((Y25-第7期!Y25)/(Y19-第7期!Y19)&gt;=0,(Y25-第7期!Y25)/(Y19-第7期!Y19),-(Y25-第7期!Y25)/(Y19-第7期!Y19)))</f>
        <v>0</v>
      </c>
      <c r="S70" s="74"/>
      <c r="T70" s="120"/>
      <c r="U70" s="74"/>
      <c r="V70" s="74"/>
      <c r="W70" s="74"/>
      <c r="X70" s="74"/>
      <c r="Y70" s="74"/>
      <c r="Z70" s="74"/>
      <c r="AA70" s="73"/>
      <c r="AB70" s="74"/>
      <c r="AC70" s="74"/>
      <c r="AD70" s="74"/>
      <c r="AE70" s="74"/>
      <c r="AF70" s="74"/>
      <c r="AG70" s="74"/>
      <c r="AH70" s="73"/>
      <c r="AI70" s="182"/>
      <c r="AJ70" s="183"/>
      <c r="AK70" s="183"/>
      <c r="AL70" s="183"/>
      <c r="AM70" s="183"/>
      <c r="AN70" s="183"/>
      <c r="AO70" s="183"/>
      <c r="AP70" s="183"/>
      <c r="AQ70" s="183"/>
      <c r="AR70" s="183"/>
      <c r="AS70" s="183"/>
      <c r="AT70" s="183"/>
      <c r="AU70" s="183"/>
      <c r="AV70" s="183"/>
      <c r="AW70" s="183"/>
      <c r="AX70" s="183"/>
      <c r="AY70" s="183"/>
      <c r="AZ70" s="193"/>
      <c r="BA70" s="195">
        <f t="shared" si="79"/>
        <v>0</v>
      </c>
      <c r="BB70" s="205">
        <f>IF(BT21=1,AL123/(第7期!AP123/2+AP123),0)</f>
        <v>0</v>
      </c>
      <c r="BC70" s="203"/>
      <c r="BD70" s="194">
        <f t="shared" si="80"/>
        <v>0</v>
      </c>
      <c r="BE70" s="209" t="e">
        <f t="shared" si="81"/>
        <v>#DIV/0!</v>
      </c>
      <c r="BF70" s="209" t="e">
        <f t="shared" si="81"/>
        <v>#DIV/0!</v>
      </c>
      <c r="BG70" s="209" t="e">
        <f t="shared" si="81"/>
        <v>#DIV/0!</v>
      </c>
      <c r="BH70" s="209" t="e">
        <f t="shared" si="81"/>
        <v>#DIV/0!</v>
      </c>
      <c r="BI70" s="203"/>
      <c r="BJ70" s="203"/>
      <c r="BK70" s="203"/>
      <c r="BL70" s="203"/>
      <c r="BM70" s="203"/>
      <c r="BN70" s="203"/>
      <c r="BO70" s="203"/>
      <c r="BP70" s="203"/>
      <c r="BQ70" s="203"/>
      <c r="BR70" s="211"/>
      <c r="BS70" s="211"/>
      <c r="BT70" s="211"/>
      <c r="BU70" s="211"/>
      <c r="BV70" s="211"/>
      <c r="BW70" s="211"/>
      <c r="BX70" s="211"/>
      <c r="BY70" s="211"/>
      <c r="BZ70" s="211"/>
      <c r="CA70" s="211"/>
      <c r="CB70" s="211"/>
      <c r="CC70" s="211"/>
      <c r="CD70" s="211"/>
      <c r="CE70" s="211"/>
      <c r="CF70" s="211"/>
      <c r="CG70" s="211"/>
      <c r="CH70" s="211"/>
      <c r="CI70" s="211"/>
      <c r="CJ70" s="211"/>
      <c r="CK70" s="203"/>
      <c r="CL70" s="203"/>
      <c r="CM70" s="203"/>
      <c r="CN70" s="203"/>
      <c r="CO70" s="203"/>
      <c r="CP70" s="203"/>
      <c r="CQ70" s="203"/>
      <c r="CR70" s="203"/>
      <c r="CS70" s="203"/>
    </row>
    <row r="71" s="61" customFormat="1" ht="16" customHeight="1" spans="1:97">
      <c r="A71" s="68" t="s">
        <v>802</v>
      </c>
      <c r="B71" s="77">
        <f>(SUM(AP9:AP12)+I56)*初始化表!E22</f>
        <v>0</v>
      </c>
      <c r="C71" s="77" t="e">
        <f t="shared" si="89"/>
        <v>#DIV/0!</v>
      </c>
      <c r="D71" s="74"/>
      <c r="E71" s="163" t="s">
        <v>697</v>
      </c>
      <c r="F71" s="236" t="e">
        <f>F64</f>
        <v>#DIV/0!</v>
      </c>
      <c r="G71" s="73"/>
      <c r="H71" s="69" t="str">
        <f>H66</f>
        <v>产品4</v>
      </c>
      <c r="I71" s="77">
        <f t="shared" si="88"/>
        <v>0</v>
      </c>
      <c r="J71" s="77">
        <f t="shared" si="88"/>
        <v>0</v>
      </c>
      <c r="K71" s="77">
        <f t="shared" si="88"/>
        <v>0</v>
      </c>
      <c r="L71" s="77">
        <f t="shared" si="88"/>
        <v>0</v>
      </c>
      <c r="M71" s="242">
        <f>SUM(I66:L66)</f>
        <v>0</v>
      </c>
      <c r="N71" s="117" t="s">
        <v>208</v>
      </c>
      <c r="O71" s="118">
        <f>IF(V20-第7期!V20=0,0,IF((V26-第7期!V26)/(V20-第7期!V20)&gt;=0,(V26-第7期!V26)/(V20-第7期!V20),-(V26-第7期!V26)/(V20-第7期!V20)))</f>
        <v>0</v>
      </c>
      <c r="P71" s="118">
        <f>IF(W20-第7期!W20=0,0,IF((W26-第7期!W26)/(W20-第7期!W20)&gt;=0,(W26-第7期!W26)/(W20-第7期!W20),-(W26-第7期!W26)/(W20-第7期!W20)))</f>
        <v>0</v>
      </c>
      <c r="Q71" s="118">
        <f>IF(X20-第7期!X20=0,0,IF((X26-第7期!X26)/(X20-第7期!X20)&gt;=0,(X26-第7期!X26)/(X20-第7期!X20),-(X26-第7期!X26)/(X20-第7期!X20)))</f>
        <v>0</v>
      </c>
      <c r="R71" s="118">
        <f>IF(Y20-第7期!Y20=0,0,IF((Y26-第7期!Y26)/(Y20-第7期!Y20)&gt;=0,(Y26-第7期!Y26)/(Y20-第7期!Y20),-(Y26-第7期!Y26)/(Y20-第7期!Y20)))</f>
        <v>0</v>
      </c>
      <c r="S71" s="74"/>
      <c r="T71" s="120"/>
      <c r="U71" s="68" t="s">
        <v>656</v>
      </c>
      <c r="V71" s="68" t="s">
        <v>459</v>
      </c>
      <c r="W71" s="68" t="s">
        <v>460</v>
      </c>
      <c r="X71" s="68" t="s">
        <v>461</v>
      </c>
      <c r="Y71" s="68" t="s">
        <v>462</v>
      </c>
      <c r="Z71" s="74"/>
      <c r="AA71" s="73"/>
      <c r="AB71" s="74"/>
      <c r="AC71" s="74"/>
      <c r="AD71" s="74"/>
      <c r="AE71" s="74"/>
      <c r="AF71" s="74"/>
      <c r="AG71" s="74"/>
      <c r="AH71" s="73"/>
      <c r="AI71" s="182"/>
      <c r="AJ71" s="183"/>
      <c r="AK71" s="183"/>
      <c r="AL71" s="183"/>
      <c r="AM71" s="183"/>
      <c r="AN71" s="183"/>
      <c r="AO71" s="183"/>
      <c r="AP71" s="183"/>
      <c r="AQ71" s="183"/>
      <c r="AR71" s="183"/>
      <c r="AS71" s="183"/>
      <c r="AT71" s="183"/>
      <c r="AU71" s="183"/>
      <c r="AV71" s="183"/>
      <c r="AW71" s="183"/>
      <c r="AX71" s="183"/>
      <c r="AY71" s="183"/>
      <c r="AZ71" s="193"/>
      <c r="BA71" s="195">
        <f t="shared" si="79"/>
        <v>0</v>
      </c>
      <c r="BB71" s="205">
        <f>IF(BT22=1,AL124/(第7期!AP124/2+AP124),0)</f>
        <v>0</v>
      </c>
      <c r="BC71" s="203"/>
      <c r="BD71" s="194">
        <f t="shared" si="80"/>
        <v>0</v>
      </c>
      <c r="BE71" s="209" t="e">
        <f t="shared" ref="BE71:BH73" si="90">BB48/$BE$31</f>
        <v>#DIV/0!</v>
      </c>
      <c r="BF71" s="209" t="e">
        <f t="shared" si="90"/>
        <v>#DIV/0!</v>
      </c>
      <c r="BG71" s="209" t="e">
        <f t="shared" si="90"/>
        <v>#DIV/0!</v>
      </c>
      <c r="BH71" s="209" t="e">
        <f t="shared" si="90"/>
        <v>#DIV/0!</v>
      </c>
      <c r="BI71" s="203"/>
      <c r="BJ71" s="203"/>
      <c r="BK71" s="203"/>
      <c r="BL71" s="203"/>
      <c r="BM71" s="203"/>
      <c r="BN71" s="203"/>
      <c r="BO71" s="203"/>
      <c r="BP71" s="203"/>
      <c r="BQ71" s="203"/>
      <c r="BR71" s="211"/>
      <c r="BS71" s="211"/>
      <c r="BT71" s="211"/>
      <c r="BU71" s="211"/>
      <c r="BV71" s="211"/>
      <c r="BW71" s="211"/>
      <c r="BX71" s="211"/>
      <c r="BY71" s="211"/>
      <c r="BZ71" s="211"/>
      <c r="CA71" s="211"/>
      <c r="CB71" s="211"/>
      <c r="CC71" s="211"/>
      <c r="CD71" s="211"/>
      <c r="CE71" s="211"/>
      <c r="CF71" s="211"/>
      <c r="CG71" s="211"/>
      <c r="CH71" s="211"/>
      <c r="CI71" s="211"/>
      <c r="CJ71" s="211"/>
      <c r="CK71" s="203"/>
      <c r="CL71" s="203"/>
      <c r="CM71" s="203"/>
      <c r="CN71" s="203"/>
      <c r="CO71" s="203"/>
      <c r="CP71" s="203"/>
      <c r="CQ71" s="203"/>
      <c r="CR71" s="203"/>
      <c r="CS71" s="203"/>
    </row>
    <row r="72" s="61" customFormat="1" ht="16" customHeight="1" spans="1:97">
      <c r="A72" s="68" t="s">
        <v>803</v>
      </c>
      <c r="B72" s="77">
        <f>(SUM(AP13:AP16)+J56)*初始化表!F22</f>
        <v>0</v>
      </c>
      <c r="C72" s="77" t="e">
        <f t="shared" si="89"/>
        <v>#DIV/0!</v>
      </c>
      <c r="D72" s="74"/>
      <c r="E72" s="163" t="s">
        <v>457</v>
      </c>
      <c r="F72" s="236" t="e">
        <f>B77</f>
        <v>#DIV/0!</v>
      </c>
      <c r="G72" s="73"/>
      <c r="H72" s="69" t="str">
        <f t="shared" ref="H72:L76" si="91">U41</f>
        <v>本期待销</v>
      </c>
      <c r="I72" s="69" t="str">
        <f t="shared" si="91"/>
        <v>市场1</v>
      </c>
      <c r="J72" s="69" t="str">
        <f t="shared" si="91"/>
        <v>市场2</v>
      </c>
      <c r="K72" s="69" t="str">
        <f t="shared" si="91"/>
        <v>市场3</v>
      </c>
      <c r="L72" s="69" t="str">
        <f t="shared" si="91"/>
        <v>市场4</v>
      </c>
      <c r="M72" s="241" t="s">
        <v>700</v>
      </c>
      <c r="N72" s="117" t="s">
        <v>720</v>
      </c>
      <c r="O72" s="117" t="s">
        <v>38</v>
      </c>
      <c r="P72" s="117" t="s">
        <v>39</v>
      </c>
      <c r="Q72" s="117" t="s">
        <v>40</v>
      </c>
      <c r="R72" s="117" t="s">
        <v>41</v>
      </c>
      <c r="S72" s="117" t="s">
        <v>721</v>
      </c>
      <c r="T72" s="120"/>
      <c r="U72" s="68" t="s">
        <v>464</v>
      </c>
      <c r="V72" s="248" t="e">
        <f t="shared" ref="V72:Y75" si="92">INT(IF(IF(B6&lt;V23,(1+((V23-B6)/V23+O10)*15)*IF($F17&gt;$L6,1.1,1)*V17,(1+((V23-B6)/V23+O10)*5)*IF($F17&gt;$L6,1.1,1)*V17)&gt;0,IF(B6&lt;V23,(1+((V23-B6)/V23+O10)*15)*IF($F17&gt;$L6,1.1,1)*V17,(1+((V23-B6)/V23+O10)*5)*IF($F17&gt;$L6,1.1,1)*V17),0))</f>
        <v>#DIV/0!</v>
      </c>
      <c r="W72" s="248" t="e">
        <f t="shared" si="92"/>
        <v>#DIV/0!</v>
      </c>
      <c r="X72" s="248" t="e">
        <f t="shared" si="92"/>
        <v>#DIV/0!</v>
      </c>
      <c r="Y72" s="248" t="e">
        <f t="shared" si="92"/>
        <v>#DIV/0!</v>
      </c>
      <c r="Z72" s="249"/>
      <c r="AA72" s="254"/>
      <c r="AB72" s="249"/>
      <c r="AC72" s="68" t="s">
        <v>673</v>
      </c>
      <c r="AD72" s="68" t="s">
        <v>459</v>
      </c>
      <c r="AE72" s="68" t="s">
        <v>460</v>
      </c>
      <c r="AF72" s="68" t="s">
        <v>461</v>
      </c>
      <c r="AG72" s="68" t="s">
        <v>462</v>
      </c>
      <c r="AH72" s="254"/>
      <c r="AI72" s="182"/>
      <c r="AJ72" s="183"/>
      <c r="AK72" s="183"/>
      <c r="AL72" s="183"/>
      <c r="AM72" s="183"/>
      <c r="AN72" s="183"/>
      <c r="AO72" s="183"/>
      <c r="AP72" s="183"/>
      <c r="AQ72" s="183"/>
      <c r="AR72" s="183"/>
      <c r="AS72" s="183"/>
      <c r="AT72" s="183"/>
      <c r="AU72" s="183"/>
      <c r="AV72" s="183"/>
      <c r="AW72" s="183"/>
      <c r="AX72" s="183"/>
      <c r="AY72" s="183"/>
      <c r="AZ72" s="193"/>
      <c r="BA72" s="195">
        <f t="shared" si="79"/>
        <v>0</v>
      </c>
      <c r="BB72" s="205">
        <f>IF(BT23=1,AL125/(第7期!AP125/2+AP125),0)</f>
        <v>0</v>
      </c>
      <c r="BC72" s="203"/>
      <c r="BD72" s="194">
        <f t="shared" si="80"/>
        <v>0</v>
      </c>
      <c r="BE72" s="209" t="e">
        <f t="shared" si="90"/>
        <v>#DIV/0!</v>
      </c>
      <c r="BF72" s="209" t="e">
        <f t="shared" si="90"/>
        <v>#DIV/0!</v>
      </c>
      <c r="BG72" s="209" t="e">
        <f t="shared" si="90"/>
        <v>#DIV/0!</v>
      </c>
      <c r="BH72" s="209" t="e">
        <f t="shared" si="90"/>
        <v>#DIV/0!</v>
      </c>
      <c r="BI72" s="203"/>
      <c r="BJ72" s="203"/>
      <c r="BK72" s="203"/>
      <c r="BL72" s="203"/>
      <c r="BM72" s="203"/>
      <c r="BN72" s="203"/>
      <c r="BO72" s="203"/>
      <c r="BP72" s="203"/>
      <c r="BQ72" s="203"/>
      <c r="BR72" s="211"/>
      <c r="BS72" s="211"/>
      <c r="BT72" s="211"/>
      <c r="BU72" s="211"/>
      <c r="BV72" s="211"/>
      <c r="BW72" s="211"/>
      <c r="BX72" s="211"/>
      <c r="BY72" s="211"/>
      <c r="BZ72" s="211"/>
      <c r="CA72" s="211"/>
      <c r="CB72" s="211"/>
      <c r="CC72" s="211"/>
      <c r="CD72" s="211"/>
      <c r="CE72" s="211"/>
      <c r="CF72" s="211"/>
      <c r="CG72" s="211"/>
      <c r="CH72" s="211"/>
      <c r="CI72" s="211"/>
      <c r="CJ72" s="211"/>
      <c r="CK72" s="203"/>
      <c r="CL72" s="203"/>
      <c r="CM72" s="203"/>
      <c r="CN72" s="203"/>
      <c r="CO72" s="203"/>
      <c r="CP72" s="203"/>
      <c r="CQ72" s="203"/>
      <c r="CR72" s="203"/>
      <c r="CS72" s="203"/>
    </row>
    <row r="73" s="61" customFormat="1" ht="16" customHeight="1" spans="1:97">
      <c r="A73" s="68" t="s">
        <v>804</v>
      </c>
      <c r="B73" s="77">
        <f>(SUM(AP17:AP20)+K56)*初始化表!G22</f>
        <v>0</v>
      </c>
      <c r="C73" s="77" t="e">
        <f t="shared" si="89"/>
        <v>#DIV/0!</v>
      </c>
      <c r="D73" s="74"/>
      <c r="E73" s="163" t="s">
        <v>463</v>
      </c>
      <c r="F73" s="236">
        <f>MAX(P33-B24,0)</f>
        <v>0</v>
      </c>
      <c r="G73" s="73"/>
      <c r="H73" s="69" t="str">
        <f t="shared" si="91"/>
        <v>产品1</v>
      </c>
      <c r="I73" s="77">
        <f t="shared" si="91"/>
        <v>0</v>
      </c>
      <c r="J73" s="77">
        <f t="shared" si="91"/>
        <v>0</v>
      </c>
      <c r="K73" s="77">
        <f t="shared" si="91"/>
        <v>0</v>
      </c>
      <c r="L73" s="77">
        <f t="shared" si="91"/>
        <v>0</v>
      </c>
      <c r="M73" s="243" t="e">
        <f>INT((M68-Z5)/初始化表!$B$4)</f>
        <v>#DIV/0!</v>
      </c>
      <c r="N73" s="117" t="s">
        <v>198</v>
      </c>
      <c r="O73" s="244">
        <f>V42-IF(V17=0,第7期!I73,V17)</f>
        <v>0</v>
      </c>
      <c r="P73" s="244">
        <f>W42-IF(W17=0,第7期!J73,W17)</f>
        <v>0</v>
      </c>
      <c r="Q73" s="244">
        <f>X42-IF(X17=0,第7期!K73,X17)</f>
        <v>0</v>
      </c>
      <c r="R73" s="244">
        <f>Y42-IF(Y17=0,第7期!L73,Y17)</f>
        <v>0</v>
      </c>
      <c r="S73" s="244">
        <f>IF(I85=0,0,ABS(P85-O85)/ABS(I85-J85))</f>
        <v>0</v>
      </c>
      <c r="T73" s="120"/>
      <c r="U73" s="68" t="s">
        <v>465</v>
      </c>
      <c r="V73" s="248" t="e">
        <f t="shared" si="92"/>
        <v>#DIV/0!</v>
      </c>
      <c r="W73" s="248" t="e">
        <f t="shared" si="92"/>
        <v>#DIV/0!</v>
      </c>
      <c r="X73" s="248" t="e">
        <f t="shared" si="92"/>
        <v>#DIV/0!</v>
      </c>
      <c r="Y73" s="248" t="e">
        <f t="shared" si="92"/>
        <v>#DIV/0!</v>
      </c>
      <c r="Z73" s="249"/>
      <c r="AA73" s="254"/>
      <c r="AB73" s="249"/>
      <c r="AC73" s="68" t="s">
        <v>464</v>
      </c>
      <c r="AD73" s="248" t="e">
        <f t="shared" ref="AD73:AG76" si="93">IF(V42&gt;V72,V42-V72,0)</f>
        <v>#DIV/0!</v>
      </c>
      <c r="AE73" s="248" t="e">
        <f t="shared" si="93"/>
        <v>#DIV/0!</v>
      </c>
      <c r="AF73" s="248" t="e">
        <f t="shared" si="93"/>
        <v>#DIV/0!</v>
      </c>
      <c r="AG73" s="248" t="e">
        <f t="shared" si="93"/>
        <v>#DIV/0!</v>
      </c>
      <c r="AH73" s="254"/>
      <c r="AI73" s="182"/>
      <c r="AJ73" s="183"/>
      <c r="AK73" s="183"/>
      <c r="AL73" s="183"/>
      <c r="AM73" s="183"/>
      <c r="AN73" s="183"/>
      <c r="AO73" s="183"/>
      <c r="AP73" s="183"/>
      <c r="AQ73" s="183"/>
      <c r="AR73" s="183"/>
      <c r="AS73" s="183"/>
      <c r="AT73" s="183"/>
      <c r="AU73" s="183"/>
      <c r="AV73" s="183"/>
      <c r="AW73" s="183"/>
      <c r="AX73" s="183"/>
      <c r="AY73" s="183"/>
      <c r="AZ73" s="193"/>
      <c r="BA73" s="195">
        <f t="shared" si="79"/>
        <v>0</v>
      </c>
      <c r="BB73" s="205">
        <f>IF(BT24=1,AL126/(第7期!AP126/2+AP126),0)</f>
        <v>0</v>
      </c>
      <c r="BC73" s="203"/>
      <c r="BD73" s="194">
        <f t="shared" si="80"/>
        <v>0</v>
      </c>
      <c r="BE73" s="209" t="e">
        <f t="shared" si="90"/>
        <v>#DIV/0!</v>
      </c>
      <c r="BF73" s="209" t="e">
        <f t="shared" si="90"/>
        <v>#DIV/0!</v>
      </c>
      <c r="BG73" s="209" t="e">
        <f t="shared" si="90"/>
        <v>#DIV/0!</v>
      </c>
      <c r="BH73" s="209" t="e">
        <f t="shared" si="90"/>
        <v>#DIV/0!</v>
      </c>
      <c r="BI73" s="203"/>
      <c r="BJ73" s="203"/>
      <c r="BK73" s="203"/>
      <c r="BL73" s="203"/>
      <c r="BM73" s="203"/>
      <c r="BN73" s="203"/>
      <c r="BO73" s="203"/>
      <c r="BP73" s="203"/>
      <c r="BQ73" s="203"/>
      <c r="BR73" s="211"/>
      <c r="BS73" s="211"/>
      <c r="BT73" s="211"/>
      <c r="BU73" s="211"/>
      <c r="BV73" s="211"/>
      <c r="BW73" s="211"/>
      <c r="BX73" s="211"/>
      <c r="BY73" s="211"/>
      <c r="BZ73" s="211"/>
      <c r="CA73" s="211"/>
      <c r="CB73" s="211"/>
      <c r="CC73" s="211"/>
      <c r="CD73" s="211"/>
      <c r="CE73" s="211"/>
      <c r="CF73" s="211"/>
      <c r="CG73" s="211"/>
      <c r="CH73" s="211"/>
      <c r="CI73" s="211"/>
      <c r="CJ73" s="211"/>
      <c r="CK73" s="203"/>
      <c r="CL73" s="203"/>
      <c r="CM73" s="203"/>
      <c r="CN73" s="203"/>
      <c r="CO73" s="203"/>
      <c r="CP73" s="203"/>
      <c r="CQ73" s="203"/>
      <c r="CR73" s="203"/>
      <c r="CS73" s="203"/>
    </row>
    <row r="74" s="61" customFormat="1" ht="16" customHeight="1" spans="1:97">
      <c r="A74" s="68" t="s">
        <v>805</v>
      </c>
      <c r="B74" s="77">
        <f>(SUM(AP21:AP24)+L56)*初始化表!H22</f>
        <v>0</v>
      </c>
      <c r="C74" s="77" t="e">
        <f t="shared" si="89"/>
        <v>#DIV/0!</v>
      </c>
      <c r="D74" s="74"/>
      <c r="E74" s="163" t="s">
        <v>703</v>
      </c>
      <c r="F74" s="236">
        <f>D24</f>
        <v>0</v>
      </c>
      <c r="G74" s="73"/>
      <c r="H74" s="69" t="str">
        <f t="shared" si="91"/>
        <v>产品2</v>
      </c>
      <c r="I74" s="77">
        <f t="shared" si="91"/>
        <v>0</v>
      </c>
      <c r="J74" s="77">
        <f t="shared" si="91"/>
        <v>0</v>
      </c>
      <c r="K74" s="77">
        <f t="shared" si="91"/>
        <v>0</v>
      </c>
      <c r="L74" s="77">
        <f t="shared" si="91"/>
        <v>0</v>
      </c>
      <c r="M74" s="243" t="e">
        <f>INT((M69-Z6)/初始化表!$B$4)</f>
        <v>#DIV/0!</v>
      </c>
      <c r="N74" s="117" t="s">
        <v>202</v>
      </c>
      <c r="O74" s="244">
        <f>V43-IF(V18=0,第7期!I74,V18)</f>
        <v>0</v>
      </c>
      <c r="P74" s="244">
        <f>W43-IF(W18=0,第7期!J74,W18)</f>
        <v>0</v>
      </c>
      <c r="Q74" s="244">
        <f>X43-IF(X18=0,第7期!K74,X18)</f>
        <v>0</v>
      </c>
      <c r="R74" s="244">
        <f>Y43-IF(Y18=0,第7期!L74,Y18)</f>
        <v>0</v>
      </c>
      <c r="S74" s="244">
        <f>IF(I86=0,0,ABS(P86-O86)/ABS(I86-J86))</f>
        <v>0</v>
      </c>
      <c r="T74" s="120"/>
      <c r="U74" s="68" t="s">
        <v>466</v>
      </c>
      <c r="V74" s="248" t="e">
        <f t="shared" si="92"/>
        <v>#DIV/0!</v>
      </c>
      <c r="W74" s="248" t="e">
        <f t="shared" si="92"/>
        <v>#DIV/0!</v>
      </c>
      <c r="X74" s="248" t="e">
        <f t="shared" si="92"/>
        <v>#DIV/0!</v>
      </c>
      <c r="Y74" s="248" t="e">
        <f t="shared" si="92"/>
        <v>#DIV/0!</v>
      </c>
      <c r="Z74" s="249"/>
      <c r="AA74" s="254"/>
      <c r="AB74" s="249"/>
      <c r="AC74" s="68" t="s">
        <v>465</v>
      </c>
      <c r="AD74" s="248" t="e">
        <f t="shared" si="93"/>
        <v>#DIV/0!</v>
      </c>
      <c r="AE74" s="248" t="e">
        <f t="shared" si="93"/>
        <v>#DIV/0!</v>
      </c>
      <c r="AF74" s="248" t="e">
        <f t="shared" si="93"/>
        <v>#DIV/0!</v>
      </c>
      <c r="AG74" s="248" t="e">
        <f t="shared" si="93"/>
        <v>#DIV/0!</v>
      </c>
      <c r="AH74" s="254"/>
      <c r="AI74" s="182"/>
      <c r="AJ74" s="183"/>
      <c r="AK74" s="183"/>
      <c r="AL74" s="183"/>
      <c r="AM74" s="183"/>
      <c r="AN74" s="183"/>
      <c r="AO74" s="183"/>
      <c r="AP74" s="183"/>
      <c r="AQ74" s="183"/>
      <c r="AR74" s="183"/>
      <c r="AS74" s="183"/>
      <c r="AT74" s="183"/>
      <c r="AU74" s="183"/>
      <c r="AV74" s="183"/>
      <c r="AW74" s="183"/>
      <c r="AX74" s="183"/>
      <c r="AY74" s="183"/>
      <c r="AZ74" s="193"/>
      <c r="BA74" s="203"/>
      <c r="BB74" s="203"/>
      <c r="BC74" s="203"/>
      <c r="BD74" s="203"/>
      <c r="BE74" s="203"/>
      <c r="BF74" s="203"/>
      <c r="BG74" s="203"/>
      <c r="BH74" s="203"/>
      <c r="BI74" s="203"/>
      <c r="BJ74" s="203"/>
      <c r="BK74" s="203"/>
      <c r="BL74" s="203"/>
      <c r="BM74" s="203"/>
      <c r="BN74" s="203"/>
      <c r="BO74" s="203"/>
      <c r="BP74" s="203"/>
      <c r="BQ74" s="203"/>
      <c r="BR74" s="211"/>
      <c r="BS74" s="211"/>
      <c r="BT74" s="211"/>
      <c r="BU74" s="211"/>
      <c r="BV74" s="211"/>
      <c r="BW74" s="211"/>
      <c r="BX74" s="211"/>
      <c r="BY74" s="211"/>
      <c r="BZ74" s="211"/>
      <c r="CA74" s="211"/>
      <c r="CB74" s="211"/>
      <c r="CC74" s="211"/>
      <c r="CD74" s="211"/>
      <c r="CE74" s="211"/>
      <c r="CF74" s="211"/>
      <c r="CG74" s="211"/>
      <c r="CH74" s="211"/>
      <c r="CI74" s="211"/>
      <c r="CJ74" s="211"/>
      <c r="CK74" s="203"/>
      <c r="CL74" s="203"/>
      <c r="CM74" s="203"/>
      <c r="CN74" s="203"/>
      <c r="CO74" s="203"/>
      <c r="CP74" s="203"/>
      <c r="CQ74" s="203"/>
      <c r="CR74" s="203"/>
      <c r="CS74" s="203"/>
    </row>
    <row r="75" s="61" customFormat="1" ht="16" customHeight="1" spans="1:97">
      <c r="A75" s="68" t="s">
        <v>442</v>
      </c>
      <c r="B75" s="77">
        <f>SUM(F17:F20)/2</f>
        <v>0</v>
      </c>
      <c r="C75" s="77" t="e">
        <f t="shared" si="89"/>
        <v>#DIV/0!</v>
      </c>
      <c r="D75" s="74"/>
      <c r="E75" s="163" t="s">
        <v>704</v>
      </c>
      <c r="F75" s="236">
        <f>B78</f>
        <v>0</v>
      </c>
      <c r="G75" s="73"/>
      <c r="H75" s="69" t="str">
        <f t="shared" si="91"/>
        <v>产品3</v>
      </c>
      <c r="I75" s="77">
        <f t="shared" si="91"/>
        <v>0</v>
      </c>
      <c r="J75" s="77">
        <f t="shared" si="91"/>
        <v>0</v>
      </c>
      <c r="K75" s="77">
        <f t="shared" si="91"/>
        <v>0</v>
      </c>
      <c r="L75" s="77">
        <f t="shared" si="91"/>
        <v>0</v>
      </c>
      <c r="M75" s="243" t="e">
        <f>INT((M70-Z7)/初始化表!$B$4)</f>
        <v>#DIV/0!</v>
      </c>
      <c r="N75" s="117" t="s">
        <v>206</v>
      </c>
      <c r="O75" s="244">
        <f>V44-IF(V19=0,第7期!I75,V19)</f>
        <v>0</v>
      </c>
      <c r="P75" s="244">
        <f>W44-IF(W19=0,第7期!J75,W19)</f>
        <v>0</v>
      </c>
      <c r="Q75" s="244">
        <f>X44-IF(X19=0,第7期!K75,X19)</f>
        <v>0</v>
      </c>
      <c r="R75" s="244">
        <f>Y44-IF(Y19=0,第7期!L75,Y19)</f>
        <v>0</v>
      </c>
      <c r="S75" s="244">
        <f t="shared" ref="S75:S76" si="94">IF(I87=0,0,ABS(P87-O87)/ABS(I87-J87))</f>
        <v>0</v>
      </c>
      <c r="T75" s="120"/>
      <c r="U75" s="68" t="s">
        <v>468</v>
      </c>
      <c r="V75" s="248" t="e">
        <f t="shared" si="92"/>
        <v>#DIV/0!</v>
      </c>
      <c r="W75" s="248" t="e">
        <f t="shared" si="92"/>
        <v>#DIV/0!</v>
      </c>
      <c r="X75" s="248" t="e">
        <f t="shared" si="92"/>
        <v>#DIV/0!</v>
      </c>
      <c r="Y75" s="248" t="e">
        <f t="shared" si="92"/>
        <v>#DIV/0!</v>
      </c>
      <c r="Z75" s="249"/>
      <c r="AA75" s="254"/>
      <c r="AB75" s="249"/>
      <c r="AC75" s="68" t="s">
        <v>466</v>
      </c>
      <c r="AD75" s="248" t="e">
        <f t="shared" si="93"/>
        <v>#DIV/0!</v>
      </c>
      <c r="AE75" s="248" t="e">
        <f t="shared" si="93"/>
        <v>#DIV/0!</v>
      </c>
      <c r="AF75" s="248" t="e">
        <f t="shared" si="93"/>
        <v>#DIV/0!</v>
      </c>
      <c r="AG75" s="248" t="e">
        <f t="shared" si="93"/>
        <v>#DIV/0!</v>
      </c>
      <c r="AH75" s="254"/>
      <c r="AI75" s="182"/>
      <c r="AJ75" s="183"/>
      <c r="AK75" s="183"/>
      <c r="AL75" s="183"/>
      <c r="AM75" s="183"/>
      <c r="AN75" s="183"/>
      <c r="AO75" s="183"/>
      <c r="AP75" s="183"/>
      <c r="AQ75" s="183"/>
      <c r="AR75" s="183"/>
      <c r="AS75" s="183"/>
      <c r="AT75" s="183"/>
      <c r="AU75" s="183"/>
      <c r="AV75" s="183"/>
      <c r="AW75" s="183"/>
      <c r="AX75" s="183"/>
      <c r="AY75" s="183"/>
      <c r="AZ75" s="193"/>
      <c r="BA75" s="203"/>
      <c r="BB75" s="203"/>
      <c r="BC75" s="203"/>
      <c r="BD75" s="203"/>
      <c r="BE75" s="203"/>
      <c r="BF75" s="203"/>
      <c r="BG75" s="203"/>
      <c r="BH75" s="203"/>
      <c r="BI75" s="203"/>
      <c r="BJ75" s="203"/>
      <c r="BK75" s="203"/>
      <c r="BL75" s="203"/>
      <c r="BM75" s="203"/>
      <c r="BN75" s="203"/>
      <c r="BO75" s="203"/>
      <c r="BP75" s="203"/>
      <c r="BQ75" s="203"/>
      <c r="BR75" s="211"/>
      <c r="BS75" s="211"/>
      <c r="BT75" s="211"/>
      <c r="BU75" s="211"/>
      <c r="BV75" s="211"/>
      <c r="BW75" s="211"/>
      <c r="BX75" s="211"/>
      <c r="BY75" s="211"/>
      <c r="BZ75" s="211"/>
      <c r="CA75" s="211"/>
      <c r="CB75" s="211"/>
      <c r="CC75" s="211"/>
      <c r="CD75" s="211"/>
      <c r="CE75" s="211"/>
      <c r="CF75" s="211"/>
      <c r="CG75" s="211"/>
      <c r="CH75" s="211"/>
      <c r="CI75" s="211"/>
      <c r="CJ75" s="211"/>
      <c r="CK75" s="203"/>
      <c r="CL75" s="203"/>
      <c r="CM75" s="203"/>
      <c r="CN75" s="203"/>
      <c r="CO75" s="203"/>
      <c r="CP75" s="203"/>
      <c r="CQ75" s="203"/>
      <c r="CR75" s="203"/>
      <c r="CS75" s="203"/>
    </row>
    <row r="76" s="61" customFormat="1" ht="16" customHeight="1" spans="1:97">
      <c r="A76" s="68" t="s">
        <v>443</v>
      </c>
      <c r="B76" s="77" t="e">
        <f>O49*初始化表!B8</f>
        <v>#DIV/0!</v>
      </c>
      <c r="C76" s="77" t="e">
        <f t="shared" si="89"/>
        <v>#DIV/0!</v>
      </c>
      <c r="D76" s="74"/>
      <c r="E76" s="163" t="s">
        <v>467</v>
      </c>
      <c r="F76" s="236">
        <f>SUM(I6:I9,F17:F20)</f>
        <v>0</v>
      </c>
      <c r="G76" s="73"/>
      <c r="H76" s="69" t="str">
        <f t="shared" si="91"/>
        <v>产品4</v>
      </c>
      <c r="I76" s="77">
        <f t="shared" si="91"/>
        <v>0</v>
      </c>
      <c r="J76" s="77">
        <f t="shared" si="91"/>
        <v>0</v>
      </c>
      <c r="K76" s="77">
        <f t="shared" si="91"/>
        <v>0</v>
      </c>
      <c r="L76" s="77">
        <f t="shared" si="91"/>
        <v>0</v>
      </c>
      <c r="M76" s="243" t="e">
        <f>INT((M71-Z8)/初始化表!$B$4)</f>
        <v>#DIV/0!</v>
      </c>
      <c r="N76" s="117" t="s">
        <v>208</v>
      </c>
      <c r="O76" s="244">
        <f>V45-IF(V20=0,第7期!I76,V20)</f>
        <v>0</v>
      </c>
      <c r="P76" s="244">
        <f>W45-IF(W20=0,第7期!J76,W20)</f>
        <v>0</v>
      </c>
      <c r="Q76" s="244">
        <f>X45-IF(X20=0,第7期!K76,X20)</f>
        <v>0</v>
      </c>
      <c r="R76" s="244">
        <f>Y45-IF(Y20=0,第7期!L76,Y20)</f>
        <v>0</v>
      </c>
      <c r="S76" s="244">
        <f t="shared" si="94"/>
        <v>0</v>
      </c>
      <c r="T76" s="120"/>
      <c r="U76" s="249"/>
      <c r="V76" s="249"/>
      <c r="W76" s="249"/>
      <c r="X76" s="249"/>
      <c r="Y76" s="249"/>
      <c r="Z76" s="249"/>
      <c r="AA76" s="254"/>
      <c r="AB76" s="249"/>
      <c r="AC76" s="68" t="s">
        <v>468</v>
      </c>
      <c r="AD76" s="248" t="e">
        <f t="shared" si="93"/>
        <v>#DIV/0!</v>
      </c>
      <c r="AE76" s="248" t="e">
        <f t="shared" si="93"/>
        <v>#DIV/0!</v>
      </c>
      <c r="AF76" s="248" t="e">
        <f t="shared" si="93"/>
        <v>#DIV/0!</v>
      </c>
      <c r="AG76" s="248" t="e">
        <f t="shared" si="93"/>
        <v>#DIV/0!</v>
      </c>
      <c r="AH76" s="254"/>
      <c r="AI76" s="182"/>
      <c r="AJ76" s="183"/>
      <c r="AK76" s="183"/>
      <c r="AL76" s="183"/>
      <c r="AM76" s="183"/>
      <c r="AN76" s="183"/>
      <c r="AO76" s="183"/>
      <c r="AP76" s="183"/>
      <c r="AQ76" s="183"/>
      <c r="AR76" s="183"/>
      <c r="AS76" s="183"/>
      <c r="AT76" s="183"/>
      <c r="AU76" s="183"/>
      <c r="AV76" s="183"/>
      <c r="AW76" s="183"/>
      <c r="AX76" s="183"/>
      <c r="AY76" s="183"/>
      <c r="AZ76" s="193"/>
      <c r="BA76" s="203"/>
      <c r="BB76" s="203"/>
      <c r="BC76" s="203"/>
      <c r="BD76" s="203"/>
      <c r="BE76" s="203"/>
      <c r="BF76" s="203"/>
      <c r="BG76" s="203"/>
      <c r="BH76" s="203"/>
      <c r="BI76" s="203"/>
      <c r="BJ76" s="203"/>
      <c r="BK76" s="203"/>
      <c r="BL76" s="203"/>
      <c r="BM76" s="203"/>
      <c r="BN76" s="203"/>
      <c r="BO76" s="203"/>
      <c r="BP76" s="203"/>
      <c r="BQ76" s="203"/>
      <c r="BR76" s="211"/>
      <c r="BS76" s="211"/>
      <c r="BT76" s="211"/>
      <c r="BU76" s="211"/>
      <c r="BV76" s="211"/>
      <c r="BW76" s="211"/>
      <c r="BX76" s="211"/>
      <c r="BY76" s="211"/>
      <c r="BZ76" s="211"/>
      <c r="CA76" s="211"/>
      <c r="CB76" s="211"/>
      <c r="CC76" s="211"/>
      <c r="CD76" s="211"/>
      <c r="CE76" s="211"/>
      <c r="CF76" s="211"/>
      <c r="CG76" s="211"/>
      <c r="CH76" s="211"/>
      <c r="CI76" s="211"/>
      <c r="CJ76" s="211"/>
      <c r="CK76" s="203"/>
      <c r="CL76" s="203"/>
      <c r="CM76" s="203"/>
      <c r="CN76" s="203"/>
      <c r="CO76" s="203"/>
      <c r="CP76" s="203"/>
      <c r="CQ76" s="203"/>
      <c r="CR76" s="203"/>
      <c r="CS76" s="203"/>
    </row>
    <row r="77" s="61" customFormat="1" ht="16" customHeight="1" spans="1:97">
      <c r="A77" s="68" t="s">
        <v>444</v>
      </c>
      <c r="B77" s="77" t="e">
        <f>第7期!B77-C51</f>
        <v>#DIV/0!</v>
      </c>
      <c r="C77" s="77" t="e">
        <f>C76-B77</f>
        <v>#DIV/0!</v>
      </c>
      <c r="D77" s="74"/>
      <c r="E77" s="163" t="s">
        <v>255</v>
      </c>
      <c r="F77" s="236" t="e">
        <f>D56-E60</f>
        <v>#DIV/0!</v>
      </c>
      <c r="G77" s="73"/>
      <c r="H77" s="68" t="s">
        <v>788</v>
      </c>
      <c r="I77" s="68"/>
      <c r="J77" s="68"/>
      <c r="K77" s="68"/>
      <c r="L77" s="68"/>
      <c r="M77" s="68" t="s">
        <v>723</v>
      </c>
      <c r="N77" s="117" t="s">
        <v>730</v>
      </c>
      <c r="O77" s="117" t="s">
        <v>38</v>
      </c>
      <c r="P77" s="117" t="s">
        <v>39</v>
      </c>
      <c r="Q77" s="117" t="s">
        <v>40</v>
      </c>
      <c r="R77" s="117" t="s">
        <v>41</v>
      </c>
      <c r="S77" s="245" t="s">
        <v>747</v>
      </c>
      <c r="T77" s="120"/>
      <c r="U77" s="68" t="s">
        <v>682</v>
      </c>
      <c r="V77" s="68" t="s">
        <v>38</v>
      </c>
      <c r="W77" s="68" t="s">
        <v>39</v>
      </c>
      <c r="X77" s="68" t="s">
        <v>40</v>
      </c>
      <c r="Y77" s="68" t="s">
        <v>41</v>
      </c>
      <c r="Z77" s="249"/>
      <c r="AA77" s="254"/>
      <c r="AB77" s="249"/>
      <c r="AC77" s="249"/>
      <c r="AD77" s="249"/>
      <c r="AE77" s="249"/>
      <c r="AF77" s="249"/>
      <c r="AG77" s="249"/>
      <c r="AH77" s="254"/>
      <c r="AI77" s="182"/>
      <c r="AJ77" s="183"/>
      <c r="AK77" s="183"/>
      <c r="AL77" s="183"/>
      <c r="AM77" s="183"/>
      <c r="AN77" s="183"/>
      <c r="AO77" s="183"/>
      <c r="AP77" s="183"/>
      <c r="AQ77" s="183"/>
      <c r="AR77" s="183"/>
      <c r="AS77" s="183"/>
      <c r="AT77" s="183"/>
      <c r="AU77" s="183"/>
      <c r="AV77" s="183"/>
      <c r="AW77" s="183"/>
      <c r="AX77" s="183"/>
      <c r="AY77" s="183"/>
      <c r="AZ77" s="193"/>
      <c r="BA77" s="203"/>
      <c r="BB77" s="203"/>
      <c r="BC77" s="203"/>
      <c r="BD77" s="203"/>
      <c r="BE77" s="203"/>
      <c r="BF77" s="203"/>
      <c r="BG77" s="203"/>
      <c r="BH77" s="203"/>
      <c r="BI77" s="203"/>
      <c r="BJ77" s="203"/>
      <c r="BK77" s="203"/>
      <c r="BL77" s="203"/>
      <c r="BM77" s="203"/>
      <c r="BN77" s="203"/>
      <c r="BO77" s="203"/>
      <c r="BP77" s="203"/>
      <c r="BQ77" s="203"/>
      <c r="BR77" s="211"/>
      <c r="BS77" s="211"/>
      <c r="BT77" s="211"/>
      <c r="BU77" s="211"/>
      <c r="BV77" s="211"/>
      <c r="BW77" s="203"/>
      <c r="BX77" s="264"/>
      <c r="BY77" s="211"/>
      <c r="BZ77" s="211"/>
      <c r="CA77" s="211"/>
      <c r="CB77" s="211"/>
      <c r="CC77" s="211"/>
      <c r="CD77" s="211"/>
      <c r="CE77" s="211"/>
      <c r="CF77" s="211"/>
      <c r="CG77" s="211"/>
      <c r="CH77" s="211"/>
      <c r="CI77" s="211"/>
      <c r="CJ77" s="211"/>
      <c r="CK77" s="203"/>
      <c r="CL77" s="203"/>
      <c r="CM77" s="203"/>
      <c r="CN77" s="203"/>
      <c r="CO77" s="203"/>
      <c r="CP77" s="203"/>
      <c r="CQ77" s="203"/>
      <c r="CR77" s="203"/>
      <c r="CS77" s="203"/>
    </row>
    <row r="78" s="61" customFormat="1" ht="16" customHeight="1" spans="1:97">
      <c r="A78" s="68" t="s">
        <v>310</v>
      </c>
      <c r="B78" s="71">
        <f>O35+C24+C31</f>
        <v>0</v>
      </c>
      <c r="C78" s="71" t="e">
        <f>C77-B78</f>
        <v>#DIV/0!</v>
      </c>
      <c r="D78" s="74"/>
      <c r="E78" s="163" t="s">
        <v>469</v>
      </c>
      <c r="F78" s="236" t="e">
        <f>-C61</f>
        <v>#DIV/0!</v>
      </c>
      <c r="G78" s="73"/>
      <c r="H78" s="68" t="s">
        <v>464</v>
      </c>
      <c r="I78" s="77" t="e">
        <f>第7期!BN42</f>
        <v>#DIV/0!</v>
      </c>
      <c r="J78" s="77" t="e">
        <f>第7期!BO42</f>
        <v>#DIV/0!</v>
      </c>
      <c r="K78" s="77" t="e">
        <f>第7期!BP42</f>
        <v>#DIV/0!</v>
      </c>
      <c r="L78" s="77" t="e">
        <f>第7期!BQ42</f>
        <v>#DIV/0!</v>
      </c>
      <c r="M78" s="243" t="e">
        <f>SUM(I78:L78)</f>
        <v>#DIV/0!</v>
      </c>
      <c r="N78" s="117" t="s">
        <v>198</v>
      </c>
      <c r="O78" s="244" t="e">
        <f>V23-O68*(O73-IF($J6&gt;0,10,0))</f>
        <v>#DIV/0!</v>
      </c>
      <c r="P78" s="244" t="e">
        <f t="shared" ref="P78:R79" si="95">W23-P68*(P73-IF($J6&gt;0,10,0))</f>
        <v>#DIV/0!</v>
      </c>
      <c r="Q78" s="244" t="e">
        <f t="shared" si="95"/>
        <v>#DIV/0!</v>
      </c>
      <c r="R78" s="244" t="e">
        <f t="shared" si="95"/>
        <v>#DIV/0!</v>
      </c>
      <c r="S78" s="250">
        <f>SUM(第7期!AY107:AY126)</f>
        <v>0</v>
      </c>
      <c r="T78" s="120"/>
      <c r="U78" s="68" t="s">
        <v>198</v>
      </c>
      <c r="V78" s="248" t="e">
        <f>IF(V72&gt;V42,INT((V72-V42)*初始化表!E11),0)</f>
        <v>#DIV/0!</v>
      </c>
      <c r="W78" s="248" t="e">
        <f>IF(W72&gt;W42,INT((W72-W42)*初始化表!F11),0)</f>
        <v>#DIV/0!</v>
      </c>
      <c r="X78" s="248" t="e">
        <f>IF(X72&gt;X42,INT((X72-X42)*初始化表!G11),0)</f>
        <v>#DIV/0!</v>
      </c>
      <c r="Y78" s="248" t="e">
        <f>IF(Y72&gt;Y42,INT((Y72-Y42)*初始化表!H11),0)</f>
        <v>#DIV/0!</v>
      </c>
      <c r="Z78" s="249"/>
      <c r="AA78" s="254"/>
      <c r="AB78" s="249"/>
      <c r="AC78" s="249"/>
      <c r="AD78" s="249"/>
      <c r="AE78" s="249"/>
      <c r="AF78" s="249"/>
      <c r="AG78" s="249"/>
      <c r="AH78" s="254"/>
      <c r="AI78" s="182"/>
      <c r="AJ78" s="183"/>
      <c r="AK78" s="183"/>
      <c r="AL78" s="183"/>
      <c r="AM78" s="183"/>
      <c r="AN78" s="183"/>
      <c r="AO78" s="183"/>
      <c r="AP78" s="183"/>
      <c r="AQ78" s="183"/>
      <c r="AR78" s="183"/>
      <c r="AS78" s="183"/>
      <c r="AT78" s="183"/>
      <c r="AU78" s="183"/>
      <c r="AV78" s="183"/>
      <c r="AW78" s="183"/>
      <c r="AX78" s="183"/>
      <c r="AY78" s="183"/>
      <c r="AZ78" s="193"/>
      <c r="BA78" s="203"/>
      <c r="BB78" s="203"/>
      <c r="BC78" s="203"/>
      <c r="BD78" s="203"/>
      <c r="BE78" s="203"/>
      <c r="BF78" s="203"/>
      <c r="BG78" s="203"/>
      <c r="BH78" s="203"/>
      <c r="BI78" s="203"/>
      <c r="BJ78" s="203"/>
      <c r="BK78" s="203"/>
      <c r="BL78" s="203"/>
      <c r="BM78" s="203"/>
      <c r="BN78" s="203"/>
      <c r="BO78" s="203"/>
      <c r="BP78" s="203"/>
      <c r="BQ78" s="203"/>
      <c r="BR78" s="211"/>
      <c r="BS78" s="211"/>
      <c r="BT78" s="211"/>
      <c r="BU78" s="211"/>
      <c r="BV78" s="211"/>
      <c r="BW78" s="211"/>
      <c r="BX78" s="211"/>
      <c r="BY78" s="211"/>
      <c r="BZ78" s="211"/>
      <c r="CA78" s="211"/>
      <c r="CB78" s="211"/>
      <c r="CC78" s="211"/>
      <c r="CD78" s="211"/>
      <c r="CE78" s="211"/>
      <c r="CF78" s="211"/>
      <c r="CG78" s="211"/>
      <c r="CH78" s="211"/>
      <c r="CI78" s="211"/>
      <c r="CJ78" s="211"/>
      <c r="CK78" s="203"/>
      <c r="CL78" s="203"/>
      <c r="CM78" s="203"/>
      <c r="CN78" s="203"/>
      <c r="CO78" s="203"/>
      <c r="CP78" s="203"/>
      <c r="CQ78" s="203"/>
      <c r="CR78" s="203"/>
      <c r="CS78" s="203"/>
    </row>
    <row r="79" s="61" customFormat="1" ht="16" customHeight="1" spans="1:97">
      <c r="A79" s="68" t="s">
        <v>446</v>
      </c>
      <c r="B79" s="77">
        <f>-C62</f>
        <v>0</v>
      </c>
      <c r="C79" s="77" t="e">
        <f>C78+B79</f>
        <v>#DIV/0!</v>
      </c>
      <c r="D79" s="74"/>
      <c r="E79" s="163" t="s">
        <v>470</v>
      </c>
      <c r="F79" s="236" t="e">
        <f>第7期!F79*(1+初始化表!B27/4)+F78</f>
        <v>#DIV/0!</v>
      </c>
      <c r="G79" s="73"/>
      <c r="H79" s="68" t="s">
        <v>465</v>
      </c>
      <c r="I79" s="77" t="e">
        <f>第7期!BN43</f>
        <v>#DIV/0!</v>
      </c>
      <c r="J79" s="77" t="e">
        <f>第7期!BO43</f>
        <v>#DIV/0!</v>
      </c>
      <c r="K79" s="77" t="e">
        <f>第7期!BP43</f>
        <v>#DIV/0!</v>
      </c>
      <c r="L79" s="77" t="e">
        <f>第7期!BQ43</f>
        <v>#DIV/0!</v>
      </c>
      <c r="M79" s="243" t="e">
        <f>SUM(I79:L79)</f>
        <v>#DIV/0!</v>
      </c>
      <c r="N79" s="117" t="s">
        <v>202</v>
      </c>
      <c r="O79" s="244" t="e">
        <f t="shared" ref="O79" si="96">V24-O69*(O74-IF($J7&gt;0,10,0))</f>
        <v>#DIV/0!</v>
      </c>
      <c r="P79" s="244" t="e">
        <f t="shared" si="95"/>
        <v>#DIV/0!</v>
      </c>
      <c r="Q79" s="244" t="e">
        <f t="shared" si="95"/>
        <v>#DIV/0!</v>
      </c>
      <c r="R79" s="244" t="e">
        <f t="shared" si="95"/>
        <v>#DIV/0!</v>
      </c>
      <c r="S79" s="74"/>
      <c r="T79" s="120"/>
      <c r="U79" s="68" t="s">
        <v>202</v>
      </c>
      <c r="V79" s="248" t="e">
        <f>IF(V73&gt;V43,INT((V73-V43)*初始化表!E12),0)</f>
        <v>#DIV/0!</v>
      </c>
      <c r="W79" s="248" t="e">
        <f>IF(W73&gt;W43,INT((W73-W43)*初始化表!F12),0)</f>
        <v>#DIV/0!</v>
      </c>
      <c r="X79" s="248" t="e">
        <f>IF(X73&gt;X43,INT((X73-X43)*初始化表!G12),0)</f>
        <v>#DIV/0!</v>
      </c>
      <c r="Y79" s="248" t="e">
        <f>IF(Y73&gt;Y43,INT((Y73-Y43)*初始化表!H12),0)</f>
        <v>#DIV/0!</v>
      </c>
      <c r="Z79" s="249"/>
      <c r="AA79" s="254"/>
      <c r="AB79" s="249"/>
      <c r="AC79" s="249"/>
      <c r="AD79" s="249"/>
      <c r="AE79" s="249"/>
      <c r="AF79" s="249"/>
      <c r="AG79" s="249"/>
      <c r="AH79" s="254"/>
      <c r="AI79" s="182"/>
      <c r="AJ79" s="183"/>
      <c r="AK79" s="183"/>
      <c r="AL79" s="183"/>
      <c r="AM79" s="183"/>
      <c r="AN79" s="183"/>
      <c r="AO79" s="183"/>
      <c r="AP79" s="183"/>
      <c r="AQ79" s="183"/>
      <c r="AR79" s="183"/>
      <c r="AS79" s="183"/>
      <c r="AT79" s="183"/>
      <c r="AU79" s="183"/>
      <c r="AV79" s="183"/>
      <c r="AW79" s="183"/>
      <c r="AX79" s="183"/>
      <c r="AY79" s="183"/>
      <c r="AZ79" s="193"/>
      <c r="BA79" s="203"/>
      <c r="BB79" s="203"/>
      <c r="BC79" s="203"/>
      <c r="BD79" s="203"/>
      <c r="BE79" s="203"/>
      <c r="BF79" s="203"/>
      <c r="BG79" s="203"/>
      <c r="BH79" s="203"/>
      <c r="BI79" s="203"/>
      <c r="BJ79" s="203"/>
      <c r="BK79" s="203"/>
      <c r="BL79" s="203"/>
      <c r="BM79" s="203"/>
      <c r="BN79" s="203"/>
      <c r="BO79" s="203"/>
      <c r="BP79" s="203"/>
      <c r="BQ79" s="203"/>
      <c r="BR79" s="211"/>
      <c r="BS79" s="211"/>
      <c r="BT79" s="211"/>
      <c r="BU79" s="211"/>
      <c r="BV79" s="211"/>
      <c r="BW79" s="211"/>
      <c r="BX79" s="211"/>
      <c r="BY79" s="211"/>
      <c r="BZ79" s="211"/>
      <c r="CA79" s="211"/>
      <c r="CB79" s="211"/>
      <c r="CC79" s="211"/>
      <c r="CD79" s="211"/>
      <c r="CE79" s="211"/>
      <c r="CF79" s="211"/>
      <c r="CG79" s="211"/>
      <c r="CH79" s="211"/>
      <c r="CI79" s="211"/>
      <c r="CJ79" s="211"/>
      <c r="CK79" s="203"/>
      <c r="CL79" s="203"/>
      <c r="CM79" s="203"/>
      <c r="CN79" s="203"/>
      <c r="CO79" s="203"/>
      <c r="CP79" s="203"/>
      <c r="CQ79" s="203"/>
      <c r="CR79" s="203"/>
      <c r="CS79" s="203"/>
    </row>
    <row r="80" s="61" customFormat="1" ht="16" customHeight="1" spans="1:97">
      <c r="A80" s="68" t="s">
        <v>806</v>
      </c>
      <c r="B80" s="77" t="e">
        <f>C79</f>
        <v>#DIV/0!</v>
      </c>
      <c r="C80" s="77"/>
      <c r="D80" s="74"/>
      <c r="E80" s="163" t="s">
        <v>471</v>
      </c>
      <c r="F80" s="236" t="e">
        <f>IF(F77&lt;0,F77*初始化表!B26+第7期!F80,IF(F77*初始化表!B25&gt;-第7期!F80,0,第7期!F80+F77*初始化表!B25))</f>
        <v>#DIV/0!</v>
      </c>
      <c r="G80" s="73"/>
      <c r="H80" s="68" t="s">
        <v>466</v>
      </c>
      <c r="I80" s="77" t="e">
        <f>第7期!BN44</f>
        <v>#DIV/0!</v>
      </c>
      <c r="J80" s="77" t="e">
        <f>第7期!BO44</f>
        <v>#DIV/0!</v>
      </c>
      <c r="K80" s="77" t="e">
        <f>第7期!BP44</f>
        <v>#DIV/0!</v>
      </c>
      <c r="L80" s="77" t="e">
        <f>第7期!BQ44</f>
        <v>#DIV/0!</v>
      </c>
      <c r="M80" s="243" t="e">
        <f>SUM(I80:L80)</f>
        <v>#DIV/0!</v>
      </c>
      <c r="N80" s="117" t="s">
        <v>206</v>
      </c>
      <c r="O80" s="244" t="e">
        <f>V25-O70*(O75-IF($J8&gt;0,5,0))</f>
        <v>#DIV/0!</v>
      </c>
      <c r="P80" s="244" t="e">
        <f t="shared" ref="P80:R80" si="97">W25-P70*(P75-IF($J8&gt;0,5,0))</f>
        <v>#DIV/0!</v>
      </c>
      <c r="Q80" s="244" t="e">
        <f t="shared" si="97"/>
        <v>#DIV/0!</v>
      </c>
      <c r="R80" s="244" t="e">
        <f t="shared" si="97"/>
        <v>#DIV/0!</v>
      </c>
      <c r="S80" s="74"/>
      <c r="T80" s="120"/>
      <c r="U80" s="68" t="s">
        <v>206</v>
      </c>
      <c r="V80" s="248" t="e">
        <f>IF(V74&gt;V44,INT((V74-V44)*初始化表!E13),0)</f>
        <v>#DIV/0!</v>
      </c>
      <c r="W80" s="248" t="e">
        <f>IF(W74&gt;W44,INT((W74-W44)*初始化表!F13),0)</f>
        <v>#DIV/0!</v>
      </c>
      <c r="X80" s="248" t="e">
        <f>IF(X74&gt;X44,INT((X74-X44)*初始化表!G13),0)</f>
        <v>#DIV/0!</v>
      </c>
      <c r="Y80" s="248" t="e">
        <f>IF(Y74&gt;Y44,INT((Y74-Y44)*初始化表!H13),0)</f>
        <v>#DIV/0!</v>
      </c>
      <c r="Z80" s="249"/>
      <c r="AA80" s="254"/>
      <c r="AB80" s="249"/>
      <c r="AC80" s="249"/>
      <c r="AD80" s="249"/>
      <c r="AE80" s="249"/>
      <c r="AF80" s="249"/>
      <c r="AG80" s="249"/>
      <c r="AH80" s="254"/>
      <c r="AI80" s="182"/>
      <c r="AJ80" s="183"/>
      <c r="AK80" s="183"/>
      <c r="AL80" s="183"/>
      <c r="AM80" s="183"/>
      <c r="AN80" s="183"/>
      <c r="AO80" s="183"/>
      <c r="AP80" s="183"/>
      <c r="AQ80" s="183"/>
      <c r="AR80" s="183"/>
      <c r="AS80" s="183"/>
      <c r="AT80" s="183"/>
      <c r="AU80" s="183"/>
      <c r="AV80" s="183"/>
      <c r="AW80" s="183"/>
      <c r="AX80" s="183"/>
      <c r="AY80" s="183"/>
      <c r="AZ80" s="193"/>
      <c r="BA80" s="203"/>
      <c r="BB80" s="203"/>
      <c r="BC80" s="203"/>
      <c r="BD80" s="203"/>
      <c r="BE80" s="203"/>
      <c r="BF80" s="203"/>
      <c r="BG80" s="203"/>
      <c r="BH80" s="203"/>
      <c r="BI80" s="203"/>
      <c r="BJ80" s="203"/>
      <c r="BK80" s="203"/>
      <c r="BL80" s="203"/>
      <c r="BM80" s="203"/>
      <c r="BN80" s="203"/>
      <c r="BO80" s="203"/>
      <c r="BP80" s="203"/>
      <c r="BQ80" s="203"/>
      <c r="BR80" s="211"/>
      <c r="BS80" s="211"/>
      <c r="BT80" s="211"/>
      <c r="BU80" s="211"/>
      <c r="BV80" s="211"/>
      <c r="BW80" s="211"/>
      <c r="BX80" s="211"/>
      <c r="BY80" s="211"/>
      <c r="BZ80" s="211"/>
      <c r="CA80" s="211"/>
      <c r="CB80" s="211"/>
      <c r="CC80" s="211"/>
      <c r="CD80" s="211"/>
      <c r="CE80" s="211"/>
      <c r="CF80" s="211"/>
      <c r="CG80" s="211"/>
      <c r="CH80" s="211"/>
      <c r="CI80" s="211"/>
      <c r="CJ80" s="211"/>
      <c r="CK80" s="203"/>
      <c r="CL80" s="203"/>
      <c r="CM80" s="203"/>
      <c r="CN80" s="203"/>
      <c r="CO80" s="203"/>
      <c r="CP80" s="203"/>
      <c r="CQ80" s="203"/>
      <c r="CR80" s="203"/>
      <c r="CS80" s="203"/>
    </row>
    <row r="81" s="61" customFormat="1" ht="16" customHeight="1" spans="1:88">
      <c r="A81" s="74"/>
      <c r="B81" s="74"/>
      <c r="C81" s="74"/>
      <c r="D81" s="74"/>
      <c r="E81" s="163" t="s">
        <v>264</v>
      </c>
      <c r="F81" s="236" t="e">
        <f>第7期!F81*(1+初始化表!B27/4)+E24</f>
        <v>#DIV/0!</v>
      </c>
      <c r="G81" s="73"/>
      <c r="H81" s="68" t="s">
        <v>468</v>
      </c>
      <c r="I81" s="77" t="e">
        <f>第7期!BN45</f>
        <v>#DIV/0!</v>
      </c>
      <c r="J81" s="77" t="e">
        <f>第7期!BO45</f>
        <v>#DIV/0!</v>
      </c>
      <c r="K81" s="77" t="e">
        <f>第7期!BP45</f>
        <v>#DIV/0!</v>
      </c>
      <c r="L81" s="77" t="e">
        <f>第7期!BQ45</f>
        <v>#DIV/0!</v>
      </c>
      <c r="M81" s="243" t="e">
        <f>SUM(I81:L81)</f>
        <v>#DIV/0!</v>
      </c>
      <c r="N81" s="117" t="s">
        <v>208</v>
      </c>
      <c r="O81" s="244" t="e">
        <f t="shared" ref="O81:R81" si="98">V26-O71*(O76-IF($J9&gt;0,5,0))</f>
        <v>#DIV/0!</v>
      </c>
      <c r="P81" s="244" t="e">
        <f t="shared" si="98"/>
        <v>#DIV/0!</v>
      </c>
      <c r="Q81" s="244" t="e">
        <f t="shared" si="98"/>
        <v>#DIV/0!</v>
      </c>
      <c r="R81" s="244" t="e">
        <f t="shared" si="98"/>
        <v>#DIV/0!</v>
      </c>
      <c r="S81" s="74"/>
      <c r="T81" s="120"/>
      <c r="U81" s="68" t="s">
        <v>208</v>
      </c>
      <c r="V81" s="248" t="e">
        <f>IF(V75&gt;V45,INT((V75-V45)*初始化表!E14),0)</f>
        <v>#DIV/0!</v>
      </c>
      <c r="W81" s="248" t="e">
        <f>IF(W75&gt;W45,INT((W75-W45)*初始化表!F14),0)</f>
        <v>#DIV/0!</v>
      </c>
      <c r="X81" s="248" t="e">
        <f>IF(X75&gt;X45,INT((X75-X45)*初始化表!G14),0)</f>
        <v>#DIV/0!</v>
      </c>
      <c r="Y81" s="248" t="e">
        <f>IF(Y75&gt;Y45,INT((Y75-Y45)*初始化表!H14),0)</f>
        <v>#DIV/0!</v>
      </c>
      <c r="Z81" s="249"/>
      <c r="AA81" s="254"/>
      <c r="AB81" s="249"/>
      <c r="AC81" s="249"/>
      <c r="AD81" s="249"/>
      <c r="AE81" s="249"/>
      <c r="AF81" s="249"/>
      <c r="AG81" s="249"/>
      <c r="AH81" s="254"/>
      <c r="AZ81" s="63"/>
      <c r="BR81" s="62"/>
      <c r="BS81" s="62"/>
      <c r="BT81" s="62"/>
      <c r="BU81" s="62"/>
      <c r="BV81" s="62"/>
      <c r="BW81" s="62"/>
      <c r="BX81" s="62"/>
      <c r="BY81" s="62"/>
      <c r="BZ81" s="62"/>
      <c r="CA81" s="62"/>
      <c r="CB81" s="62"/>
      <c r="CC81" s="62"/>
      <c r="CD81" s="62"/>
      <c r="CE81" s="62"/>
      <c r="CF81" s="62"/>
      <c r="CG81" s="62"/>
      <c r="CH81" s="62"/>
      <c r="CI81" s="62"/>
      <c r="CJ81" s="62"/>
    </row>
    <row r="82" s="61" customFormat="1" ht="16" customHeight="1" spans="1:88">
      <c r="A82" s="74"/>
      <c r="B82" s="74"/>
      <c r="C82" s="74"/>
      <c r="D82" s="74"/>
      <c r="E82" s="163" t="s">
        <v>268</v>
      </c>
      <c r="F82" s="236" t="e">
        <f>B80</f>
        <v>#DIV/0!</v>
      </c>
      <c r="G82" s="73"/>
      <c r="H82" s="237" t="s">
        <v>724</v>
      </c>
      <c r="I82" s="238"/>
      <c r="J82" s="238"/>
      <c r="K82" s="238"/>
      <c r="L82" s="238"/>
      <c r="M82" s="238"/>
      <c r="N82" s="238"/>
      <c r="O82" s="238"/>
      <c r="P82" s="238"/>
      <c r="Q82" s="238"/>
      <c r="R82" s="238"/>
      <c r="S82" s="74"/>
      <c r="T82" s="120"/>
      <c r="U82" s="249"/>
      <c r="V82" s="249"/>
      <c r="W82" s="249"/>
      <c r="X82" s="249"/>
      <c r="Y82" s="249"/>
      <c r="Z82" s="249"/>
      <c r="AA82" s="254"/>
      <c r="AB82" s="249"/>
      <c r="AC82" s="249"/>
      <c r="AD82" s="249"/>
      <c r="AE82" s="249"/>
      <c r="AF82" s="249"/>
      <c r="AG82" s="249"/>
      <c r="AH82" s="254"/>
      <c r="AI82" s="68" t="s">
        <v>488</v>
      </c>
      <c r="AJ82" s="69"/>
      <c r="AK82" s="69"/>
      <c r="AL82" s="69"/>
      <c r="AM82" s="69"/>
      <c r="AN82" s="69"/>
      <c r="AO82" s="69"/>
      <c r="AP82" s="69"/>
      <c r="AQ82" s="69"/>
      <c r="AR82" s="69"/>
      <c r="AS82" s="69"/>
      <c r="AT82" s="69"/>
      <c r="AU82" s="69"/>
      <c r="AV82" s="69"/>
      <c r="AZ82" s="63"/>
      <c r="BR82" s="62"/>
      <c r="BS82" s="62"/>
      <c r="BT82" s="62"/>
      <c r="BU82" s="62"/>
      <c r="BV82" s="62"/>
      <c r="BW82" s="62"/>
      <c r="BX82" s="62"/>
      <c r="BY82" s="62"/>
      <c r="BZ82" s="62"/>
      <c r="CA82" s="62"/>
      <c r="CB82" s="62"/>
      <c r="CC82" s="62"/>
      <c r="CD82" s="62"/>
      <c r="CE82" s="62"/>
      <c r="CF82" s="62"/>
      <c r="CG82" s="62"/>
      <c r="CH82" s="62"/>
      <c r="CI82" s="62"/>
      <c r="CJ82" s="62"/>
    </row>
    <row r="83" s="61" customFormat="1" ht="16" customHeight="1" spans="1:88">
      <c r="A83" s="74"/>
      <c r="B83" s="74"/>
      <c r="C83" s="74"/>
      <c r="D83" s="74"/>
      <c r="E83" s="163" t="s">
        <v>270</v>
      </c>
      <c r="F83" s="236" t="e">
        <f>IF(初始化表!B1=1,F77/(L17+K18),F77/L17)</f>
        <v>#DIV/0!</v>
      </c>
      <c r="G83" s="73"/>
      <c r="H83" s="238"/>
      <c r="I83" s="238"/>
      <c r="J83" s="238"/>
      <c r="K83" s="238"/>
      <c r="L83" s="238"/>
      <c r="M83" s="238"/>
      <c r="N83" s="238"/>
      <c r="O83" s="238"/>
      <c r="P83" s="238"/>
      <c r="Q83" s="238"/>
      <c r="R83" s="238"/>
      <c r="S83" s="74"/>
      <c r="T83" s="120"/>
      <c r="U83" s="68" t="s">
        <v>687</v>
      </c>
      <c r="V83" s="68" t="s">
        <v>459</v>
      </c>
      <c r="W83" s="68" t="s">
        <v>460</v>
      </c>
      <c r="X83" s="68" t="s">
        <v>461</v>
      </c>
      <c r="Y83" s="68" t="s">
        <v>462</v>
      </c>
      <c r="Z83" s="249"/>
      <c r="AA83" s="254"/>
      <c r="AB83" s="249"/>
      <c r="AC83" s="249"/>
      <c r="AD83" s="249"/>
      <c r="AE83" s="249"/>
      <c r="AF83" s="249"/>
      <c r="AG83" s="249"/>
      <c r="AH83" s="254"/>
      <c r="AI83" s="163" t="s">
        <v>37</v>
      </c>
      <c r="AJ83" s="69" t="s">
        <v>343</v>
      </c>
      <c r="AK83" s="69" t="s">
        <v>344</v>
      </c>
      <c r="AL83" s="69" t="s">
        <v>345</v>
      </c>
      <c r="AM83" s="69" t="s">
        <v>346</v>
      </c>
      <c r="AN83" s="69" t="s">
        <v>310</v>
      </c>
      <c r="AO83" s="69" t="s">
        <v>313</v>
      </c>
      <c r="AP83" s="69" t="s">
        <v>347</v>
      </c>
      <c r="AQ83" s="69" t="s">
        <v>264</v>
      </c>
      <c r="AR83" s="69" t="s">
        <v>268</v>
      </c>
      <c r="AS83" s="69" t="s">
        <v>270</v>
      </c>
      <c r="AT83" s="69" t="s">
        <v>272</v>
      </c>
      <c r="AU83" s="69" t="str">
        <f>IF(初始化表!$B1=1,"综合评分","")</f>
        <v/>
      </c>
      <c r="AV83" s="69" t="str">
        <f>IF(初始化表!$B1=1,"总评名次","")</f>
        <v/>
      </c>
      <c r="AZ83" s="63"/>
      <c r="BR83" s="62"/>
      <c r="BS83" s="62"/>
      <c r="BT83" s="62"/>
      <c r="BU83" s="62"/>
      <c r="BV83" s="62"/>
      <c r="BW83" s="62"/>
      <c r="BX83" s="62"/>
      <c r="BY83" s="62"/>
      <c r="BZ83" s="62"/>
      <c r="CA83" s="62"/>
      <c r="CB83" s="62"/>
      <c r="CC83" s="62"/>
      <c r="CD83" s="62"/>
      <c r="CE83" s="62"/>
      <c r="CF83" s="62"/>
      <c r="CG83" s="62"/>
      <c r="CH83" s="62"/>
      <c r="CI83" s="62"/>
      <c r="CJ83" s="62"/>
    </row>
    <row r="84" s="61" customFormat="1" ht="16" customHeight="1" spans="1:88">
      <c r="A84" s="74"/>
      <c r="B84" s="74"/>
      <c r="C84" s="74"/>
      <c r="D84" s="74"/>
      <c r="E84" s="163" t="s">
        <v>707</v>
      </c>
      <c r="F84" s="239" t="e">
        <f>F77/(F82+F75+C37)</f>
        <v>#DIV/0!</v>
      </c>
      <c r="G84" s="73"/>
      <c r="H84" s="68" t="s">
        <v>548</v>
      </c>
      <c r="I84" s="68" t="s">
        <v>459</v>
      </c>
      <c r="J84" s="68" t="s">
        <v>460</v>
      </c>
      <c r="K84" s="68" t="s">
        <v>461</v>
      </c>
      <c r="L84" s="68" t="s">
        <v>462</v>
      </c>
      <c r="M84" s="68" t="s">
        <v>549</v>
      </c>
      <c r="N84" s="68" t="s">
        <v>561</v>
      </c>
      <c r="O84" s="68" t="s">
        <v>459</v>
      </c>
      <c r="P84" s="68" t="s">
        <v>460</v>
      </c>
      <c r="Q84" s="68" t="s">
        <v>461</v>
      </c>
      <c r="R84" s="68" t="s">
        <v>462</v>
      </c>
      <c r="S84" s="74"/>
      <c r="T84" s="120"/>
      <c r="U84" s="68" t="s">
        <v>464</v>
      </c>
      <c r="V84" s="251">
        <f>INT(B12*(1-$O$43)+0.5)</f>
        <v>0</v>
      </c>
      <c r="W84" s="251">
        <f>INT(C12*(1-$O$43)+0.5)</f>
        <v>0</v>
      </c>
      <c r="X84" s="251">
        <f>INT(D12*(1-$O$43)+0.5)</f>
        <v>0</v>
      </c>
      <c r="Y84" s="251">
        <f>INT(E12*(1-$O$43)+0.5)</f>
        <v>0</v>
      </c>
      <c r="Z84" s="249"/>
      <c r="AA84" s="254"/>
      <c r="AB84" s="249"/>
      <c r="AC84" s="249"/>
      <c r="AD84" s="249"/>
      <c r="AE84" s="249"/>
      <c r="AF84" s="249"/>
      <c r="AG84" s="249"/>
      <c r="AH84" s="254"/>
      <c r="AI84" s="172"/>
      <c r="AJ84" s="172"/>
      <c r="AK84" s="172"/>
      <c r="AL84" s="172"/>
      <c r="AM84" s="172"/>
      <c r="AN84" s="172"/>
      <c r="AO84" s="172"/>
      <c r="AP84" s="172"/>
      <c r="AQ84" s="172"/>
      <c r="AR84" s="172"/>
      <c r="AS84" s="172"/>
      <c r="AT84" s="172"/>
      <c r="AU84" s="261"/>
      <c r="AV84" s="261"/>
      <c r="AZ84" s="63"/>
      <c r="BR84" s="62"/>
      <c r="BS84" s="62"/>
      <c r="BT84" s="62"/>
      <c r="BU84" s="62"/>
      <c r="BV84" s="62"/>
      <c r="BW84" s="62"/>
      <c r="BX84" s="62"/>
      <c r="BY84" s="62"/>
      <c r="BZ84" s="62"/>
      <c r="CA84" s="62"/>
      <c r="CB84" s="62"/>
      <c r="CC84" s="62"/>
      <c r="CD84" s="62"/>
      <c r="CE84" s="62"/>
      <c r="CF84" s="62"/>
      <c r="CG84" s="62"/>
      <c r="CH84" s="62"/>
      <c r="CI84" s="62"/>
      <c r="CJ84" s="62"/>
    </row>
    <row r="85" s="61" customFormat="1" ht="16" customHeight="1" spans="1:88">
      <c r="A85" s="74"/>
      <c r="B85" s="74"/>
      <c r="C85" s="74"/>
      <c r="D85" s="74"/>
      <c r="E85" s="74"/>
      <c r="F85" s="74"/>
      <c r="G85" s="73"/>
      <c r="H85" s="68" t="s">
        <v>464</v>
      </c>
      <c r="I85" s="115">
        <f>V17</f>
        <v>0</v>
      </c>
      <c r="J85" s="115">
        <f t="shared" ref="J85:L88" si="99">W17</f>
        <v>0</v>
      </c>
      <c r="K85" s="115">
        <f t="shared" si="99"/>
        <v>0</v>
      </c>
      <c r="L85" s="115">
        <f t="shared" si="99"/>
        <v>0</v>
      </c>
      <c r="M85" s="115">
        <f>SUM(I85:L85)</f>
        <v>0</v>
      </c>
      <c r="N85" s="68" t="s">
        <v>464</v>
      </c>
      <c r="O85" s="115" t="e">
        <f>V23</f>
        <v>#DIV/0!</v>
      </c>
      <c r="P85" s="115" t="e">
        <f t="shared" ref="P85:R88" si="100">W23</f>
        <v>#DIV/0!</v>
      </c>
      <c r="Q85" s="115" t="e">
        <f t="shared" si="100"/>
        <v>#DIV/0!</v>
      </c>
      <c r="R85" s="115" t="e">
        <f t="shared" si="100"/>
        <v>#DIV/0!</v>
      </c>
      <c r="S85" s="74"/>
      <c r="T85" s="120"/>
      <c r="U85" s="68" t="s">
        <v>465</v>
      </c>
      <c r="V85" s="251">
        <f>INT(B13*(1-$P$43)+0.5)</f>
        <v>0</v>
      </c>
      <c r="W85" s="251">
        <f>INT(C13*(1-$P$43)+0.5)</f>
        <v>0</v>
      </c>
      <c r="X85" s="251">
        <f>INT(D13*(1-$P$43)+0.5)</f>
        <v>0</v>
      </c>
      <c r="Y85" s="251">
        <f>INT(E13*(1-$P$43)+0.5)</f>
        <v>0</v>
      </c>
      <c r="Z85" s="249"/>
      <c r="AA85" s="254"/>
      <c r="AB85" s="249"/>
      <c r="AC85" s="249"/>
      <c r="AD85" s="249"/>
      <c r="AE85" s="249"/>
      <c r="AF85" s="249"/>
      <c r="AG85" s="249"/>
      <c r="AH85" s="254"/>
      <c r="AI85" s="172"/>
      <c r="AJ85" s="172"/>
      <c r="AK85" s="172"/>
      <c r="AL85" s="172"/>
      <c r="AM85" s="172"/>
      <c r="AN85" s="172"/>
      <c r="AO85" s="172"/>
      <c r="AP85" s="172"/>
      <c r="AQ85" s="172"/>
      <c r="AR85" s="172"/>
      <c r="AS85" s="172"/>
      <c r="AT85" s="172"/>
      <c r="AU85" s="261"/>
      <c r="AV85" s="261"/>
      <c r="AZ85" s="63"/>
      <c r="BR85" s="62"/>
      <c r="BS85" s="62"/>
      <c r="BT85" s="62"/>
      <c r="BU85" s="62"/>
      <c r="BV85" s="62"/>
      <c r="BW85" s="62"/>
      <c r="BX85" s="62"/>
      <c r="BY85" s="62"/>
      <c r="BZ85" s="62"/>
      <c r="CA85" s="62"/>
      <c r="CB85" s="62"/>
      <c r="CC85" s="62"/>
      <c r="CD85" s="62"/>
      <c r="CE85" s="62"/>
      <c r="CF85" s="62"/>
      <c r="CG85" s="62"/>
      <c r="CH85" s="62"/>
      <c r="CI85" s="62"/>
      <c r="CJ85" s="62"/>
    </row>
    <row r="86" s="61" customFormat="1" ht="16" customHeight="1" spans="1:88">
      <c r="A86" s="74"/>
      <c r="B86" s="74"/>
      <c r="C86" s="74"/>
      <c r="D86" s="74"/>
      <c r="E86" s="74"/>
      <c r="F86" s="74"/>
      <c r="G86" s="73"/>
      <c r="H86" s="68" t="s">
        <v>465</v>
      </c>
      <c r="I86" s="115">
        <f t="shared" ref="I86:I88" si="101">V18</f>
        <v>0</v>
      </c>
      <c r="J86" s="115">
        <f t="shared" si="99"/>
        <v>0</v>
      </c>
      <c r="K86" s="115">
        <f t="shared" si="99"/>
        <v>0</v>
      </c>
      <c r="L86" s="115">
        <f t="shared" si="99"/>
        <v>0</v>
      </c>
      <c r="M86" s="115">
        <f t="shared" ref="M86:M88" si="102">SUM(I86:L86)</f>
        <v>0</v>
      </c>
      <c r="N86" s="68" t="s">
        <v>465</v>
      </c>
      <c r="O86" s="115" t="e">
        <f t="shared" ref="O86:O88" si="103">V24</f>
        <v>#DIV/0!</v>
      </c>
      <c r="P86" s="115" t="e">
        <f t="shared" si="100"/>
        <v>#DIV/0!</v>
      </c>
      <c r="Q86" s="115" t="e">
        <f t="shared" si="100"/>
        <v>#DIV/0!</v>
      </c>
      <c r="R86" s="115" t="e">
        <f t="shared" si="100"/>
        <v>#DIV/0!</v>
      </c>
      <c r="S86" s="74"/>
      <c r="T86" s="120"/>
      <c r="U86" s="68" t="s">
        <v>466</v>
      </c>
      <c r="V86" s="251">
        <f>INT(B14*(1-$Q$43)+0.5)</f>
        <v>0</v>
      </c>
      <c r="W86" s="251">
        <f>INT(C14*(1-$Q$43)+0.5)</f>
        <v>0</v>
      </c>
      <c r="X86" s="251">
        <f>INT(D14*(1-$Q$43)+0.5)</f>
        <v>0</v>
      </c>
      <c r="Y86" s="251">
        <f>INT(E14*(1-$Q$43)+0.5)</f>
        <v>0</v>
      </c>
      <c r="Z86" s="74"/>
      <c r="AA86" s="73"/>
      <c r="AB86" s="74"/>
      <c r="AC86" s="74"/>
      <c r="AD86" s="74"/>
      <c r="AE86" s="74"/>
      <c r="AF86" s="74"/>
      <c r="AG86" s="74"/>
      <c r="AH86" s="73"/>
      <c r="AI86" s="255"/>
      <c r="AJ86" s="256"/>
      <c r="AK86" s="256"/>
      <c r="AL86" s="256"/>
      <c r="AM86" s="256"/>
      <c r="AN86" s="256"/>
      <c r="AO86" s="256"/>
      <c r="AP86" s="256"/>
      <c r="AQ86" s="256"/>
      <c r="AR86" s="256"/>
      <c r="AS86" s="256"/>
      <c r="AT86" s="256"/>
      <c r="AU86" s="261"/>
      <c r="AV86" s="261"/>
      <c r="AZ86" s="63"/>
      <c r="BR86" s="62"/>
      <c r="BS86" s="62"/>
      <c r="BT86" s="62"/>
      <c r="BU86" s="62"/>
      <c r="BV86" s="62"/>
      <c r="BW86" s="62"/>
      <c r="BX86" s="62"/>
      <c r="BY86" s="62"/>
      <c r="BZ86" s="62"/>
      <c r="CA86" s="62"/>
      <c r="CB86" s="62"/>
      <c r="CC86" s="62"/>
      <c r="CD86" s="62"/>
      <c r="CE86" s="62"/>
      <c r="CF86" s="62"/>
      <c r="CG86" s="62"/>
      <c r="CH86" s="62"/>
      <c r="CI86" s="62"/>
      <c r="CJ86" s="62"/>
    </row>
    <row r="87" s="61" customFormat="1" ht="16" customHeight="1" spans="1:88">
      <c r="A87" s="74"/>
      <c r="B87" s="74"/>
      <c r="C87" s="74"/>
      <c r="D87" s="74"/>
      <c r="E87" s="74"/>
      <c r="F87" s="74"/>
      <c r="G87" s="73"/>
      <c r="H87" s="68" t="s">
        <v>466</v>
      </c>
      <c r="I87" s="115">
        <f t="shared" si="101"/>
        <v>0</v>
      </c>
      <c r="J87" s="115">
        <f t="shared" si="99"/>
        <v>0</v>
      </c>
      <c r="K87" s="115">
        <f t="shared" si="99"/>
        <v>0</v>
      </c>
      <c r="L87" s="115">
        <f t="shared" si="99"/>
        <v>0</v>
      </c>
      <c r="M87" s="115">
        <f t="shared" si="102"/>
        <v>0</v>
      </c>
      <c r="N87" s="68" t="s">
        <v>466</v>
      </c>
      <c r="O87" s="115" t="e">
        <f t="shared" si="103"/>
        <v>#DIV/0!</v>
      </c>
      <c r="P87" s="115" t="e">
        <f t="shared" si="100"/>
        <v>#DIV/0!</v>
      </c>
      <c r="Q87" s="115" t="e">
        <f t="shared" si="100"/>
        <v>#DIV/0!</v>
      </c>
      <c r="R87" s="115" t="e">
        <f t="shared" si="100"/>
        <v>#DIV/0!</v>
      </c>
      <c r="S87" s="74"/>
      <c r="T87" s="120"/>
      <c r="U87" s="68" t="s">
        <v>468</v>
      </c>
      <c r="V87" s="251">
        <f>INT(B15*(1-$R$43)+0.5)</f>
        <v>0</v>
      </c>
      <c r="W87" s="251">
        <f>INT(C15*(1-$R$43)+0.5)</f>
        <v>0</v>
      </c>
      <c r="X87" s="251">
        <f>INT(D15*(1-$R$43)+0.5)</f>
        <v>0</v>
      </c>
      <c r="Y87" s="251">
        <f>INT(E15*(1-$R$43)+0.5)</f>
        <v>0</v>
      </c>
      <c r="Z87" s="74"/>
      <c r="AA87" s="73"/>
      <c r="AB87" s="74"/>
      <c r="AC87" s="74"/>
      <c r="AD87" s="74"/>
      <c r="AE87" s="74"/>
      <c r="AF87" s="74"/>
      <c r="AG87" s="74"/>
      <c r="AH87" s="73"/>
      <c r="AI87" s="255"/>
      <c r="AJ87" s="256"/>
      <c r="AK87" s="256"/>
      <c r="AL87" s="256"/>
      <c r="AM87" s="256"/>
      <c r="AN87" s="256"/>
      <c r="AO87" s="256"/>
      <c r="AP87" s="256"/>
      <c r="AQ87" s="256"/>
      <c r="AR87" s="256"/>
      <c r="AS87" s="256"/>
      <c r="AT87" s="256"/>
      <c r="AU87" s="261"/>
      <c r="AV87" s="261"/>
      <c r="AZ87" s="63"/>
      <c r="BR87" s="62"/>
      <c r="BS87" s="62"/>
      <c r="BT87" s="62"/>
      <c r="BU87" s="62"/>
      <c r="BV87" s="62"/>
      <c r="BW87" s="62"/>
      <c r="BX87" s="62"/>
      <c r="BY87" s="62"/>
      <c r="BZ87" s="62"/>
      <c r="CA87" s="62"/>
      <c r="CB87" s="62"/>
      <c r="CC87" s="62"/>
      <c r="CD87" s="62"/>
      <c r="CE87" s="62"/>
      <c r="CF87" s="62"/>
      <c r="CG87" s="62"/>
      <c r="CH87" s="62"/>
      <c r="CI87" s="62"/>
      <c r="CJ87" s="62"/>
    </row>
    <row r="88" s="61" customFormat="1" ht="16" customHeight="1" spans="1:88">
      <c r="A88" s="74"/>
      <c r="B88" s="74"/>
      <c r="C88" s="74"/>
      <c r="D88" s="74"/>
      <c r="E88" s="74"/>
      <c r="F88" s="74"/>
      <c r="G88" s="73"/>
      <c r="H88" s="68" t="s">
        <v>468</v>
      </c>
      <c r="I88" s="115">
        <f t="shared" si="101"/>
        <v>0</v>
      </c>
      <c r="J88" s="115">
        <f t="shared" si="99"/>
        <v>0</v>
      </c>
      <c r="K88" s="115">
        <f t="shared" si="99"/>
        <v>0</v>
      </c>
      <c r="L88" s="115">
        <f t="shared" si="99"/>
        <v>0</v>
      </c>
      <c r="M88" s="115">
        <f t="shared" si="102"/>
        <v>0</v>
      </c>
      <c r="N88" s="68" t="s">
        <v>468</v>
      </c>
      <c r="O88" s="115" t="e">
        <f t="shared" si="103"/>
        <v>#DIV/0!</v>
      </c>
      <c r="P88" s="115" t="e">
        <f t="shared" si="100"/>
        <v>#DIV/0!</v>
      </c>
      <c r="Q88" s="115" t="e">
        <f t="shared" si="100"/>
        <v>#DIV/0!</v>
      </c>
      <c r="R88" s="115" t="e">
        <f t="shared" si="100"/>
        <v>#DIV/0!</v>
      </c>
      <c r="S88" s="74"/>
      <c r="T88" s="120"/>
      <c r="U88" s="74"/>
      <c r="V88" s="74"/>
      <c r="W88" s="74"/>
      <c r="X88" s="74"/>
      <c r="Y88" s="74"/>
      <c r="Z88" s="74"/>
      <c r="AA88" s="73"/>
      <c r="AB88" s="74"/>
      <c r="AC88" s="74"/>
      <c r="AD88" s="74"/>
      <c r="AE88" s="74"/>
      <c r="AF88" s="74"/>
      <c r="AG88" s="74"/>
      <c r="AH88" s="73"/>
      <c r="AI88" s="255"/>
      <c r="AJ88" s="256"/>
      <c r="AK88" s="256"/>
      <c r="AL88" s="256"/>
      <c r="AM88" s="256"/>
      <c r="AN88" s="256"/>
      <c r="AO88" s="256"/>
      <c r="AP88" s="256"/>
      <c r="AQ88" s="256"/>
      <c r="AR88" s="256"/>
      <c r="AS88" s="256"/>
      <c r="AT88" s="256"/>
      <c r="AU88" s="261"/>
      <c r="AV88" s="261"/>
      <c r="AZ88" s="63"/>
      <c r="BR88" s="62"/>
      <c r="BS88" s="62"/>
      <c r="BT88" s="62"/>
      <c r="BU88" s="62"/>
      <c r="BV88" s="62"/>
      <c r="BW88" s="62"/>
      <c r="BX88" s="62"/>
      <c r="BY88" s="62"/>
      <c r="BZ88" s="62"/>
      <c r="CA88" s="62"/>
      <c r="CB88" s="62"/>
      <c r="CC88" s="62"/>
      <c r="CD88" s="62"/>
      <c r="CE88" s="62"/>
      <c r="CF88" s="62"/>
      <c r="CG88" s="62"/>
      <c r="CH88" s="62"/>
      <c r="CI88" s="62"/>
      <c r="CJ88" s="62"/>
    </row>
    <row r="89" s="61" customFormat="1" ht="16" customHeight="1" spans="1:88">
      <c r="A89" s="74"/>
      <c r="B89" s="74"/>
      <c r="C89" s="74"/>
      <c r="D89" s="74"/>
      <c r="E89" s="74"/>
      <c r="F89" s="74"/>
      <c r="G89" s="73"/>
      <c r="H89" s="74"/>
      <c r="I89" s="74"/>
      <c r="J89" s="74"/>
      <c r="K89" s="74"/>
      <c r="L89" s="74"/>
      <c r="M89" s="85"/>
      <c r="N89" s="74"/>
      <c r="O89" s="74"/>
      <c r="P89" s="74"/>
      <c r="Q89" s="74"/>
      <c r="R89" s="74"/>
      <c r="S89" s="74"/>
      <c r="T89" s="120"/>
      <c r="U89" s="74"/>
      <c r="V89" s="74"/>
      <c r="W89" s="74"/>
      <c r="X89" s="74"/>
      <c r="Y89" s="74"/>
      <c r="Z89" s="74"/>
      <c r="AA89" s="73"/>
      <c r="AB89" s="74"/>
      <c r="AC89" s="74"/>
      <c r="AD89" s="74"/>
      <c r="AE89" s="74"/>
      <c r="AF89" s="74"/>
      <c r="AG89" s="74"/>
      <c r="AH89" s="73"/>
      <c r="AI89" s="255"/>
      <c r="AJ89" s="256"/>
      <c r="AK89" s="256"/>
      <c r="AL89" s="256"/>
      <c r="AM89" s="256"/>
      <c r="AN89" s="256"/>
      <c r="AO89" s="256"/>
      <c r="AP89" s="256"/>
      <c r="AQ89" s="256"/>
      <c r="AR89" s="256"/>
      <c r="AS89" s="256"/>
      <c r="AT89" s="256"/>
      <c r="AU89" s="261"/>
      <c r="AV89" s="261"/>
      <c r="AZ89" s="63"/>
      <c r="BR89" s="62"/>
      <c r="BS89" s="62"/>
      <c r="BT89" s="62"/>
      <c r="BU89" s="62"/>
      <c r="BV89" s="62"/>
      <c r="BW89" s="62"/>
      <c r="BX89" s="62"/>
      <c r="BY89" s="62"/>
      <c r="BZ89" s="62"/>
      <c r="CA89" s="62"/>
      <c r="CB89" s="62"/>
      <c r="CC89" s="62"/>
      <c r="CD89" s="62"/>
      <c r="CE89" s="62"/>
      <c r="CF89" s="62"/>
      <c r="CG89" s="62"/>
      <c r="CH89" s="62"/>
      <c r="CI89" s="62"/>
      <c r="CJ89" s="62"/>
    </row>
    <row r="90" s="61" customFormat="1" ht="16" customHeight="1" spans="1:88">
      <c r="A90" s="74"/>
      <c r="B90" s="74"/>
      <c r="C90" s="74"/>
      <c r="D90" s="74"/>
      <c r="E90" s="74"/>
      <c r="F90" s="74"/>
      <c r="G90" s="73"/>
      <c r="H90" s="68" t="s">
        <v>731</v>
      </c>
      <c r="I90" s="149" t="s">
        <v>459</v>
      </c>
      <c r="J90" s="149" t="s">
        <v>460</v>
      </c>
      <c r="K90" s="149" t="s">
        <v>461</v>
      </c>
      <c r="L90" s="149" t="s">
        <v>462</v>
      </c>
      <c r="M90" s="245" t="s">
        <v>748</v>
      </c>
      <c r="N90" s="151" t="s">
        <v>562</v>
      </c>
      <c r="O90" s="151" t="s">
        <v>459</v>
      </c>
      <c r="P90" s="151" t="s">
        <v>460</v>
      </c>
      <c r="Q90" s="151" t="s">
        <v>461</v>
      </c>
      <c r="R90" s="151" t="s">
        <v>462</v>
      </c>
      <c r="S90" s="74"/>
      <c r="T90" s="120"/>
      <c r="U90" s="74"/>
      <c r="V90" s="74"/>
      <c r="W90" s="74"/>
      <c r="X90" s="74"/>
      <c r="Y90" s="74"/>
      <c r="Z90" s="74"/>
      <c r="AA90" s="73"/>
      <c r="AB90" s="74"/>
      <c r="AC90" s="74"/>
      <c r="AD90" s="74"/>
      <c r="AE90" s="74"/>
      <c r="AF90" s="74"/>
      <c r="AG90" s="74"/>
      <c r="AH90" s="73"/>
      <c r="AI90" s="255"/>
      <c r="AJ90" s="256"/>
      <c r="AK90" s="256"/>
      <c r="AL90" s="256"/>
      <c r="AM90" s="256"/>
      <c r="AN90" s="256"/>
      <c r="AO90" s="256"/>
      <c r="AP90" s="256"/>
      <c r="AQ90" s="256"/>
      <c r="AR90" s="256"/>
      <c r="AS90" s="256"/>
      <c r="AT90" s="256"/>
      <c r="AU90" s="261"/>
      <c r="AV90" s="261"/>
      <c r="AZ90" s="63"/>
      <c r="BR90" s="62"/>
      <c r="BS90" s="62"/>
      <c r="BT90" s="62"/>
      <c r="BU90" s="62"/>
      <c r="BV90" s="62"/>
      <c r="BW90" s="62"/>
      <c r="BX90" s="62"/>
      <c r="BY90" s="62"/>
      <c r="BZ90" s="62"/>
      <c r="CA90" s="62"/>
      <c r="CB90" s="62"/>
      <c r="CC90" s="62"/>
      <c r="CD90" s="62"/>
      <c r="CE90" s="62"/>
      <c r="CF90" s="62"/>
      <c r="CG90" s="62"/>
      <c r="CH90" s="62"/>
      <c r="CI90" s="62"/>
      <c r="CJ90" s="62"/>
    </row>
    <row r="91" s="61" customFormat="1" ht="16" customHeight="1" spans="1:88">
      <c r="A91" s="74"/>
      <c r="B91" s="74"/>
      <c r="C91" s="74"/>
      <c r="D91" s="74"/>
      <c r="E91" s="74"/>
      <c r="F91" s="74"/>
      <c r="G91" s="73"/>
      <c r="H91" s="68" t="s">
        <v>464</v>
      </c>
      <c r="I91" s="146">
        <f>V54</f>
        <v>0</v>
      </c>
      <c r="J91" s="146">
        <f t="shared" ref="J91:L91" si="104">W54</f>
        <v>0</v>
      </c>
      <c r="K91" s="146">
        <f t="shared" si="104"/>
        <v>0</v>
      </c>
      <c r="L91" s="146">
        <f t="shared" si="104"/>
        <v>0</v>
      </c>
      <c r="M91" s="246" t="str">
        <f>IF((IF(I91&lt;1.1,1,0)+IF(J91&lt;1.1,1,0)+IF(K91&lt;1.1,1,0)+IF(L91&lt;1.1,1,0))&gt;=2,"市场异常","市场正常")</f>
        <v>市场异常</v>
      </c>
      <c r="N91" s="151" t="s">
        <v>464</v>
      </c>
      <c r="O91" s="157" t="e">
        <f>IF(O20="","",AC23)</f>
        <v>#DIV/0!</v>
      </c>
      <c r="P91" s="157" t="e">
        <f t="shared" ref="P91:R94" si="105">IF(P20="","",AD23)</f>
        <v>#DIV/0!</v>
      </c>
      <c r="Q91" s="157" t="e">
        <f t="shared" si="105"/>
        <v>#DIV/0!</v>
      </c>
      <c r="R91" s="157" t="e">
        <f t="shared" si="105"/>
        <v>#DIV/0!</v>
      </c>
      <c r="S91" s="74"/>
      <c r="T91" s="120"/>
      <c r="U91" s="74"/>
      <c r="V91" s="74"/>
      <c r="W91" s="74"/>
      <c r="X91" s="74"/>
      <c r="Y91" s="74"/>
      <c r="Z91" s="74"/>
      <c r="AA91" s="73"/>
      <c r="AB91" s="74"/>
      <c r="AC91" s="74"/>
      <c r="AD91" s="74"/>
      <c r="AE91" s="74"/>
      <c r="AF91" s="74"/>
      <c r="AG91" s="74"/>
      <c r="AH91" s="73"/>
      <c r="AI91" s="255"/>
      <c r="AJ91" s="256"/>
      <c r="AK91" s="256"/>
      <c r="AL91" s="256"/>
      <c r="AM91" s="256"/>
      <c r="AN91" s="256"/>
      <c r="AO91" s="256"/>
      <c r="AP91" s="256"/>
      <c r="AQ91" s="256"/>
      <c r="AR91" s="256"/>
      <c r="AS91" s="256"/>
      <c r="AT91" s="256"/>
      <c r="AU91" s="261"/>
      <c r="AV91" s="261"/>
      <c r="AZ91" s="63"/>
      <c r="BR91" s="62"/>
      <c r="BS91" s="62"/>
      <c r="BT91" s="62"/>
      <c r="BU91" s="62"/>
      <c r="BV91" s="62"/>
      <c r="BW91" s="62"/>
      <c r="BX91" s="62"/>
      <c r="BY91" s="62"/>
      <c r="BZ91" s="62"/>
      <c r="CA91" s="62"/>
      <c r="CB91" s="62"/>
      <c r="CC91" s="62"/>
      <c r="CD91" s="62"/>
      <c r="CE91" s="62"/>
      <c r="CF91" s="62"/>
      <c r="CG91" s="62"/>
      <c r="CH91" s="62"/>
      <c r="CI91" s="62"/>
      <c r="CJ91" s="62"/>
    </row>
    <row r="92" s="61" customFormat="1" ht="16" customHeight="1" spans="1:88">
      <c r="A92" s="74"/>
      <c r="B92" s="74"/>
      <c r="C92" s="74"/>
      <c r="D92" s="74"/>
      <c r="E92" s="74"/>
      <c r="F92" s="74"/>
      <c r="G92" s="73"/>
      <c r="H92" s="68" t="s">
        <v>465</v>
      </c>
      <c r="I92" s="146">
        <f t="shared" ref="I92:I94" si="106">V55</f>
        <v>0</v>
      </c>
      <c r="J92" s="146">
        <f t="shared" ref="J92:J94" si="107">W55</f>
        <v>0</v>
      </c>
      <c r="K92" s="146">
        <f t="shared" ref="K92:K94" si="108">X55</f>
        <v>0</v>
      </c>
      <c r="L92" s="146">
        <f t="shared" ref="L92:L94" si="109">Y55</f>
        <v>0</v>
      </c>
      <c r="M92" s="246" t="str">
        <f t="shared" ref="M92:M94" si="110">IF((IF(I92&lt;1.1,1,0)+IF(J92&lt;1.1,1,0)+IF(K92&lt;1.1,1,0)+IF(L92&lt;1.1,1,0))&gt;=2,"市场异常","市场正常")</f>
        <v>市场异常</v>
      </c>
      <c r="N92" s="151" t="s">
        <v>465</v>
      </c>
      <c r="O92" s="157" t="e">
        <f t="shared" ref="O92:O94" si="111">IF(O21="","",AC24)</f>
        <v>#DIV/0!</v>
      </c>
      <c r="P92" s="157" t="e">
        <f t="shared" si="105"/>
        <v>#DIV/0!</v>
      </c>
      <c r="Q92" s="157" t="e">
        <f t="shared" si="105"/>
        <v>#DIV/0!</v>
      </c>
      <c r="R92" s="157" t="e">
        <f t="shared" si="105"/>
        <v>#DIV/0!</v>
      </c>
      <c r="S92" s="74"/>
      <c r="T92" s="120"/>
      <c r="U92" s="74"/>
      <c r="V92" s="74"/>
      <c r="W92" s="74"/>
      <c r="X92" s="74"/>
      <c r="Y92" s="74"/>
      <c r="Z92" s="74"/>
      <c r="AA92" s="73"/>
      <c r="AB92" s="74"/>
      <c r="AC92" s="74"/>
      <c r="AD92" s="74"/>
      <c r="AE92" s="74"/>
      <c r="AF92" s="74"/>
      <c r="AG92" s="74"/>
      <c r="AH92" s="73"/>
      <c r="AI92" s="255"/>
      <c r="AJ92" s="256"/>
      <c r="AK92" s="256"/>
      <c r="AL92" s="256"/>
      <c r="AM92" s="256"/>
      <c r="AN92" s="256"/>
      <c r="AO92" s="256"/>
      <c r="AP92" s="256"/>
      <c r="AQ92" s="256"/>
      <c r="AR92" s="256"/>
      <c r="AS92" s="256"/>
      <c r="AT92" s="256"/>
      <c r="AU92" s="261"/>
      <c r="AV92" s="261"/>
      <c r="AZ92" s="63"/>
      <c r="BR92" s="62"/>
      <c r="BS92" s="62"/>
      <c r="BT92" s="62"/>
      <c r="BU92" s="62"/>
      <c r="BV92" s="62"/>
      <c r="BW92" s="62"/>
      <c r="BX92" s="62"/>
      <c r="BY92" s="62"/>
      <c r="BZ92" s="62"/>
      <c r="CA92" s="62"/>
      <c r="CB92" s="62"/>
      <c r="CC92" s="62"/>
      <c r="CD92" s="62"/>
      <c r="CE92" s="62"/>
      <c r="CF92" s="62"/>
      <c r="CG92" s="62"/>
      <c r="CH92" s="62"/>
      <c r="CI92" s="62"/>
      <c r="CJ92" s="62"/>
    </row>
    <row r="93" s="61" customFormat="1" ht="16" customHeight="1" spans="1:88">
      <c r="A93" s="74"/>
      <c r="B93" s="74"/>
      <c r="C93" s="74"/>
      <c r="D93" s="74"/>
      <c r="E93" s="74"/>
      <c r="F93" s="74"/>
      <c r="G93" s="73"/>
      <c r="H93" s="68" t="s">
        <v>466</v>
      </c>
      <c r="I93" s="146">
        <f t="shared" si="106"/>
        <v>0</v>
      </c>
      <c r="J93" s="146">
        <f t="shared" si="107"/>
        <v>0</v>
      </c>
      <c r="K93" s="146">
        <f t="shared" si="108"/>
        <v>0</v>
      </c>
      <c r="L93" s="146">
        <f t="shared" si="109"/>
        <v>0</v>
      </c>
      <c r="M93" s="246" t="str">
        <f t="shared" si="110"/>
        <v>市场异常</v>
      </c>
      <c r="N93" s="151" t="s">
        <v>466</v>
      </c>
      <c r="O93" s="157" t="e">
        <f t="shared" si="111"/>
        <v>#DIV/0!</v>
      </c>
      <c r="P93" s="157" t="e">
        <f t="shared" si="105"/>
        <v>#DIV/0!</v>
      </c>
      <c r="Q93" s="157" t="e">
        <f t="shared" si="105"/>
        <v>#DIV/0!</v>
      </c>
      <c r="R93" s="157" t="e">
        <f t="shared" si="105"/>
        <v>#DIV/0!</v>
      </c>
      <c r="S93" s="74"/>
      <c r="T93" s="120"/>
      <c r="U93" s="74"/>
      <c r="V93" s="74"/>
      <c r="W93" s="74"/>
      <c r="X93" s="74"/>
      <c r="Y93" s="74"/>
      <c r="Z93" s="74"/>
      <c r="AA93" s="73"/>
      <c r="AB93" s="74"/>
      <c r="AC93" s="74"/>
      <c r="AD93" s="74"/>
      <c r="AE93" s="74"/>
      <c r="AF93" s="74"/>
      <c r="AG93" s="74"/>
      <c r="AH93" s="73"/>
      <c r="AI93" s="255"/>
      <c r="AJ93" s="256"/>
      <c r="AK93" s="256"/>
      <c r="AL93" s="256"/>
      <c r="AM93" s="256"/>
      <c r="AN93" s="256"/>
      <c r="AO93" s="256"/>
      <c r="AP93" s="256"/>
      <c r="AQ93" s="256"/>
      <c r="AR93" s="256"/>
      <c r="AS93" s="256"/>
      <c r="AT93" s="256"/>
      <c r="AU93" s="261"/>
      <c r="AV93" s="261"/>
      <c r="AZ93" s="63"/>
      <c r="BR93" s="62"/>
      <c r="BS93" s="62"/>
      <c r="BT93" s="62"/>
      <c r="BU93" s="62"/>
      <c r="BV93" s="62"/>
      <c r="BW93" s="62"/>
      <c r="BX93" s="62"/>
      <c r="BY93" s="62"/>
      <c r="BZ93" s="62"/>
      <c r="CA93" s="62"/>
      <c r="CB93" s="62"/>
      <c r="CC93" s="62"/>
      <c r="CD93" s="62"/>
      <c r="CE93" s="62"/>
      <c r="CF93" s="62"/>
      <c r="CG93" s="62"/>
      <c r="CH93" s="62"/>
      <c r="CI93" s="62"/>
      <c r="CJ93" s="62"/>
    </row>
    <row r="94" s="61" customFormat="1" ht="16" customHeight="1" spans="1:88">
      <c r="A94" s="74"/>
      <c r="B94" s="74"/>
      <c r="C94" s="74"/>
      <c r="D94" s="74"/>
      <c r="E94" s="74"/>
      <c r="F94" s="74"/>
      <c r="G94" s="73"/>
      <c r="H94" s="68" t="s">
        <v>468</v>
      </c>
      <c r="I94" s="146">
        <f t="shared" si="106"/>
        <v>0</v>
      </c>
      <c r="J94" s="146">
        <f t="shared" si="107"/>
        <v>0</v>
      </c>
      <c r="K94" s="146">
        <f t="shared" si="108"/>
        <v>0</v>
      </c>
      <c r="L94" s="146">
        <f t="shared" si="109"/>
        <v>0</v>
      </c>
      <c r="M94" s="246" t="str">
        <f t="shared" si="110"/>
        <v>市场异常</v>
      </c>
      <c r="N94" s="151" t="s">
        <v>468</v>
      </c>
      <c r="O94" s="157" t="e">
        <f t="shared" si="111"/>
        <v>#DIV/0!</v>
      </c>
      <c r="P94" s="157" t="e">
        <f t="shared" si="105"/>
        <v>#DIV/0!</v>
      </c>
      <c r="Q94" s="157" t="e">
        <f t="shared" si="105"/>
        <v>#DIV/0!</v>
      </c>
      <c r="R94" s="157" t="e">
        <f t="shared" si="105"/>
        <v>#DIV/0!</v>
      </c>
      <c r="S94" s="74"/>
      <c r="T94" s="120"/>
      <c r="U94" s="74"/>
      <c r="V94" s="74"/>
      <c r="W94" s="74"/>
      <c r="X94" s="74"/>
      <c r="Y94" s="74"/>
      <c r="Z94" s="74"/>
      <c r="AA94" s="73"/>
      <c r="AB94" s="74"/>
      <c r="AC94" s="74"/>
      <c r="AD94" s="74"/>
      <c r="AE94" s="74"/>
      <c r="AF94" s="74"/>
      <c r="AG94" s="74"/>
      <c r="AH94" s="73"/>
      <c r="AI94" s="255"/>
      <c r="AJ94" s="256"/>
      <c r="AK94" s="256"/>
      <c r="AL94" s="256"/>
      <c r="AM94" s="256"/>
      <c r="AN94" s="256"/>
      <c r="AO94" s="256"/>
      <c r="AP94" s="256"/>
      <c r="AQ94" s="256"/>
      <c r="AR94" s="256"/>
      <c r="AS94" s="256"/>
      <c r="AT94" s="256"/>
      <c r="AU94" s="261"/>
      <c r="AV94" s="261"/>
      <c r="AZ94" s="63"/>
      <c r="BR94" s="62"/>
      <c r="BS94" s="62"/>
      <c r="BT94" s="62"/>
      <c r="BU94" s="62"/>
      <c r="BV94" s="62"/>
      <c r="BW94" s="62"/>
      <c r="BX94" s="62"/>
      <c r="BY94" s="62"/>
      <c r="BZ94" s="62"/>
      <c r="CA94" s="62"/>
      <c r="CB94" s="62"/>
      <c r="CC94" s="62"/>
      <c r="CD94" s="62"/>
      <c r="CE94" s="62"/>
      <c r="CF94" s="62"/>
      <c r="CG94" s="62"/>
      <c r="CH94" s="62"/>
      <c r="CI94" s="62"/>
      <c r="CJ94" s="62"/>
    </row>
    <row r="95" s="61" customFormat="1" ht="16" customHeight="1" spans="1:88">
      <c r="A95" s="74"/>
      <c r="B95" s="74"/>
      <c r="C95" s="74"/>
      <c r="D95" s="74"/>
      <c r="E95" s="74"/>
      <c r="F95" s="74"/>
      <c r="G95" s="240"/>
      <c r="H95" s="74"/>
      <c r="I95" s="74"/>
      <c r="J95" s="74"/>
      <c r="K95" s="74"/>
      <c r="L95" s="74"/>
      <c r="M95" s="85"/>
      <c r="N95" s="74"/>
      <c r="O95" s="74"/>
      <c r="P95" s="74"/>
      <c r="Q95" s="74"/>
      <c r="R95" s="74"/>
      <c r="S95" s="74"/>
      <c r="T95" s="120"/>
      <c r="U95" s="74"/>
      <c r="V95" s="74"/>
      <c r="W95" s="74"/>
      <c r="X95" s="74"/>
      <c r="Y95" s="74"/>
      <c r="Z95" s="74"/>
      <c r="AA95" s="73"/>
      <c r="AB95" s="74"/>
      <c r="AC95" s="74"/>
      <c r="AD95" s="74"/>
      <c r="AE95" s="74"/>
      <c r="AF95" s="74"/>
      <c r="AG95" s="74"/>
      <c r="AH95" s="73"/>
      <c r="AI95" s="255"/>
      <c r="AJ95" s="256"/>
      <c r="AK95" s="256"/>
      <c r="AL95" s="256"/>
      <c r="AM95" s="256"/>
      <c r="AN95" s="256"/>
      <c r="AO95" s="256"/>
      <c r="AP95" s="256"/>
      <c r="AQ95" s="256"/>
      <c r="AR95" s="256"/>
      <c r="AS95" s="256"/>
      <c r="AT95" s="256"/>
      <c r="AU95" s="261"/>
      <c r="AV95" s="261"/>
      <c r="AZ95" s="63"/>
      <c r="BR95" s="62"/>
      <c r="BS95" s="62"/>
      <c r="BT95" s="62"/>
      <c r="BU95" s="62"/>
      <c r="BV95" s="62"/>
      <c r="BW95" s="62"/>
      <c r="BX95" s="62"/>
      <c r="BY95" s="62"/>
      <c r="BZ95" s="62"/>
      <c r="CA95" s="62"/>
      <c r="CB95" s="62"/>
      <c r="CC95" s="62"/>
      <c r="CD95" s="62"/>
      <c r="CE95" s="62"/>
      <c r="CF95" s="62"/>
      <c r="CG95" s="62"/>
      <c r="CH95" s="62"/>
      <c r="CI95" s="62"/>
      <c r="CJ95" s="62"/>
    </row>
    <row r="96" s="61" customFormat="1" ht="16" customHeight="1" spans="1:88">
      <c r="A96" s="74"/>
      <c r="B96" s="74"/>
      <c r="C96" s="74"/>
      <c r="D96" s="74"/>
      <c r="E96" s="74"/>
      <c r="F96" s="74"/>
      <c r="G96" s="73"/>
      <c r="H96" s="68" t="s">
        <v>732</v>
      </c>
      <c r="I96" s="68" t="s">
        <v>459</v>
      </c>
      <c r="J96" s="68" t="s">
        <v>460</v>
      </c>
      <c r="K96" s="68" t="s">
        <v>461</v>
      </c>
      <c r="L96" s="68" t="s">
        <v>462</v>
      </c>
      <c r="M96" s="85"/>
      <c r="N96" s="68" t="s">
        <v>733</v>
      </c>
      <c r="O96" s="68" t="s">
        <v>459</v>
      </c>
      <c r="P96" s="68" t="s">
        <v>460</v>
      </c>
      <c r="Q96" s="68" t="s">
        <v>461</v>
      </c>
      <c r="R96" s="68" t="s">
        <v>462</v>
      </c>
      <c r="S96" s="252" t="s">
        <v>734</v>
      </c>
      <c r="T96" s="252" t="s">
        <v>749</v>
      </c>
      <c r="U96" s="74"/>
      <c r="V96" s="74"/>
      <c r="W96" s="74"/>
      <c r="X96" s="74"/>
      <c r="Y96" s="74"/>
      <c r="Z96" s="74"/>
      <c r="AA96" s="73"/>
      <c r="AB96" s="74"/>
      <c r="AC96" s="74"/>
      <c r="AD96" s="74"/>
      <c r="AE96" s="74"/>
      <c r="AF96" s="74"/>
      <c r="AG96" s="74"/>
      <c r="AH96" s="73"/>
      <c r="AI96" s="255"/>
      <c r="AJ96" s="256"/>
      <c r="AK96" s="256"/>
      <c r="AL96" s="256"/>
      <c r="AM96" s="256"/>
      <c r="AN96" s="256"/>
      <c r="AO96" s="256"/>
      <c r="AP96" s="256"/>
      <c r="AQ96" s="256"/>
      <c r="AR96" s="256"/>
      <c r="AS96" s="256"/>
      <c r="AT96" s="256"/>
      <c r="AU96" s="261"/>
      <c r="AV96" s="261"/>
      <c r="AZ96" s="63"/>
      <c r="BR96" s="62"/>
      <c r="BS96" s="62"/>
      <c r="BT96" s="62"/>
      <c r="BU96" s="62"/>
      <c r="BV96" s="62"/>
      <c r="BW96" s="62"/>
      <c r="BX96" s="62"/>
      <c r="BY96" s="62"/>
      <c r="BZ96" s="62"/>
      <c r="CA96" s="62"/>
      <c r="CB96" s="62"/>
      <c r="CC96" s="62"/>
      <c r="CD96" s="62"/>
      <c r="CE96" s="62"/>
      <c r="CF96" s="62"/>
      <c r="CG96" s="62"/>
      <c r="CH96" s="62"/>
      <c r="CI96" s="62"/>
      <c r="CJ96" s="62"/>
    </row>
    <row r="97" s="61" customFormat="1" ht="16" customHeight="1" spans="1:88">
      <c r="A97" s="74"/>
      <c r="B97" s="74"/>
      <c r="C97" s="74"/>
      <c r="D97" s="74"/>
      <c r="E97" s="74"/>
      <c r="F97" s="74"/>
      <c r="G97" s="73"/>
      <c r="H97" s="68" t="s">
        <v>464</v>
      </c>
      <c r="I97" s="115" t="e">
        <f>第7期!O20-第6期!O20</f>
        <v>#DIV/0!</v>
      </c>
      <c r="J97" s="115" t="e">
        <f>第7期!P20-第6期!P20</f>
        <v>#DIV/0!</v>
      </c>
      <c r="K97" s="115" t="e">
        <f>第7期!Q20-第6期!Q20</f>
        <v>#DIV/0!</v>
      </c>
      <c r="L97" s="115" t="e">
        <f>第7期!R20-第6期!R20</f>
        <v>#DIV/0!</v>
      </c>
      <c r="M97" s="85"/>
      <c r="N97" s="68" t="s">
        <v>464</v>
      </c>
      <c r="O97" s="115">
        <f>V17-第7期!V17</f>
        <v>0</v>
      </c>
      <c r="P97" s="115">
        <f>W17-第7期!W17</f>
        <v>0</v>
      </c>
      <c r="Q97" s="115">
        <f>X17-第7期!X17</f>
        <v>0</v>
      </c>
      <c r="R97" s="115">
        <f>Y17-第7期!Y17</f>
        <v>0</v>
      </c>
      <c r="S97" s="253" t="e">
        <f>(I97+J97)/2+(O97+P97)/2*S73</f>
        <v>#DIV/0!</v>
      </c>
      <c r="T97" s="253" t="e">
        <f>S97-第7期!S97</f>
        <v>#DIV/0!</v>
      </c>
      <c r="U97" s="74"/>
      <c r="V97" s="74"/>
      <c r="W97" s="74"/>
      <c r="X97" s="74"/>
      <c r="Y97" s="74"/>
      <c r="Z97" s="74"/>
      <c r="AA97" s="73"/>
      <c r="AB97" s="74"/>
      <c r="AC97" s="74"/>
      <c r="AD97" s="74"/>
      <c r="AE97" s="74"/>
      <c r="AF97" s="74"/>
      <c r="AG97" s="74"/>
      <c r="AH97" s="73"/>
      <c r="AI97" s="255"/>
      <c r="AJ97" s="256"/>
      <c r="AK97" s="256"/>
      <c r="AL97" s="256"/>
      <c r="AM97" s="256"/>
      <c r="AN97" s="256"/>
      <c r="AO97" s="256"/>
      <c r="AP97" s="256"/>
      <c r="AQ97" s="256"/>
      <c r="AR97" s="256"/>
      <c r="AS97" s="256"/>
      <c r="AT97" s="256"/>
      <c r="AU97" s="261"/>
      <c r="AV97" s="261"/>
      <c r="AZ97" s="63"/>
      <c r="BR97" s="62"/>
      <c r="BS97" s="62"/>
      <c r="BT97" s="62"/>
      <c r="BU97" s="62"/>
      <c r="BV97" s="62"/>
      <c r="BW97" s="62"/>
      <c r="BX97" s="62"/>
      <c r="BY97" s="62"/>
      <c r="BZ97" s="62"/>
      <c r="CA97" s="62"/>
      <c r="CB97" s="62"/>
      <c r="CC97" s="62"/>
      <c r="CD97" s="62"/>
      <c r="CE97" s="62"/>
      <c r="CF97" s="62"/>
      <c r="CG97" s="62"/>
      <c r="CH97" s="62"/>
      <c r="CI97" s="62"/>
      <c r="CJ97" s="62"/>
    </row>
    <row r="98" s="61" customFormat="1" ht="16" customHeight="1" spans="1:88">
      <c r="A98" s="74"/>
      <c r="B98" s="74"/>
      <c r="C98" s="74"/>
      <c r="D98" s="74"/>
      <c r="E98" s="74"/>
      <c r="F98" s="74"/>
      <c r="G98" s="73"/>
      <c r="H98" s="68" t="s">
        <v>465</v>
      </c>
      <c r="I98" s="115" t="e">
        <f>第7期!O21-第6期!O21</f>
        <v>#DIV/0!</v>
      </c>
      <c r="J98" s="115" t="e">
        <f>第7期!P21-第6期!P21</f>
        <v>#DIV/0!</v>
      </c>
      <c r="K98" s="115" t="e">
        <f>第7期!Q21-第6期!Q21</f>
        <v>#DIV/0!</v>
      </c>
      <c r="L98" s="115" t="e">
        <f>第7期!R21-第6期!R21</f>
        <v>#DIV/0!</v>
      </c>
      <c r="M98" s="85"/>
      <c r="N98" s="68" t="s">
        <v>465</v>
      </c>
      <c r="O98" s="115">
        <f>V18-第7期!V18</f>
        <v>0</v>
      </c>
      <c r="P98" s="115">
        <f>W18-第7期!W18</f>
        <v>0</v>
      </c>
      <c r="Q98" s="115">
        <f>X18-第7期!X18</f>
        <v>0</v>
      </c>
      <c r="R98" s="115">
        <f>Y18-第7期!Y18</f>
        <v>0</v>
      </c>
      <c r="S98" s="253" t="e">
        <f>(I98+J98)/2+(O98+P98)/2*S74</f>
        <v>#DIV/0!</v>
      </c>
      <c r="T98" s="253" t="e">
        <f>S98-第7期!S98</f>
        <v>#DIV/0!</v>
      </c>
      <c r="U98" s="74"/>
      <c r="V98" s="74"/>
      <c r="W98" s="74"/>
      <c r="X98" s="74"/>
      <c r="Y98" s="74"/>
      <c r="Z98" s="74"/>
      <c r="AA98" s="73"/>
      <c r="AB98" s="74"/>
      <c r="AC98" s="74"/>
      <c r="AD98" s="74"/>
      <c r="AE98" s="74"/>
      <c r="AF98" s="74"/>
      <c r="AG98" s="74"/>
      <c r="AH98" s="73"/>
      <c r="AI98" s="255"/>
      <c r="AJ98" s="256"/>
      <c r="AK98" s="256"/>
      <c r="AL98" s="256"/>
      <c r="AM98" s="256"/>
      <c r="AN98" s="256"/>
      <c r="AO98" s="256"/>
      <c r="AP98" s="256"/>
      <c r="AQ98" s="256"/>
      <c r="AR98" s="256"/>
      <c r="AS98" s="256"/>
      <c r="AT98" s="256"/>
      <c r="AU98" s="261"/>
      <c r="AV98" s="261"/>
      <c r="AZ98" s="63"/>
      <c r="BR98" s="62"/>
      <c r="BS98" s="62"/>
      <c r="BT98" s="62"/>
      <c r="BU98" s="62"/>
      <c r="BV98" s="62"/>
      <c r="BW98" s="62"/>
      <c r="BX98" s="62"/>
      <c r="BY98" s="62"/>
      <c r="BZ98" s="62"/>
      <c r="CA98" s="62"/>
      <c r="CB98" s="62"/>
      <c r="CC98" s="62"/>
      <c r="CD98" s="62"/>
      <c r="CE98" s="62"/>
      <c r="CF98" s="62"/>
      <c r="CG98" s="62"/>
      <c r="CH98" s="62"/>
      <c r="CI98" s="62"/>
      <c r="CJ98" s="62"/>
    </row>
    <row r="99" s="61" customFormat="1" ht="16" customHeight="1" spans="1:88">
      <c r="A99" s="74"/>
      <c r="B99" s="74"/>
      <c r="C99" s="74"/>
      <c r="D99" s="74"/>
      <c r="E99" s="74"/>
      <c r="F99" s="74"/>
      <c r="G99" s="73"/>
      <c r="H99" s="68" t="s">
        <v>466</v>
      </c>
      <c r="I99" s="115" t="e">
        <f>第7期!O22-第6期!O22</f>
        <v>#DIV/0!</v>
      </c>
      <c r="J99" s="115" t="e">
        <f>第7期!P22-第6期!P22</f>
        <v>#DIV/0!</v>
      </c>
      <c r="K99" s="115" t="e">
        <f>第7期!Q22-第6期!Q22</f>
        <v>#DIV/0!</v>
      </c>
      <c r="L99" s="115" t="e">
        <f>第7期!R22-第6期!R22</f>
        <v>#DIV/0!</v>
      </c>
      <c r="M99" s="85"/>
      <c r="N99" s="68" t="s">
        <v>466</v>
      </c>
      <c r="O99" s="115">
        <f>V19-第7期!V19</f>
        <v>0</v>
      </c>
      <c r="P99" s="115">
        <f>W19-第7期!W19</f>
        <v>0</v>
      </c>
      <c r="Q99" s="115">
        <f>X19-第7期!X19</f>
        <v>0</v>
      </c>
      <c r="R99" s="115">
        <f>Y19-第7期!Y19</f>
        <v>0</v>
      </c>
      <c r="S99" s="253" t="e">
        <f>(I99+J99)/2+(O99+P99)/2*S75</f>
        <v>#DIV/0!</v>
      </c>
      <c r="T99" s="253" t="e">
        <f>S99-第7期!S99</f>
        <v>#DIV/0!</v>
      </c>
      <c r="U99" s="74"/>
      <c r="V99" s="74"/>
      <c r="W99" s="74"/>
      <c r="X99" s="74"/>
      <c r="Y99" s="74"/>
      <c r="Z99" s="74"/>
      <c r="AA99" s="73"/>
      <c r="AB99" s="74"/>
      <c r="AC99" s="74"/>
      <c r="AD99" s="74"/>
      <c r="AE99" s="74"/>
      <c r="AF99" s="74"/>
      <c r="AG99" s="74"/>
      <c r="AH99" s="73"/>
      <c r="AI99" s="255"/>
      <c r="AJ99" s="256"/>
      <c r="AK99" s="256"/>
      <c r="AL99" s="256"/>
      <c r="AM99" s="256"/>
      <c r="AN99" s="256"/>
      <c r="AO99" s="256"/>
      <c r="AP99" s="256"/>
      <c r="AQ99" s="256"/>
      <c r="AR99" s="256"/>
      <c r="AS99" s="256"/>
      <c r="AT99" s="256"/>
      <c r="AU99" s="261"/>
      <c r="AV99" s="261"/>
      <c r="AZ99" s="63"/>
      <c r="BR99" s="62"/>
      <c r="BS99" s="62"/>
      <c r="BT99" s="62"/>
      <c r="BU99" s="62"/>
      <c r="BV99" s="62"/>
      <c r="BW99" s="62"/>
      <c r="BX99" s="62"/>
      <c r="BY99" s="62"/>
      <c r="BZ99" s="62"/>
      <c r="CA99" s="62"/>
      <c r="CB99" s="62"/>
      <c r="CC99" s="62"/>
      <c r="CD99" s="62"/>
      <c r="CE99" s="62"/>
      <c r="CF99" s="62"/>
      <c r="CG99" s="62"/>
      <c r="CH99" s="62"/>
      <c r="CI99" s="62"/>
      <c r="CJ99" s="62"/>
    </row>
    <row r="100" s="61" customFormat="1" ht="16" customHeight="1" spans="1:88">
      <c r="A100" s="74"/>
      <c r="B100" s="74"/>
      <c r="C100" s="74"/>
      <c r="D100" s="74"/>
      <c r="E100" s="74"/>
      <c r="F100" s="74"/>
      <c r="G100" s="73"/>
      <c r="H100" s="68" t="s">
        <v>468</v>
      </c>
      <c r="I100" s="115" t="e">
        <f>第7期!O23-第6期!O23</f>
        <v>#DIV/0!</v>
      </c>
      <c r="J100" s="115" t="e">
        <f>第7期!P23-第6期!P23</f>
        <v>#DIV/0!</v>
      </c>
      <c r="K100" s="115" t="e">
        <f>第7期!Q23-第6期!Q23</f>
        <v>#DIV/0!</v>
      </c>
      <c r="L100" s="115" t="e">
        <f>第7期!R23-第6期!R23</f>
        <v>#DIV/0!</v>
      </c>
      <c r="M100" s="85"/>
      <c r="N100" s="68" t="s">
        <v>468</v>
      </c>
      <c r="O100" s="115">
        <f>V20-第7期!V20</f>
        <v>0</v>
      </c>
      <c r="P100" s="115">
        <f>W20-第7期!W20</f>
        <v>0</v>
      </c>
      <c r="Q100" s="115">
        <f>X20-第7期!X20</f>
        <v>0</v>
      </c>
      <c r="R100" s="115">
        <f>Y20-第7期!Y20</f>
        <v>0</v>
      </c>
      <c r="S100" s="253" t="e">
        <f t="shared" ref="S100" si="112">(I100+J100)/2+(O100+P100)/2*S76</f>
        <v>#DIV/0!</v>
      </c>
      <c r="T100" s="253" t="e">
        <f>S100-第7期!S100</f>
        <v>#DIV/0!</v>
      </c>
      <c r="U100" s="74"/>
      <c r="V100" s="74"/>
      <c r="W100" s="74"/>
      <c r="X100" s="74"/>
      <c r="Y100" s="74"/>
      <c r="Z100" s="74"/>
      <c r="AA100" s="73"/>
      <c r="AB100" s="74"/>
      <c r="AC100" s="74"/>
      <c r="AD100" s="74"/>
      <c r="AE100" s="74"/>
      <c r="AF100" s="74"/>
      <c r="AG100" s="74"/>
      <c r="AH100" s="73"/>
      <c r="AI100" s="255"/>
      <c r="AJ100" s="256"/>
      <c r="AK100" s="256"/>
      <c r="AL100" s="256"/>
      <c r="AM100" s="256"/>
      <c r="AN100" s="256"/>
      <c r="AO100" s="256"/>
      <c r="AP100" s="256"/>
      <c r="AQ100" s="256"/>
      <c r="AR100" s="256"/>
      <c r="AS100" s="256"/>
      <c r="AT100" s="256"/>
      <c r="AU100" s="261"/>
      <c r="AV100" s="261"/>
      <c r="AZ100" s="63"/>
      <c r="BR100" s="62"/>
      <c r="BS100" s="62"/>
      <c r="BT100" s="62"/>
      <c r="BU100" s="62"/>
      <c r="BV100" s="62"/>
      <c r="BW100" s="62"/>
      <c r="BX100" s="62"/>
      <c r="BY100" s="62"/>
      <c r="BZ100" s="62"/>
      <c r="CA100" s="62"/>
      <c r="CB100" s="62"/>
      <c r="CC100" s="62"/>
      <c r="CD100" s="62"/>
      <c r="CE100" s="62"/>
      <c r="CF100" s="62"/>
      <c r="CG100" s="62"/>
      <c r="CH100" s="62"/>
      <c r="CI100" s="62"/>
      <c r="CJ100" s="62"/>
    </row>
    <row r="101" s="61" customFormat="1" ht="16" customHeight="1" spans="7:88">
      <c r="G101" s="63"/>
      <c r="M101" s="247"/>
      <c r="T101" s="64"/>
      <c r="AA101" s="63"/>
      <c r="AH101" s="63"/>
      <c r="AI101" s="255"/>
      <c r="AJ101" s="256"/>
      <c r="AK101" s="256"/>
      <c r="AL101" s="256"/>
      <c r="AM101" s="256"/>
      <c r="AN101" s="256"/>
      <c r="AO101" s="256"/>
      <c r="AP101" s="256"/>
      <c r="AQ101" s="256"/>
      <c r="AR101" s="256"/>
      <c r="AS101" s="256"/>
      <c r="AT101" s="256"/>
      <c r="AU101" s="261"/>
      <c r="AV101" s="261"/>
      <c r="AZ101" s="63"/>
      <c r="BR101" s="62"/>
      <c r="BS101" s="62"/>
      <c r="BT101" s="62"/>
      <c r="BU101" s="62"/>
      <c r="BV101" s="62"/>
      <c r="BW101" s="62"/>
      <c r="BX101" s="62"/>
      <c r="BY101" s="62"/>
      <c r="BZ101" s="62"/>
      <c r="CA101" s="62"/>
      <c r="CB101" s="62"/>
      <c r="CC101" s="62"/>
      <c r="CD101" s="62"/>
      <c r="CE101" s="62"/>
      <c r="CF101" s="62"/>
      <c r="CG101" s="62"/>
      <c r="CH101" s="62"/>
      <c r="CI101" s="62"/>
      <c r="CJ101" s="62"/>
    </row>
    <row r="102" s="61" customFormat="1" ht="16" customHeight="1" spans="7:88">
      <c r="G102" s="63"/>
      <c r="M102" s="247"/>
      <c r="T102" s="64"/>
      <c r="AA102" s="63"/>
      <c r="AH102" s="63"/>
      <c r="AI102" s="255"/>
      <c r="AJ102" s="256"/>
      <c r="AK102" s="256"/>
      <c r="AL102" s="256"/>
      <c r="AM102" s="256"/>
      <c r="AN102" s="256"/>
      <c r="AO102" s="256"/>
      <c r="AP102" s="256"/>
      <c r="AQ102" s="256"/>
      <c r="AR102" s="256"/>
      <c r="AS102" s="256"/>
      <c r="AT102" s="256"/>
      <c r="AU102" s="261"/>
      <c r="AV102" s="261"/>
      <c r="AZ102" s="63"/>
      <c r="BR102" s="62"/>
      <c r="BS102" s="62"/>
      <c r="BT102" s="62"/>
      <c r="BU102" s="62"/>
      <c r="BV102" s="62"/>
      <c r="BW102" s="62"/>
      <c r="BX102" s="62"/>
      <c r="BY102" s="62"/>
      <c r="BZ102" s="62"/>
      <c r="CA102" s="62"/>
      <c r="CB102" s="62"/>
      <c r="CC102" s="62"/>
      <c r="CD102" s="62"/>
      <c r="CE102" s="62"/>
      <c r="CF102" s="62"/>
      <c r="CG102" s="62"/>
      <c r="CH102" s="62"/>
      <c r="CI102" s="62"/>
      <c r="CJ102" s="62"/>
    </row>
    <row r="103" s="61" customFormat="1" ht="16" customHeight="1" spans="7:88">
      <c r="G103" s="63"/>
      <c r="M103" s="247"/>
      <c r="T103" s="64"/>
      <c r="AA103" s="63"/>
      <c r="AH103" s="63"/>
      <c r="AI103" s="255"/>
      <c r="AJ103" s="256"/>
      <c r="AK103" s="256"/>
      <c r="AL103" s="256"/>
      <c r="AM103" s="256"/>
      <c r="AN103" s="256"/>
      <c r="AO103" s="256"/>
      <c r="AP103" s="256"/>
      <c r="AQ103" s="256"/>
      <c r="AR103" s="256"/>
      <c r="AS103" s="256"/>
      <c r="AT103" s="256"/>
      <c r="AU103" s="261"/>
      <c r="AV103" s="261"/>
      <c r="AZ103" s="63"/>
      <c r="BR103" s="62"/>
      <c r="BS103" s="62"/>
      <c r="BT103" s="62"/>
      <c r="BU103" s="62"/>
      <c r="BV103" s="62"/>
      <c r="BW103" s="62"/>
      <c r="BX103" s="62"/>
      <c r="BY103" s="62"/>
      <c r="BZ103" s="62"/>
      <c r="CA103" s="62"/>
      <c r="CB103" s="62"/>
      <c r="CC103" s="62"/>
      <c r="CD103" s="62"/>
      <c r="CE103" s="62"/>
      <c r="CF103" s="62"/>
      <c r="CG103" s="62"/>
      <c r="CH103" s="62"/>
      <c r="CI103" s="62"/>
      <c r="CJ103" s="62"/>
    </row>
    <row r="104" s="61" customFormat="1" ht="16" customHeight="1" spans="7:88">
      <c r="G104" s="63"/>
      <c r="M104" s="247"/>
      <c r="T104" s="64"/>
      <c r="AA104" s="63"/>
      <c r="AH104" s="63"/>
      <c r="AZ104" s="63"/>
      <c r="BR104" s="62"/>
      <c r="BS104" s="62"/>
      <c r="BT104" s="62"/>
      <c r="BU104" s="62"/>
      <c r="BV104" s="62"/>
      <c r="BW104" s="62"/>
      <c r="BX104" s="62"/>
      <c r="BY104" s="62"/>
      <c r="BZ104" s="62"/>
      <c r="CA104" s="62"/>
      <c r="CB104" s="62"/>
      <c r="CC104" s="62"/>
      <c r="CD104" s="62"/>
      <c r="CE104" s="62"/>
      <c r="CF104" s="62"/>
      <c r="CG104" s="62"/>
      <c r="CH104" s="62"/>
      <c r="CI104" s="62"/>
      <c r="CJ104" s="62"/>
    </row>
    <row r="105" s="61" customFormat="1" ht="16" customHeight="1" spans="7:88">
      <c r="G105" s="63"/>
      <c r="M105" s="247"/>
      <c r="T105" s="64"/>
      <c r="AA105" s="63"/>
      <c r="AH105" s="63"/>
      <c r="AZ105" s="63"/>
      <c r="BR105" s="62"/>
      <c r="BS105" s="62"/>
      <c r="BT105" s="62"/>
      <c r="BU105" s="62"/>
      <c r="BV105" s="62"/>
      <c r="BW105" s="62"/>
      <c r="BX105" s="62"/>
      <c r="BY105" s="62"/>
      <c r="BZ105" s="62"/>
      <c r="CA105" s="62"/>
      <c r="CB105" s="62"/>
      <c r="CC105" s="62"/>
      <c r="CD105" s="62"/>
      <c r="CE105" s="62"/>
      <c r="CF105" s="62"/>
      <c r="CG105" s="62"/>
      <c r="CH105" s="62"/>
      <c r="CI105" s="62"/>
      <c r="CJ105" s="62"/>
    </row>
    <row r="106" s="61" customFormat="1" ht="16" customHeight="1" spans="7:88">
      <c r="G106" s="63"/>
      <c r="M106" s="247"/>
      <c r="T106" s="64"/>
      <c r="AA106" s="63"/>
      <c r="AH106" s="63"/>
      <c r="AI106" s="68" t="s">
        <v>37</v>
      </c>
      <c r="AJ106" s="68" t="s">
        <v>348</v>
      </c>
      <c r="AK106" s="68" t="s">
        <v>349</v>
      </c>
      <c r="AL106" s="68" t="s">
        <v>350</v>
      </c>
      <c r="AM106" s="68" t="s">
        <v>351</v>
      </c>
      <c r="AN106" s="68" t="s">
        <v>352</v>
      </c>
      <c r="AO106" s="68" t="s">
        <v>353</v>
      </c>
      <c r="AP106" s="68" t="s">
        <v>354</v>
      </c>
      <c r="AQ106" s="68" t="s">
        <v>355</v>
      </c>
      <c r="AR106" s="68" t="s">
        <v>714</v>
      </c>
      <c r="AS106" s="68" t="s">
        <v>735</v>
      </c>
      <c r="AZ106" s="63"/>
      <c r="BR106" s="62"/>
      <c r="BS106" s="62"/>
      <c r="BT106" s="62"/>
      <c r="BU106" s="62"/>
      <c r="BV106" s="62"/>
      <c r="BW106" s="62"/>
      <c r="BX106" s="62"/>
      <c r="BY106" s="62"/>
      <c r="BZ106" s="62"/>
      <c r="CA106" s="62"/>
      <c r="CB106" s="62"/>
      <c r="CC106" s="62"/>
      <c r="CD106" s="62"/>
      <c r="CE106" s="62"/>
      <c r="CF106" s="62"/>
      <c r="CG106" s="62"/>
      <c r="CH106" s="62"/>
      <c r="CI106" s="62"/>
      <c r="CJ106" s="62"/>
    </row>
    <row r="107" s="61" customFormat="1" ht="16" customHeight="1" spans="7:88">
      <c r="G107" s="63"/>
      <c r="M107" s="247"/>
      <c r="T107" s="64"/>
      <c r="AA107" s="63"/>
      <c r="AH107" s="63"/>
      <c r="AI107" s="172"/>
      <c r="AJ107" s="257"/>
      <c r="AK107" s="257"/>
      <c r="AL107" s="257"/>
      <c r="AM107" s="257"/>
      <c r="AN107" s="257"/>
      <c r="AO107" s="257"/>
      <c r="AP107" s="257"/>
      <c r="AQ107" s="172"/>
      <c r="AR107" s="262">
        <f>MAX(AK107,第7期!AO107)</f>
        <v>0</v>
      </c>
      <c r="AS107" s="261">
        <f>IF(AC107="",0,IF(AJ107&lt;=0,1,0))</f>
        <v>0</v>
      </c>
      <c r="AT107" s="263"/>
      <c r="AU107" s="263"/>
      <c r="AV107" s="263"/>
      <c r="AZ107" s="63"/>
      <c r="BR107" s="62"/>
      <c r="BS107" s="62"/>
      <c r="BT107" s="62"/>
      <c r="BU107" s="62"/>
      <c r="BV107" s="62"/>
      <c r="BW107" s="62"/>
      <c r="BX107" s="62"/>
      <c r="BY107" s="62"/>
      <c r="BZ107" s="62"/>
      <c r="CA107" s="62"/>
      <c r="CB107" s="62"/>
      <c r="CC107" s="62"/>
      <c r="CD107" s="62"/>
      <c r="CE107" s="62"/>
      <c r="CF107" s="62"/>
      <c r="CG107" s="62"/>
      <c r="CH107" s="62"/>
      <c r="CI107" s="62"/>
      <c r="CJ107" s="62"/>
    </row>
    <row r="108" s="61" customFormat="1" ht="16" customHeight="1" spans="7:88">
      <c r="G108" s="63"/>
      <c r="M108" s="247"/>
      <c r="T108" s="64"/>
      <c r="AA108" s="63"/>
      <c r="AH108" s="63"/>
      <c r="AI108" s="172"/>
      <c r="AJ108" s="257"/>
      <c r="AK108" s="257"/>
      <c r="AL108" s="257"/>
      <c r="AM108" s="257"/>
      <c r="AN108" s="257"/>
      <c r="AO108" s="257"/>
      <c r="AP108" s="257"/>
      <c r="AQ108" s="172"/>
      <c r="AR108" s="262">
        <f>MAX(AK108,第7期!AO108)</f>
        <v>0</v>
      </c>
      <c r="AS108" s="261">
        <f t="shared" ref="AS108:AS126" si="113">IF(AC108="",0,IF(AJ108&lt;=0,1,0))</f>
        <v>0</v>
      </c>
      <c r="AZ108" s="63"/>
      <c r="BR108" s="62"/>
      <c r="BS108" s="62"/>
      <c r="BT108" s="62"/>
      <c r="BU108" s="62"/>
      <c r="BV108" s="62"/>
      <c r="BW108" s="62"/>
      <c r="BX108" s="62"/>
      <c r="BY108" s="62"/>
      <c r="BZ108" s="62"/>
      <c r="CA108" s="62"/>
      <c r="CB108" s="62"/>
      <c r="CC108" s="62"/>
      <c r="CD108" s="62"/>
      <c r="CE108" s="62"/>
      <c r="CF108" s="62"/>
      <c r="CG108" s="62"/>
      <c r="CH108" s="62"/>
      <c r="CI108" s="62"/>
      <c r="CJ108" s="62"/>
    </row>
    <row r="109" s="61" customFormat="1" ht="16" customHeight="1" spans="7:88">
      <c r="G109" s="63"/>
      <c r="M109" s="247"/>
      <c r="T109" s="64"/>
      <c r="AA109" s="63"/>
      <c r="AH109" s="63"/>
      <c r="AI109" s="258"/>
      <c r="AJ109" s="259"/>
      <c r="AK109" s="259"/>
      <c r="AL109" s="259"/>
      <c r="AM109" s="259"/>
      <c r="AN109" s="259"/>
      <c r="AO109" s="259"/>
      <c r="AP109" s="259"/>
      <c r="AQ109" s="258"/>
      <c r="AR109" s="262">
        <f>MAX(AK109,第7期!AO109)</f>
        <v>0</v>
      </c>
      <c r="AS109" s="261">
        <f t="shared" si="113"/>
        <v>0</v>
      </c>
      <c r="AZ109" s="63"/>
      <c r="BR109" s="62"/>
      <c r="BS109" s="62"/>
      <c r="BT109" s="62"/>
      <c r="BU109" s="62"/>
      <c r="BV109" s="62"/>
      <c r="BW109" s="62"/>
      <c r="BX109" s="62"/>
      <c r="BY109" s="62"/>
      <c r="BZ109" s="62"/>
      <c r="CA109" s="62"/>
      <c r="CB109" s="62"/>
      <c r="CC109" s="62"/>
      <c r="CD109" s="62"/>
      <c r="CE109" s="62"/>
      <c r="CF109" s="62"/>
      <c r="CG109" s="62"/>
      <c r="CH109" s="62"/>
      <c r="CI109" s="62"/>
      <c r="CJ109" s="62"/>
    </row>
    <row r="110" s="61" customFormat="1" ht="16" customHeight="1" spans="7:88">
      <c r="G110" s="63"/>
      <c r="M110" s="247"/>
      <c r="T110" s="64"/>
      <c r="AA110" s="63"/>
      <c r="AH110" s="63"/>
      <c r="AI110" s="258"/>
      <c r="AJ110" s="259"/>
      <c r="AK110" s="259"/>
      <c r="AL110" s="259"/>
      <c r="AM110" s="259"/>
      <c r="AN110" s="259"/>
      <c r="AO110" s="259"/>
      <c r="AP110" s="259"/>
      <c r="AQ110" s="258"/>
      <c r="AR110" s="262">
        <f>MAX(AK110,第7期!AO110)</f>
        <v>0</v>
      </c>
      <c r="AS110" s="261">
        <f t="shared" si="113"/>
        <v>0</v>
      </c>
      <c r="AZ110" s="63"/>
      <c r="BR110" s="62"/>
      <c r="BS110" s="62"/>
      <c r="BT110" s="62"/>
      <c r="BU110" s="62"/>
      <c r="BV110" s="62"/>
      <c r="BW110" s="62"/>
      <c r="BX110" s="62"/>
      <c r="BY110" s="62"/>
      <c r="BZ110" s="62"/>
      <c r="CA110" s="62"/>
      <c r="CB110" s="62"/>
      <c r="CC110" s="62"/>
      <c r="CD110" s="62"/>
      <c r="CE110" s="62"/>
      <c r="CF110" s="62"/>
      <c r="CG110" s="62"/>
      <c r="CH110" s="62"/>
      <c r="CI110" s="62"/>
      <c r="CJ110" s="62"/>
    </row>
    <row r="111" s="61" customFormat="1" ht="16" customHeight="1" spans="7:88">
      <c r="G111" s="63"/>
      <c r="M111" s="247"/>
      <c r="T111" s="64"/>
      <c r="AA111" s="63"/>
      <c r="AH111" s="63"/>
      <c r="AI111" s="258"/>
      <c r="AJ111" s="259"/>
      <c r="AK111" s="259"/>
      <c r="AL111" s="259"/>
      <c r="AM111" s="259"/>
      <c r="AN111" s="259"/>
      <c r="AO111" s="259"/>
      <c r="AP111" s="259"/>
      <c r="AQ111" s="258"/>
      <c r="AR111" s="262">
        <f>MAX(AK111,第7期!AO111)</f>
        <v>0</v>
      </c>
      <c r="AS111" s="261">
        <f t="shared" si="113"/>
        <v>0</v>
      </c>
      <c r="AZ111" s="63"/>
      <c r="BR111" s="62"/>
      <c r="BS111" s="62"/>
      <c r="BT111" s="62"/>
      <c r="BU111" s="62"/>
      <c r="BV111" s="62"/>
      <c r="BW111" s="62"/>
      <c r="BX111" s="62"/>
      <c r="BY111" s="62"/>
      <c r="BZ111" s="62"/>
      <c r="CA111" s="62"/>
      <c r="CB111" s="62"/>
      <c r="CC111" s="62"/>
      <c r="CD111" s="62"/>
      <c r="CE111" s="62"/>
      <c r="CF111" s="62"/>
      <c r="CG111" s="62"/>
      <c r="CH111" s="62"/>
      <c r="CI111" s="62"/>
      <c r="CJ111" s="62"/>
    </row>
    <row r="112" s="61" customFormat="1" ht="16" customHeight="1" spans="7:88">
      <c r="G112" s="63"/>
      <c r="M112" s="247"/>
      <c r="T112" s="64"/>
      <c r="AA112" s="63"/>
      <c r="AH112" s="63"/>
      <c r="AI112" s="258"/>
      <c r="AJ112" s="259"/>
      <c r="AK112" s="259"/>
      <c r="AL112" s="259"/>
      <c r="AM112" s="259"/>
      <c r="AN112" s="259"/>
      <c r="AO112" s="259"/>
      <c r="AP112" s="259"/>
      <c r="AQ112" s="258"/>
      <c r="AR112" s="262">
        <f>MAX(AK112,第7期!AO112)</f>
        <v>0</v>
      </c>
      <c r="AS112" s="261">
        <f t="shared" si="113"/>
        <v>0</v>
      </c>
      <c r="AZ112" s="63"/>
      <c r="BR112" s="62"/>
      <c r="BS112" s="62"/>
      <c r="BT112" s="62"/>
      <c r="BU112" s="62"/>
      <c r="BV112" s="62"/>
      <c r="BW112" s="62"/>
      <c r="BX112" s="62"/>
      <c r="BY112" s="62"/>
      <c r="BZ112" s="62"/>
      <c r="CA112" s="62"/>
      <c r="CB112" s="62"/>
      <c r="CC112" s="62"/>
      <c r="CD112" s="62"/>
      <c r="CE112" s="62"/>
      <c r="CF112" s="62"/>
      <c r="CG112" s="62"/>
      <c r="CH112" s="62"/>
      <c r="CI112" s="62"/>
      <c r="CJ112" s="62"/>
    </row>
    <row r="113" s="61" customFormat="1" ht="16" customHeight="1" spans="7:88">
      <c r="G113" s="63"/>
      <c r="M113" s="247"/>
      <c r="T113" s="64"/>
      <c r="AA113" s="63"/>
      <c r="AH113" s="63"/>
      <c r="AI113" s="258"/>
      <c r="AJ113" s="259"/>
      <c r="AK113" s="259"/>
      <c r="AL113" s="259"/>
      <c r="AM113" s="259"/>
      <c r="AN113" s="259"/>
      <c r="AO113" s="259"/>
      <c r="AP113" s="259"/>
      <c r="AQ113" s="258"/>
      <c r="AR113" s="262">
        <f>MAX(AK113,第7期!AO113)</f>
        <v>0</v>
      </c>
      <c r="AS113" s="261">
        <f t="shared" si="113"/>
        <v>0</v>
      </c>
      <c r="AZ113" s="63"/>
      <c r="BR113" s="62"/>
      <c r="BS113" s="62"/>
      <c r="BT113" s="62"/>
      <c r="BU113" s="62"/>
      <c r="BV113" s="62"/>
      <c r="BW113" s="62"/>
      <c r="BX113" s="62"/>
      <c r="BY113" s="62"/>
      <c r="BZ113" s="62"/>
      <c r="CA113" s="62"/>
      <c r="CB113" s="62"/>
      <c r="CC113" s="62"/>
      <c r="CD113" s="62"/>
      <c r="CE113" s="62"/>
      <c r="CF113" s="62"/>
      <c r="CG113" s="62"/>
      <c r="CH113" s="62"/>
      <c r="CI113" s="62"/>
      <c r="CJ113" s="62"/>
    </row>
    <row r="114" s="61" customFormat="1" ht="16" customHeight="1" spans="7:88">
      <c r="G114" s="63"/>
      <c r="M114" s="247"/>
      <c r="T114" s="64"/>
      <c r="AA114" s="63"/>
      <c r="AH114" s="63"/>
      <c r="AI114" s="258"/>
      <c r="AJ114" s="259"/>
      <c r="AK114" s="259"/>
      <c r="AL114" s="259"/>
      <c r="AM114" s="259"/>
      <c r="AN114" s="259"/>
      <c r="AO114" s="259"/>
      <c r="AP114" s="259"/>
      <c r="AQ114" s="258"/>
      <c r="AR114" s="262">
        <f>MAX(AK114,第7期!AO114)</f>
        <v>0</v>
      </c>
      <c r="AS114" s="261">
        <f t="shared" si="113"/>
        <v>0</v>
      </c>
      <c r="AZ114" s="63"/>
      <c r="BR114" s="62"/>
      <c r="BS114" s="62"/>
      <c r="BT114" s="62"/>
      <c r="BU114" s="62"/>
      <c r="BV114" s="62"/>
      <c r="BW114" s="62"/>
      <c r="BX114" s="62"/>
      <c r="BY114" s="62"/>
      <c r="BZ114" s="62"/>
      <c r="CA114" s="62"/>
      <c r="CB114" s="62"/>
      <c r="CC114" s="62"/>
      <c r="CD114" s="62"/>
      <c r="CE114" s="62"/>
      <c r="CF114" s="62"/>
      <c r="CG114" s="62"/>
      <c r="CH114" s="62"/>
      <c r="CI114" s="62"/>
      <c r="CJ114" s="62"/>
    </row>
    <row r="115" s="61" customFormat="1" ht="16" customHeight="1" spans="7:88">
      <c r="G115" s="63"/>
      <c r="M115" s="247"/>
      <c r="T115" s="64"/>
      <c r="AA115" s="63"/>
      <c r="AH115" s="63"/>
      <c r="AI115" s="258"/>
      <c r="AJ115" s="259"/>
      <c r="AK115" s="259"/>
      <c r="AL115" s="259"/>
      <c r="AM115" s="259"/>
      <c r="AN115" s="259"/>
      <c r="AO115" s="259"/>
      <c r="AP115" s="259"/>
      <c r="AQ115" s="258"/>
      <c r="AR115" s="262">
        <f>MAX(AK115,第7期!AO115)</f>
        <v>0</v>
      </c>
      <c r="AS115" s="261">
        <f t="shared" si="113"/>
        <v>0</v>
      </c>
      <c r="AZ115" s="63"/>
      <c r="BR115" s="62"/>
      <c r="BS115" s="62"/>
      <c r="BT115" s="62"/>
      <c r="BU115" s="62"/>
      <c r="BV115" s="62"/>
      <c r="BW115" s="62"/>
      <c r="BX115" s="62"/>
      <c r="BY115" s="62"/>
      <c r="BZ115" s="62"/>
      <c r="CA115" s="62"/>
      <c r="CB115" s="62"/>
      <c r="CC115" s="62"/>
      <c r="CD115" s="62"/>
      <c r="CE115" s="62"/>
      <c r="CF115" s="62"/>
      <c r="CG115" s="62"/>
      <c r="CH115" s="62"/>
      <c r="CI115" s="62"/>
      <c r="CJ115" s="62"/>
    </row>
    <row r="116" s="61" customFormat="1" ht="16" customHeight="1" spans="7:88">
      <c r="G116" s="63"/>
      <c r="M116" s="247"/>
      <c r="T116" s="64"/>
      <c r="AA116" s="63"/>
      <c r="AH116" s="63"/>
      <c r="AI116" s="258"/>
      <c r="AJ116" s="259"/>
      <c r="AK116" s="259"/>
      <c r="AL116" s="259"/>
      <c r="AM116" s="259"/>
      <c r="AN116" s="259"/>
      <c r="AO116" s="259"/>
      <c r="AP116" s="259"/>
      <c r="AQ116" s="258"/>
      <c r="AR116" s="262">
        <f>MAX(AK116,第7期!AO116)</f>
        <v>0</v>
      </c>
      <c r="AS116" s="261">
        <f t="shared" si="113"/>
        <v>0</v>
      </c>
      <c r="AZ116" s="63"/>
      <c r="BR116" s="62"/>
      <c r="BS116" s="62"/>
      <c r="BT116" s="62"/>
      <c r="BU116" s="62"/>
      <c r="BV116" s="62"/>
      <c r="BW116" s="62"/>
      <c r="BX116" s="62"/>
      <c r="BY116" s="62"/>
      <c r="BZ116" s="62"/>
      <c r="CA116" s="62"/>
      <c r="CB116" s="62"/>
      <c r="CC116" s="62"/>
      <c r="CD116" s="62"/>
      <c r="CE116" s="62"/>
      <c r="CF116" s="62"/>
      <c r="CG116" s="62"/>
      <c r="CH116" s="62"/>
      <c r="CI116" s="62"/>
      <c r="CJ116" s="62"/>
    </row>
    <row r="117" s="61" customFormat="1" ht="16" customHeight="1" spans="7:88">
      <c r="G117" s="63"/>
      <c r="M117" s="247"/>
      <c r="T117" s="64"/>
      <c r="AA117" s="63"/>
      <c r="AH117" s="63"/>
      <c r="AI117" s="258"/>
      <c r="AJ117" s="259"/>
      <c r="AK117" s="259"/>
      <c r="AL117" s="259"/>
      <c r="AM117" s="259"/>
      <c r="AN117" s="259"/>
      <c r="AO117" s="259"/>
      <c r="AP117" s="259"/>
      <c r="AQ117" s="258"/>
      <c r="AR117" s="262">
        <f>MAX(AK117,第7期!AO117)</f>
        <v>0</v>
      </c>
      <c r="AS117" s="261">
        <f t="shared" si="113"/>
        <v>0</v>
      </c>
      <c r="AZ117" s="63"/>
      <c r="BR117" s="62"/>
      <c r="BS117" s="62"/>
      <c r="BT117" s="62"/>
      <c r="BU117" s="62"/>
      <c r="BV117" s="62"/>
      <c r="BW117" s="62"/>
      <c r="BX117" s="62"/>
      <c r="BY117" s="62"/>
      <c r="BZ117" s="62"/>
      <c r="CA117" s="62"/>
      <c r="CB117" s="62"/>
      <c r="CC117" s="62"/>
      <c r="CD117" s="62"/>
      <c r="CE117" s="62"/>
      <c r="CF117" s="62"/>
      <c r="CG117" s="62"/>
      <c r="CH117" s="62"/>
      <c r="CI117" s="62"/>
      <c r="CJ117" s="62"/>
    </row>
    <row r="118" s="61" customFormat="1" ht="16" customHeight="1" spans="7:88">
      <c r="G118" s="63"/>
      <c r="M118" s="247"/>
      <c r="T118" s="64"/>
      <c r="AA118" s="63"/>
      <c r="AH118" s="63"/>
      <c r="AI118" s="258"/>
      <c r="AJ118" s="259"/>
      <c r="AK118" s="259"/>
      <c r="AL118" s="259"/>
      <c r="AM118" s="259"/>
      <c r="AN118" s="259"/>
      <c r="AO118" s="259"/>
      <c r="AP118" s="259"/>
      <c r="AQ118" s="258"/>
      <c r="AR118" s="262">
        <f>MAX(AK118,第7期!AO118)</f>
        <v>0</v>
      </c>
      <c r="AS118" s="261">
        <f t="shared" si="113"/>
        <v>0</v>
      </c>
      <c r="AZ118" s="63"/>
      <c r="BR118" s="62"/>
      <c r="BS118" s="62"/>
      <c r="BT118" s="62"/>
      <c r="BU118" s="62"/>
      <c r="BV118" s="62"/>
      <c r="BW118" s="62"/>
      <c r="BX118" s="62"/>
      <c r="BY118" s="62"/>
      <c r="BZ118" s="62"/>
      <c r="CA118" s="62"/>
      <c r="CB118" s="62"/>
      <c r="CC118" s="62"/>
      <c r="CD118" s="62"/>
      <c r="CE118" s="62"/>
      <c r="CF118" s="62"/>
      <c r="CG118" s="62"/>
      <c r="CH118" s="62"/>
      <c r="CI118" s="62"/>
      <c r="CJ118" s="62"/>
    </row>
    <row r="119" s="61" customFormat="1" ht="16" customHeight="1" spans="7:88">
      <c r="G119" s="63"/>
      <c r="M119" s="247"/>
      <c r="T119" s="64"/>
      <c r="AA119" s="63"/>
      <c r="AH119" s="63"/>
      <c r="AI119" s="258"/>
      <c r="AJ119" s="259"/>
      <c r="AK119" s="259"/>
      <c r="AL119" s="259"/>
      <c r="AM119" s="259"/>
      <c r="AN119" s="259"/>
      <c r="AO119" s="259"/>
      <c r="AP119" s="259"/>
      <c r="AQ119" s="258"/>
      <c r="AR119" s="262">
        <f>MAX(AK119,第7期!AO119)</f>
        <v>0</v>
      </c>
      <c r="AS119" s="261">
        <f t="shared" si="113"/>
        <v>0</v>
      </c>
      <c r="AZ119" s="63"/>
      <c r="BR119" s="62"/>
      <c r="BS119" s="62"/>
      <c r="BT119" s="62"/>
      <c r="BU119" s="62"/>
      <c r="BV119" s="62"/>
      <c r="BW119" s="62"/>
      <c r="BX119" s="62"/>
      <c r="BY119" s="62"/>
      <c r="BZ119" s="62"/>
      <c r="CA119" s="62"/>
      <c r="CB119" s="62"/>
      <c r="CC119" s="62"/>
      <c r="CD119" s="62"/>
      <c r="CE119" s="62"/>
      <c r="CF119" s="62"/>
      <c r="CG119" s="62"/>
      <c r="CH119" s="62"/>
      <c r="CI119" s="62"/>
      <c r="CJ119" s="62"/>
    </row>
    <row r="120" s="61" customFormat="1" ht="16" customHeight="1" spans="7:88">
      <c r="G120" s="63"/>
      <c r="M120" s="247"/>
      <c r="T120" s="64"/>
      <c r="AA120" s="63"/>
      <c r="AH120" s="63"/>
      <c r="AI120" s="258"/>
      <c r="AJ120" s="259"/>
      <c r="AK120" s="259"/>
      <c r="AL120" s="259"/>
      <c r="AM120" s="259"/>
      <c r="AN120" s="259"/>
      <c r="AO120" s="259"/>
      <c r="AP120" s="259"/>
      <c r="AQ120" s="258"/>
      <c r="AR120" s="262">
        <f>MAX(AK120,第7期!AO120)</f>
        <v>0</v>
      </c>
      <c r="AS120" s="261">
        <f t="shared" si="113"/>
        <v>0</v>
      </c>
      <c r="AZ120" s="63"/>
      <c r="BR120" s="62"/>
      <c r="BS120" s="62"/>
      <c r="BT120" s="62"/>
      <c r="BU120" s="62"/>
      <c r="BV120" s="62"/>
      <c r="BW120" s="62"/>
      <c r="BX120" s="62"/>
      <c r="BY120" s="62"/>
      <c r="BZ120" s="62"/>
      <c r="CA120" s="62"/>
      <c r="CB120" s="62"/>
      <c r="CC120" s="62"/>
      <c r="CD120" s="62"/>
      <c r="CE120" s="62"/>
      <c r="CF120" s="62"/>
      <c r="CG120" s="62"/>
      <c r="CH120" s="62"/>
      <c r="CI120" s="62"/>
      <c r="CJ120" s="62"/>
    </row>
    <row r="121" s="61" customFormat="1" ht="16" customHeight="1" spans="7:88">
      <c r="G121" s="63"/>
      <c r="M121" s="247"/>
      <c r="T121" s="64"/>
      <c r="AA121" s="63"/>
      <c r="AH121" s="63"/>
      <c r="AI121" s="258"/>
      <c r="AJ121" s="259"/>
      <c r="AK121" s="259"/>
      <c r="AL121" s="259"/>
      <c r="AM121" s="259"/>
      <c r="AN121" s="259"/>
      <c r="AO121" s="259"/>
      <c r="AP121" s="259"/>
      <c r="AQ121" s="258"/>
      <c r="AR121" s="262">
        <f>MAX(AK121,第7期!AO121)</f>
        <v>0</v>
      </c>
      <c r="AS121" s="261">
        <f t="shared" si="113"/>
        <v>0</v>
      </c>
      <c r="AZ121" s="63"/>
      <c r="BR121" s="62"/>
      <c r="BS121" s="62"/>
      <c r="BT121" s="62"/>
      <c r="BU121" s="62"/>
      <c r="BV121" s="62"/>
      <c r="BW121" s="62"/>
      <c r="BX121" s="62"/>
      <c r="BY121" s="62"/>
      <c r="BZ121" s="62"/>
      <c r="CA121" s="62"/>
      <c r="CB121" s="62"/>
      <c r="CC121" s="62"/>
      <c r="CD121" s="62"/>
      <c r="CE121" s="62"/>
      <c r="CF121" s="62"/>
      <c r="CG121" s="62"/>
      <c r="CH121" s="62"/>
      <c r="CI121" s="62"/>
      <c r="CJ121" s="62"/>
    </row>
    <row r="122" s="61" customFormat="1" ht="16" customHeight="1" spans="7:88">
      <c r="G122" s="63"/>
      <c r="M122" s="247"/>
      <c r="T122" s="64"/>
      <c r="AA122" s="63"/>
      <c r="AH122" s="63"/>
      <c r="AI122" s="258"/>
      <c r="AJ122" s="259"/>
      <c r="AK122" s="259"/>
      <c r="AL122" s="259"/>
      <c r="AM122" s="259"/>
      <c r="AN122" s="259"/>
      <c r="AO122" s="259"/>
      <c r="AP122" s="259"/>
      <c r="AQ122" s="258"/>
      <c r="AR122" s="262">
        <f>MAX(AK122,第7期!AO122)</f>
        <v>0</v>
      </c>
      <c r="AS122" s="261">
        <f t="shared" si="113"/>
        <v>0</v>
      </c>
      <c r="AZ122" s="63"/>
      <c r="BR122" s="62"/>
      <c r="BS122" s="62"/>
      <c r="BT122" s="62"/>
      <c r="BU122" s="62"/>
      <c r="BV122" s="62"/>
      <c r="BW122" s="62"/>
      <c r="BX122" s="62"/>
      <c r="BY122" s="62"/>
      <c r="BZ122" s="62"/>
      <c r="CA122" s="62"/>
      <c r="CB122" s="62"/>
      <c r="CC122" s="62"/>
      <c r="CD122" s="62"/>
      <c r="CE122" s="62"/>
      <c r="CF122" s="62"/>
      <c r="CG122" s="62"/>
      <c r="CH122" s="62"/>
      <c r="CI122" s="62"/>
      <c r="CJ122" s="62"/>
    </row>
    <row r="123" s="61" customFormat="1" ht="16" customHeight="1" spans="7:88">
      <c r="G123" s="63"/>
      <c r="M123" s="247"/>
      <c r="T123" s="64"/>
      <c r="AA123" s="63"/>
      <c r="AH123" s="63"/>
      <c r="AI123" s="258"/>
      <c r="AJ123" s="259"/>
      <c r="AK123" s="259"/>
      <c r="AL123" s="259"/>
      <c r="AM123" s="259"/>
      <c r="AN123" s="259"/>
      <c r="AO123" s="259"/>
      <c r="AP123" s="259"/>
      <c r="AQ123" s="258"/>
      <c r="AR123" s="262">
        <f>MAX(AK123,第7期!AO123)</f>
        <v>0</v>
      </c>
      <c r="AS123" s="261">
        <f t="shared" si="113"/>
        <v>0</v>
      </c>
      <c r="AZ123" s="63"/>
      <c r="BR123" s="62"/>
      <c r="BS123" s="62"/>
      <c r="BT123" s="62"/>
      <c r="BU123" s="62"/>
      <c r="BV123" s="62"/>
      <c r="BW123" s="62"/>
      <c r="BX123" s="62"/>
      <c r="BY123" s="62"/>
      <c r="BZ123" s="62"/>
      <c r="CA123" s="62"/>
      <c r="CB123" s="62"/>
      <c r="CC123" s="62"/>
      <c r="CD123" s="62"/>
      <c r="CE123" s="62"/>
      <c r="CF123" s="62"/>
      <c r="CG123" s="62"/>
      <c r="CH123" s="62"/>
      <c r="CI123" s="62"/>
      <c r="CJ123" s="62"/>
    </row>
    <row r="124" s="61" customFormat="1" ht="16" customHeight="1" spans="7:88">
      <c r="G124" s="63"/>
      <c r="M124" s="247"/>
      <c r="T124" s="64"/>
      <c r="AA124" s="63"/>
      <c r="AH124" s="63"/>
      <c r="AI124" s="258"/>
      <c r="AJ124" s="259"/>
      <c r="AK124" s="259"/>
      <c r="AL124" s="259"/>
      <c r="AM124" s="259"/>
      <c r="AN124" s="259"/>
      <c r="AO124" s="259"/>
      <c r="AP124" s="259"/>
      <c r="AQ124" s="258"/>
      <c r="AR124" s="262">
        <f>MAX(AK124,第7期!AO124)</f>
        <v>0</v>
      </c>
      <c r="AS124" s="261">
        <f t="shared" si="113"/>
        <v>0</v>
      </c>
      <c r="AZ124" s="63"/>
      <c r="BR124" s="62"/>
      <c r="BS124" s="62"/>
      <c r="BT124" s="62"/>
      <c r="BU124" s="62"/>
      <c r="BV124" s="62"/>
      <c r="BW124" s="62"/>
      <c r="BX124" s="62"/>
      <c r="BY124" s="62"/>
      <c r="BZ124" s="62"/>
      <c r="CA124" s="62"/>
      <c r="CB124" s="62"/>
      <c r="CC124" s="62"/>
      <c r="CD124" s="62"/>
      <c r="CE124" s="62"/>
      <c r="CF124" s="62"/>
      <c r="CG124" s="62"/>
      <c r="CH124" s="62"/>
      <c r="CI124" s="62"/>
      <c r="CJ124" s="62"/>
    </row>
    <row r="125" s="61" customFormat="1" ht="16" customHeight="1" spans="7:88">
      <c r="G125" s="63"/>
      <c r="M125" s="247"/>
      <c r="T125" s="64"/>
      <c r="AA125" s="63"/>
      <c r="AH125" s="63"/>
      <c r="AI125" s="258"/>
      <c r="AJ125" s="259"/>
      <c r="AK125" s="259"/>
      <c r="AL125" s="259"/>
      <c r="AM125" s="259"/>
      <c r="AN125" s="259"/>
      <c r="AO125" s="259"/>
      <c r="AP125" s="259"/>
      <c r="AQ125" s="258"/>
      <c r="AR125" s="262">
        <f>MAX(AK125,第7期!AO125)</f>
        <v>0</v>
      </c>
      <c r="AS125" s="261">
        <f t="shared" si="113"/>
        <v>0</v>
      </c>
      <c r="AZ125" s="63"/>
      <c r="BR125" s="62"/>
      <c r="BS125" s="62"/>
      <c r="BT125" s="62"/>
      <c r="BU125" s="62"/>
      <c r="BV125" s="62"/>
      <c r="BW125" s="62"/>
      <c r="BX125" s="62"/>
      <c r="BY125" s="62"/>
      <c r="BZ125" s="62"/>
      <c r="CA125" s="62"/>
      <c r="CB125" s="62"/>
      <c r="CC125" s="62"/>
      <c r="CD125" s="62"/>
      <c r="CE125" s="62"/>
      <c r="CF125" s="62"/>
      <c r="CG125" s="62"/>
      <c r="CH125" s="62"/>
      <c r="CI125" s="62"/>
      <c r="CJ125" s="62"/>
    </row>
    <row r="126" s="61" customFormat="1" ht="16" customHeight="1" spans="7:88">
      <c r="G126" s="63"/>
      <c r="M126" s="247"/>
      <c r="T126" s="64"/>
      <c r="AA126" s="63"/>
      <c r="AH126" s="63"/>
      <c r="AI126" s="172"/>
      <c r="AJ126" s="260"/>
      <c r="AK126" s="260"/>
      <c r="AL126" s="260"/>
      <c r="AM126" s="260"/>
      <c r="AN126" s="260"/>
      <c r="AO126" s="260"/>
      <c r="AP126" s="260"/>
      <c r="AQ126" s="187"/>
      <c r="AR126" s="262">
        <f>MAX(AK126,第7期!AO126)</f>
        <v>0</v>
      </c>
      <c r="AS126" s="261">
        <f t="shared" si="113"/>
        <v>0</v>
      </c>
      <c r="AZ126" s="63"/>
      <c r="BR126" s="62"/>
      <c r="BS126" s="62"/>
      <c r="BT126" s="62"/>
      <c r="BU126" s="62"/>
      <c r="BV126" s="62"/>
      <c r="BW126" s="62"/>
      <c r="BX126" s="62"/>
      <c r="BY126" s="62"/>
      <c r="BZ126" s="62"/>
      <c r="CA126" s="62"/>
      <c r="CB126" s="62"/>
      <c r="CC126" s="62"/>
      <c r="CD126" s="62"/>
      <c r="CE126" s="62"/>
      <c r="CF126" s="62"/>
      <c r="CG126" s="62"/>
      <c r="CH126" s="62"/>
      <c r="CI126" s="62"/>
      <c r="CJ126" s="62"/>
    </row>
    <row r="127" s="61" customFormat="1" ht="16" customHeight="1" spans="7:88">
      <c r="G127" s="63"/>
      <c r="M127" s="247"/>
      <c r="T127" s="64"/>
      <c r="AA127" s="63"/>
      <c r="AH127" s="63"/>
      <c r="AZ127" s="63"/>
      <c r="BR127" s="62"/>
      <c r="BS127" s="62"/>
      <c r="BT127" s="62"/>
      <c r="BU127" s="62"/>
      <c r="BV127" s="62"/>
      <c r="BW127" s="62"/>
      <c r="BX127" s="62"/>
      <c r="BY127" s="62"/>
      <c r="BZ127" s="62"/>
      <c r="CA127" s="62"/>
      <c r="CB127" s="62"/>
      <c r="CC127" s="62"/>
      <c r="CD127" s="62"/>
      <c r="CE127" s="62"/>
      <c r="CF127" s="62"/>
      <c r="CG127" s="62"/>
      <c r="CH127" s="62"/>
      <c r="CI127" s="62"/>
      <c r="CJ127" s="62"/>
    </row>
    <row r="128" s="61" customFormat="1" ht="16" customHeight="1" spans="7:88">
      <c r="G128" s="63"/>
      <c r="M128" s="247"/>
      <c r="T128" s="64"/>
      <c r="AA128" s="63"/>
      <c r="AH128" s="63"/>
      <c r="AZ128" s="63"/>
      <c r="BR128" s="62"/>
      <c r="BS128" s="62"/>
      <c r="BT128" s="62"/>
      <c r="BU128" s="62"/>
      <c r="BV128" s="62"/>
      <c r="BW128" s="62"/>
      <c r="BX128" s="62"/>
      <c r="BY128" s="62"/>
      <c r="BZ128" s="62"/>
      <c r="CA128" s="62"/>
      <c r="CB128" s="62"/>
      <c r="CC128" s="62"/>
      <c r="CD128" s="62"/>
      <c r="CE128" s="62"/>
      <c r="CF128" s="62"/>
      <c r="CG128" s="62"/>
      <c r="CH128" s="62"/>
      <c r="CI128" s="62"/>
      <c r="CJ128" s="62"/>
    </row>
    <row r="129" s="61" customFormat="1" ht="16" customHeight="1" spans="7:88">
      <c r="G129" s="63"/>
      <c r="M129" s="247"/>
      <c r="T129" s="64"/>
      <c r="AA129" s="63"/>
      <c r="AH129" s="63"/>
      <c r="AZ129" s="63"/>
      <c r="BR129" s="62"/>
      <c r="BS129" s="62"/>
      <c r="BT129" s="62"/>
      <c r="BU129" s="62"/>
      <c r="BV129" s="62"/>
      <c r="BW129" s="62"/>
      <c r="BX129" s="62"/>
      <c r="BY129" s="62"/>
      <c r="BZ129" s="62"/>
      <c r="CA129" s="62"/>
      <c r="CB129" s="62"/>
      <c r="CC129" s="62"/>
      <c r="CD129" s="62"/>
      <c r="CE129" s="62"/>
      <c r="CF129" s="62"/>
      <c r="CG129" s="62"/>
      <c r="CH129" s="62"/>
      <c r="CI129" s="62"/>
      <c r="CJ129" s="62"/>
    </row>
    <row r="130" s="61" customFormat="1" ht="16" customHeight="1" spans="7:88">
      <c r="G130" s="63"/>
      <c r="M130" s="247"/>
      <c r="T130" s="64"/>
      <c r="AA130" s="63"/>
      <c r="AH130" s="63"/>
      <c r="AZ130" s="63"/>
      <c r="BR130" s="62"/>
      <c r="BS130" s="62"/>
      <c r="BT130" s="62"/>
      <c r="BU130" s="62"/>
      <c r="BV130" s="62"/>
      <c r="BW130" s="62"/>
      <c r="BX130" s="62"/>
      <c r="BY130" s="62"/>
      <c r="BZ130" s="62"/>
      <c r="CA130" s="62"/>
      <c r="CB130" s="62"/>
      <c r="CC130" s="62"/>
      <c r="CD130" s="62"/>
      <c r="CE130" s="62"/>
      <c r="CF130" s="62"/>
      <c r="CG130" s="62"/>
      <c r="CH130" s="62"/>
      <c r="CI130" s="62"/>
      <c r="CJ130" s="62"/>
    </row>
    <row r="131" s="61" customFormat="1" ht="16" customHeight="1" spans="7:88">
      <c r="G131" s="63"/>
      <c r="M131" s="247"/>
      <c r="T131" s="64"/>
      <c r="AA131" s="63"/>
      <c r="AH131" s="63"/>
      <c r="AZ131" s="63"/>
      <c r="BR131" s="62"/>
      <c r="BS131" s="62"/>
      <c r="BT131" s="62"/>
      <c r="BU131" s="62"/>
      <c r="BV131" s="62"/>
      <c r="BW131" s="62"/>
      <c r="BX131" s="62"/>
      <c r="BY131" s="62"/>
      <c r="BZ131" s="62"/>
      <c r="CA131" s="62"/>
      <c r="CB131" s="62"/>
      <c r="CC131" s="62"/>
      <c r="CD131" s="62"/>
      <c r="CE131" s="62"/>
      <c r="CF131" s="62"/>
      <c r="CG131" s="62"/>
      <c r="CH131" s="62"/>
      <c r="CI131" s="62"/>
      <c r="CJ131" s="62"/>
    </row>
    <row r="132" s="61" customFormat="1" ht="16" customHeight="1" spans="7:88">
      <c r="G132" s="63"/>
      <c r="M132" s="247"/>
      <c r="T132" s="64"/>
      <c r="AA132" s="63"/>
      <c r="AH132" s="63"/>
      <c r="AZ132" s="63"/>
      <c r="BR132" s="62"/>
      <c r="BS132" s="62"/>
      <c r="BT132" s="62"/>
      <c r="BU132" s="62"/>
      <c r="BV132" s="62"/>
      <c r="BW132" s="62"/>
      <c r="BX132" s="62"/>
      <c r="BY132" s="62"/>
      <c r="BZ132" s="62"/>
      <c r="CA132" s="62"/>
      <c r="CB132" s="62"/>
      <c r="CC132" s="62"/>
      <c r="CD132" s="62"/>
      <c r="CE132" s="62"/>
      <c r="CF132" s="62"/>
      <c r="CG132" s="62"/>
      <c r="CH132" s="62"/>
      <c r="CI132" s="62"/>
      <c r="CJ132" s="62"/>
    </row>
    <row r="133" s="61" customFormat="1" ht="16" customHeight="1" spans="7:88">
      <c r="G133" s="63"/>
      <c r="M133" s="247"/>
      <c r="T133" s="64"/>
      <c r="AA133" s="63"/>
      <c r="AH133" s="63"/>
      <c r="AZ133" s="63"/>
      <c r="BR133" s="62"/>
      <c r="BS133" s="62"/>
      <c r="BT133" s="62"/>
      <c r="BU133" s="62"/>
      <c r="BV133" s="62"/>
      <c r="BW133" s="62"/>
      <c r="BX133" s="62"/>
      <c r="BY133" s="62"/>
      <c r="BZ133" s="62"/>
      <c r="CA133" s="62"/>
      <c r="CB133" s="62"/>
      <c r="CC133" s="62"/>
      <c r="CD133" s="62"/>
      <c r="CE133" s="62"/>
      <c r="CF133" s="62"/>
      <c r="CG133" s="62"/>
      <c r="CH133" s="62"/>
      <c r="CI133" s="62"/>
      <c r="CJ133" s="62"/>
    </row>
    <row r="134" s="61" customFormat="1" ht="16" customHeight="1" spans="7:88">
      <c r="G134" s="63"/>
      <c r="M134" s="247"/>
      <c r="T134" s="64"/>
      <c r="AA134" s="63"/>
      <c r="AH134" s="63"/>
      <c r="AZ134" s="63"/>
      <c r="BR134" s="62"/>
      <c r="BS134" s="62"/>
      <c r="BT134" s="62"/>
      <c r="BU134" s="62"/>
      <c r="BV134" s="62"/>
      <c r="BW134" s="62"/>
      <c r="BX134" s="62"/>
      <c r="BY134" s="62"/>
      <c r="BZ134" s="62"/>
      <c r="CA134" s="62"/>
      <c r="CB134" s="62"/>
      <c r="CC134" s="62"/>
      <c r="CD134" s="62"/>
      <c r="CE134" s="62"/>
      <c r="CF134" s="62"/>
      <c r="CG134" s="62"/>
      <c r="CH134" s="62"/>
      <c r="CI134" s="62"/>
      <c r="CJ134" s="62"/>
    </row>
    <row r="135" s="61" customFormat="1" ht="16" customHeight="1" spans="7:88">
      <c r="G135" s="63"/>
      <c r="M135" s="247"/>
      <c r="T135" s="64"/>
      <c r="AA135" s="63"/>
      <c r="AH135" s="63"/>
      <c r="AZ135" s="63"/>
      <c r="BR135" s="62"/>
      <c r="BS135" s="62"/>
      <c r="BT135" s="62"/>
      <c r="BU135" s="62"/>
      <c r="BV135" s="62"/>
      <c r="BW135" s="62"/>
      <c r="BX135" s="62"/>
      <c r="BY135" s="62"/>
      <c r="BZ135" s="62"/>
      <c r="CA135" s="62"/>
      <c r="CB135" s="62"/>
      <c r="CC135" s="62"/>
      <c r="CD135" s="62"/>
      <c r="CE135" s="62"/>
      <c r="CF135" s="62"/>
      <c r="CG135" s="62"/>
      <c r="CH135" s="62"/>
      <c r="CI135" s="62"/>
      <c r="CJ135" s="62"/>
    </row>
    <row r="136" s="61" customFormat="1" ht="16" customHeight="1" spans="7:88">
      <c r="G136" s="63"/>
      <c r="M136" s="247"/>
      <c r="T136" s="64"/>
      <c r="AA136" s="63"/>
      <c r="AH136" s="63"/>
      <c r="AZ136" s="63"/>
      <c r="BR136" s="62"/>
      <c r="BS136" s="62"/>
      <c r="BT136" s="62"/>
      <c r="BU136" s="62"/>
      <c r="BV136" s="62"/>
      <c r="BW136" s="62"/>
      <c r="BX136" s="62"/>
      <c r="BY136" s="62"/>
      <c r="BZ136" s="62"/>
      <c r="CA136" s="62"/>
      <c r="CB136" s="62"/>
      <c r="CC136" s="62"/>
      <c r="CD136" s="62"/>
      <c r="CE136" s="62"/>
      <c r="CF136" s="62"/>
      <c r="CG136" s="62"/>
      <c r="CH136" s="62"/>
      <c r="CI136" s="62"/>
      <c r="CJ136" s="62"/>
    </row>
    <row r="137" s="61" customFormat="1" ht="16" customHeight="1" spans="7:88">
      <c r="G137" s="63"/>
      <c r="M137" s="247"/>
      <c r="T137" s="64"/>
      <c r="AA137" s="63"/>
      <c r="AH137" s="63"/>
      <c r="AZ137" s="63"/>
      <c r="BR137" s="62"/>
      <c r="BS137" s="62"/>
      <c r="BT137" s="62"/>
      <c r="BU137" s="62"/>
      <c r="BV137" s="62"/>
      <c r="BW137" s="62"/>
      <c r="BX137" s="62"/>
      <c r="BY137" s="62"/>
      <c r="BZ137" s="62"/>
      <c r="CA137" s="62"/>
      <c r="CB137" s="62"/>
      <c r="CC137" s="62"/>
      <c r="CD137" s="62"/>
      <c r="CE137" s="62"/>
      <c r="CF137" s="62"/>
      <c r="CG137" s="62"/>
      <c r="CH137" s="62"/>
      <c r="CI137" s="62"/>
      <c r="CJ137" s="62"/>
    </row>
    <row r="138" s="61" customFormat="1" ht="16" customHeight="1" spans="7:88">
      <c r="G138" s="63"/>
      <c r="M138" s="247"/>
      <c r="T138" s="64"/>
      <c r="AA138" s="63"/>
      <c r="AH138" s="63"/>
      <c r="AZ138" s="63"/>
      <c r="BR138" s="62"/>
      <c r="BS138" s="62"/>
      <c r="BT138" s="62"/>
      <c r="BU138" s="62"/>
      <c r="BV138" s="62"/>
      <c r="BW138" s="62"/>
      <c r="BX138" s="62"/>
      <c r="BY138" s="62"/>
      <c r="BZ138" s="62"/>
      <c r="CA138" s="62"/>
      <c r="CB138" s="62"/>
      <c r="CC138" s="62"/>
      <c r="CD138" s="62"/>
      <c r="CE138" s="62"/>
      <c r="CF138" s="62"/>
      <c r="CG138" s="62"/>
      <c r="CH138" s="62"/>
      <c r="CI138" s="62"/>
      <c r="CJ138" s="62"/>
    </row>
    <row r="139" s="61" customFormat="1" ht="16" customHeight="1" spans="7:88">
      <c r="G139" s="63"/>
      <c r="M139" s="247"/>
      <c r="T139" s="64"/>
      <c r="AA139" s="63"/>
      <c r="AH139" s="63"/>
      <c r="AZ139" s="63"/>
      <c r="BR139" s="62"/>
      <c r="BS139" s="62"/>
      <c r="BT139" s="62"/>
      <c r="BU139" s="62"/>
      <c r="BV139" s="62"/>
      <c r="BW139" s="62"/>
      <c r="BX139" s="62"/>
      <c r="BY139" s="62"/>
      <c r="BZ139" s="62"/>
      <c r="CA139" s="62"/>
      <c r="CB139" s="62"/>
      <c r="CC139" s="62"/>
      <c r="CD139" s="62"/>
      <c r="CE139" s="62"/>
      <c r="CF139" s="62"/>
      <c r="CG139" s="62"/>
      <c r="CH139" s="62"/>
      <c r="CI139" s="62"/>
      <c r="CJ139" s="62"/>
    </row>
    <row r="140" s="61" customFormat="1" ht="16" customHeight="1" spans="7:88">
      <c r="G140" s="63"/>
      <c r="M140" s="247"/>
      <c r="T140" s="64"/>
      <c r="AA140" s="63"/>
      <c r="AH140" s="63"/>
      <c r="AZ140" s="63"/>
      <c r="BR140" s="62"/>
      <c r="BS140" s="62"/>
      <c r="BT140" s="62"/>
      <c r="BU140" s="62"/>
      <c r="BV140" s="62"/>
      <c r="BW140" s="62"/>
      <c r="BX140" s="62"/>
      <c r="BY140" s="62"/>
      <c r="BZ140" s="62"/>
      <c r="CA140" s="62"/>
      <c r="CB140" s="62"/>
      <c r="CC140" s="62"/>
      <c r="CD140" s="62"/>
      <c r="CE140" s="62"/>
      <c r="CF140" s="62"/>
      <c r="CG140" s="62"/>
      <c r="CH140" s="62"/>
      <c r="CI140" s="62"/>
      <c r="CJ140" s="62"/>
    </row>
    <row r="141" s="61" customFormat="1" ht="16" customHeight="1" spans="7:88">
      <c r="G141" s="63"/>
      <c r="M141" s="247"/>
      <c r="T141" s="64"/>
      <c r="AA141" s="63"/>
      <c r="AH141" s="63"/>
      <c r="AZ141" s="63"/>
      <c r="BR141" s="62"/>
      <c r="BS141" s="62"/>
      <c r="BT141" s="62"/>
      <c r="BU141" s="62"/>
      <c r="BV141" s="62"/>
      <c r="BW141" s="62"/>
      <c r="BX141" s="62"/>
      <c r="BY141" s="62"/>
      <c r="BZ141" s="62"/>
      <c r="CA141" s="62"/>
      <c r="CB141" s="62"/>
      <c r="CC141" s="62"/>
      <c r="CD141" s="62"/>
      <c r="CE141" s="62"/>
      <c r="CF141" s="62"/>
      <c r="CG141" s="62"/>
      <c r="CH141" s="62"/>
      <c r="CI141" s="62"/>
      <c r="CJ141" s="62"/>
    </row>
    <row r="142" s="61" customFormat="1" ht="16" customHeight="1" spans="7:88">
      <c r="G142" s="63"/>
      <c r="M142" s="247"/>
      <c r="T142" s="64"/>
      <c r="AA142" s="63"/>
      <c r="AH142" s="63"/>
      <c r="AZ142" s="63"/>
      <c r="BR142" s="62"/>
      <c r="BS142" s="62"/>
      <c r="BT142" s="62"/>
      <c r="BU142" s="62"/>
      <c r="BV142" s="62"/>
      <c r="BW142" s="62"/>
      <c r="BX142" s="62"/>
      <c r="BY142" s="62"/>
      <c r="BZ142" s="62"/>
      <c r="CA142" s="62"/>
      <c r="CB142" s="62"/>
      <c r="CC142" s="62"/>
      <c r="CD142" s="62"/>
      <c r="CE142" s="62"/>
      <c r="CF142" s="62"/>
      <c r="CG142" s="62"/>
      <c r="CH142" s="62"/>
      <c r="CI142" s="62"/>
      <c r="CJ142" s="62"/>
    </row>
    <row r="143" s="61" customFormat="1" ht="16" customHeight="1" spans="7:88">
      <c r="G143" s="63"/>
      <c r="M143" s="247"/>
      <c r="T143" s="64"/>
      <c r="AA143" s="63"/>
      <c r="AH143" s="63"/>
      <c r="AZ143" s="63"/>
      <c r="BR143" s="62"/>
      <c r="BS143" s="62"/>
      <c r="BT143" s="62"/>
      <c r="BU143" s="62"/>
      <c r="BV143" s="62"/>
      <c r="BW143" s="62"/>
      <c r="BX143" s="62"/>
      <c r="BY143" s="62"/>
      <c r="BZ143" s="62"/>
      <c r="CA143" s="62"/>
      <c r="CB143" s="62"/>
      <c r="CC143" s="62"/>
      <c r="CD143" s="62"/>
      <c r="CE143" s="62"/>
      <c r="CF143" s="62"/>
      <c r="CG143" s="62"/>
      <c r="CH143" s="62"/>
      <c r="CI143" s="62"/>
      <c r="CJ143" s="62"/>
    </row>
    <row r="144" s="61" customFormat="1" ht="16" customHeight="1" spans="7:88">
      <c r="G144" s="63"/>
      <c r="M144" s="247"/>
      <c r="T144" s="64"/>
      <c r="AA144" s="63"/>
      <c r="AH144" s="63"/>
      <c r="AZ144" s="63"/>
      <c r="BR144" s="62"/>
      <c r="BS144" s="62"/>
      <c r="BT144" s="62"/>
      <c r="BU144" s="62"/>
      <c r="BV144" s="62"/>
      <c r="BW144" s="62"/>
      <c r="BX144" s="62"/>
      <c r="BY144" s="62"/>
      <c r="BZ144" s="62"/>
      <c r="CA144" s="62"/>
      <c r="CB144" s="62"/>
      <c r="CC144" s="62"/>
      <c r="CD144" s="62"/>
      <c r="CE144" s="62"/>
      <c r="CF144" s="62"/>
      <c r="CG144" s="62"/>
      <c r="CH144" s="62"/>
      <c r="CI144" s="62"/>
      <c r="CJ144" s="62"/>
    </row>
    <row r="145" s="61" customFormat="1" ht="16" customHeight="1" spans="7:88">
      <c r="G145" s="63"/>
      <c r="M145" s="247"/>
      <c r="T145" s="64"/>
      <c r="AA145" s="63"/>
      <c r="AH145" s="63"/>
      <c r="AZ145" s="63"/>
      <c r="BR145" s="62"/>
      <c r="BS145" s="62"/>
      <c r="BT145" s="62"/>
      <c r="BU145" s="62"/>
      <c r="BV145" s="62"/>
      <c r="BW145" s="62"/>
      <c r="BX145" s="62"/>
      <c r="BY145" s="62"/>
      <c r="BZ145" s="62"/>
      <c r="CA145" s="62"/>
      <c r="CB145" s="62"/>
      <c r="CC145" s="62"/>
      <c r="CD145" s="62"/>
      <c r="CE145" s="62"/>
      <c r="CF145" s="62"/>
      <c r="CG145" s="62"/>
      <c r="CH145" s="62"/>
      <c r="CI145" s="62"/>
      <c r="CJ145" s="62"/>
    </row>
    <row r="146" s="61" customFormat="1" ht="16" customHeight="1" spans="7:88">
      <c r="G146" s="63"/>
      <c r="M146" s="247"/>
      <c r="T146" s="64"/>
      <c r="AA146" s="63"/>
      <c r="AH146" s="63"/>
      <c r="AZ146" s="63"/>
      <c r="BR146" s="62"/>
      <c r="BS146" s="62"/>
      <c r="BT146" s="62"/>
      <c r="BU146" s="62"/>
      <c r="BV146" s="62"/>
      <c r="BW146" s="62"/>
      <c r="BX146" s="62"/>
      <c r="BY146" s="62"/>
      <c r="BZ146" s="62"/>
      <c r="CA146" s="62"/>
      <c r="CB146" s="62"/>
      <c r="CC146" s="62"/>
      <c r="CD146" s="62"/>
      <c r="CE146" s="62"/>
      <c r="CF146" s="62"/>
      <c r="CG146" s="62"/>
      <c r="CH146" s="62"/>
      <c r="CI146" s="62"/>
      <c r="CJ146" s="62"/>
    </row>
    <row r="147" s="61" customFormat="1" ht="16" customHeight="1" spans="7:88">
      <c r="G147" s="63"/>
      <c r="M147" s="247"/>
      <c r="T147" s="64"/>
      <c r="AA147" s="63"/>
      <c r="AH147" s="63"/>
      <c r="AZ147" s="63"/>
      <c r="BR147" s="62"/>
      <c r="BS147" s="62"/>
      <c r="BT147" s="62"/>
      <c r="BU147" s="62"/>
      <c r="BV147" s="62"/>
      <c r="BW147" s="62"/>
      <c r="BX147" s="62"/>
      <c r="BY147" s="62"/>
      <c r="BZ147" s="62"/>
      <c r="CA147" s="62"/>
      <c r="CB147" s="62"/>
      <c r="CC147" s="62"/>
      <c r="CD147" s="62"/>
      <c r="CE147" s="62"/>
      <c r="CF147" s="62"/>
      <c r="CG147" s="62"/>
      <c r="CH147" s="62"/>
      <c r="CI147" s="62"/>
      <c r="CJ147" s="62"/>
    </row>
    <row r="148" s="61" customFormat="1" ht="16" customHeight="1" spans="7:88">
      <c r="G148" s="63"/>
      <c r="M148" s="247"/>
      <c r="T148" s="64"/>
      <c r="AA148" s="63"/>
      <c r="AH148" s="63"/>
      <c r="AZ148" s="63"/>
      <c r="BR148" s="62"/>
      <c r="BS148" s="62"/>
      <c r="BT148" s="62"/>
      <c r="BU148" s="62"/>
      <c r="BV148" s="62"/>
      <c r="BW148" s="62"/>
      <c r="BX148" s="62"/>
      <c r="BY148" s="62"/>
      <c r="BZ148" s="62"/>
      <c r="CA148" s="62"/>
      <c r="CB148" s="62"/>
      <c r="CC148" s="62"/>
      <c r="CD148" s="62"/>
      <c r="CE148" s="62"/>
      <c r="CF148" s="62"/>
      <c r="CG148" s="62"/>
      <c r="CH148" s="62"/>
      <c r="CI148" s="62"/>
      <c r="CJ148" s="62"/>
    </row>
    <row r="149" s="61" customFormat="1" ht="16" customHeight="1" spans="7:88">
      <c r="G149" s="63"/>
      <c r="M149" s="247"/>
      <c r="T149" s="64"/>
      <c r="AA149" s="63"/>
      <c r="AH149" s="63"/>
      <c r="AZ149" s="63"/>
      <c r="BR149" s="62"/>
      <c r="BS149" s="62"/>
      <c r="BT149" s="62"/>
      <c r="BU149" s="62"/>
      <c r="BV149" s="62"/>
      <c r="BW149" s="62"/>
      <c r="BX149" s="62"/>
      <c r="BY149" s="62"/>
      <c r="BZ149" s="62"/>
      <c r="CA149" s="62"/>
      <c r="CB149" s="62"/>
      <c r="CC149" s="62"/>
      <c r="CD149" s="62"/>
      <c r="CE149" s="62"/>
      <c r="CF149" s="62"/>
      <c r="CG149" s="62"/>
      <c r="CH149" s="62"/>
      <c r="CI149" s="62"/>
      <c r="CJ149" s="62"/>
    </row>
    <row r="150" s="61" customFormat="1" ht="16" customHeight="1" spans="7:88">
      <c r="G150" s="63"/>
      <c r="M150" s="247"/>
      <c r="T150" s="64"/>
      <c r="AA150" s="63"/>
      <c r="AH150" s="63"/>
      <c r="AZ150" s="63"/>
      <c r="BR150" s="62"/>
      <c r="BS150" s="62"/>
      <c r="BT150" s="62"/>
      <c r="BU150" s="62"/>
      <c r="BV150" s="62"/>
      <c r="BW150" s="62"/>
      <c r="BX150" s="62"/>
      <c r="BY150" s="62"/>
      <c r="BZ150" s="62"/>
      <c r="CA150" s="62"/>
      <c r="CB150" s="62"/>
      <c r="CC150" s="62"/>
      <c r="CD150" s="62"/>
      <c r="CE150" s="62"/>
      <c r="CF150" s="62"/>
      <c r="CG150" s="62"/>
      <c r="CH150" s="62"/>
      <c r="CI150" s="62"/>
      <c r="CJ150" s="62"/>
    </row>
    <row r="151" s="61" customFormat="1" ht="13.5" customHeight="1" spans="7:88">
      <c r="G151" s="63"/>
      <c r="M151" s="247"/>
      <c r="T151" s="64"/>
      <c r="AA151" s="63"/>
      <c r="AH151" s="63"/>
      <c r="AZ151" s="63"/>
      <c r="BR151" s="62"/>
      <c r="BS151" s="62"/>
      <c r="BT151" s="62"/>
      <c r="BU151" s="62"/>
      <c r="BV151" s="62"/>
      <c r="BW151" s="62"/>
      <c r="BX151" s="62"/>
      <c r="BY151" s="62"/>
      <c r="BZ151" s="62"/>
      <c r="CA151" s="62"/>
      <c r="CB151" s="62"/>
      <c r="CC151" s="62"/>
      <c r="CD151" s="62"/>
      <c r="CE151" s="62"/>
      <c r="CF151" s="62"/>
      <c r="CG151" s="62"/>
      <c r="CH151" s="62"/>
      <c r="CI151" s="62"/>
      <c r="CJ151" s="62"/>
    </row>
    <row r="152" s="61" customFormat="1" ht="13.5" customHeight="1" spans="7:88">
      <c r="G152" s="63"/>
      <c r="M152" s="247"/>
      <c r="T152" s="64"/>
      <c r="AA152" s="63"/>
      <c r="AH152" s="63"/>
      <c r="AZ152" s="63"/>
      <c r="BR152" s="62"/>
      <c r="BS152" s="62"/>
      <c r="BT152" s="62"/>
      <c r="BU152" s="62"/>
      <c r="BV152" s="62"/>
      <c r="BW152" s="62"/>
      <c r="BX152" s="62"/>
      <c r="BY152" s="62"/>
      <c r="BZ152" s="62"/>
      <c r="CA152" s="62"/>
      <c r="CB152" s="62"/>
      <c r="CC152" s="62"/>
      <c r="CD152" s="62"/>
      <c r="CE152" s="62"/>
      <c r="CF152" s="62"/>
      <c r="CG152" s="62"/>
      <c r="CH152" s="62"/>
      <c r="CI152" s="62"/>
      <c r="CJ152" s="62"/>
    </row>
    <row r="153" s="61" customFormat="1" ht="13.5" customHeight="1" spans="7:88">
      <c r="G153" s="63"/>
      <c r="M153" s="247"/>
      <c r="T153" s="64"/>
      <c r="AA153" s="63"/>
      <c r="AH153" s="63"/>
      <c r="AZ153" s="63"/>
      <c r="BR153" s="62"/>
      <c r="BS153" s="62"/>
      <c r="BT153" s="62"/>
      <c r="BU153" s="62"/>
      <c r="BV153" s="62"/>
      <c r="BW153" s="62"/>
      <c r="BX153" s="62"/>
      <c r="BY153" s="62"/>
      <c r="BZ153" s="62"/>
      <c r="CA153" s="62"/>
      <c r="CB153" s="62"/>
      <c r="CC153" s="62"/>
      <c r="CD153" s="62"/>
      <c r="CE153" s="62"/>
      <c r="CF153" s="62"/>
      <c r="CG153" s="62"/>
      <c r="CH153" s="62"/>
      <c r="CI153" s="62"/>
      <c r="CJ153" s="62"/>
    </row>
    <row r="154" s="61" customFormat="1" ht="13.5" customHeight="1" spans="7:88">
      <c r="G154" s="63"/>
      <c r="M154" s="247"/>
      <c r="T154" s="64"/>
      <c r="AA154" s="63"/>
      <c r="AH154" s="63"/>
      <c r="AZ154" s="63"/>
      <c r="BR154" s="62"/>
      <c r="BS154" s="62"/>
      <c r="BT154" s="62"/>
      <c r="BU154" s="62"/>
      <c r="BV154" s="62"/>
      <c r="BW154" s="62"/>
      <c r="BX154" s="62"/>
      <c r="BY154" s="62"/>
      <c r="BZ154" s="62"/>
      <c r="CA154" s="62"/>
      <c r="CB154" s="62"/>
      <c r="CC154" s="62"/>
      <c r="CD154" s="62"/>
      <c r="CE154" s="62"/>
      <c r="CF154" s="62"/>
      <c r="CG154" s="62"/>
      <c r="CH154" s="62"/>
      <c r="CI154" s="62"/>
      <c r="CJ154" s="62"/>
    </row>
    <row r="155" s="61" customFormat="1" ht="13.5" customHeight="1" spans="7:88">
      <c r="G155" s="63"/>
      <c r="M155" s="247"/>
      <c r="T155" s="64"/>
      <c r="AA155" s="63"/>
      <c r="AH155" s="63"/>
      <c r="AZ155" s="63"/>
      <c r="BR155" s="62"/>
      <c r="BS155" s="62"/>
      <c r="BT155" s="62"/>
      <c r="BU155" s="62"/>
      <c r="BV155" s="62"/>
      <c r="BW155" s="62"/>
      <c r="BX155" s="62"/>
      <c r="BY155" s="62"/>
      <c r="BZ155" s="62"/>
      <c r="CA155" s="62"/>
      <c r="CB155" s="62"/>
      <c r="CC155" s="62"/>
      <c r="CD155" s="62"/>
      <c r="CE155" s="62"/>
      <c r="CF155" s="62"/>
      <c r="CG155" s="62"/>
      <c r="CH155" s="62"/>
      <c r="CI155" s="62"/>
      <c r="CJ155" s="62"/>
    </row>
    <row r="156" s="61" customFormat="1" ht="13.5" customHeight="1" spans="7:88">
      <c r="G156" s="63"/>
      <c r="M156" s="247"/>
      <c r="T156" s="64"/>
      <c r="AA156" s="63"/>
      <c r="AH156" s="63"/>
      <c r="AZ156" s="63"/>
      <c r="BR156" s="62"/>
      <c r="BS156" s="62"/>
      <c r="BT156" s="62"/>
      <c r="BU156" s="62"/>
      <c r="BV156" s="62"/>
      <c r="BW156" s="62"/>
      <c r="BX156" s="62"/>
      <c r="BY156" s="62"/>
      <c r="BZ156" s="62"/>
      <c r="CA156" s="62"/>
      <c r="CB156" s="62"/>
      <c r="CC156" s="62"/>
      <c r="CD156" s="62"/>
      <c r="CE156" s="62"/>
      <c r="CF156" s="62"/>
      <c r="CG156" s="62"/>
      <c r="CH156" s="62"/>
      <c r="CI156" s="62"/>
      <c r="CJ156" s="62"/>
    </row>
    <row r="157" s="61" customFormat="1" ht="13.5" customHeight="1" spans="7:88">
      <c r="G157" s="63"/>
      <c r="M157" s="247"/>
      <c r="T157" s="64"/>
      <c r="AA157" s="63"/>
      <c r="AH157" s="63"/>
      <c r="AZ157" s="63"/>
      <c r="BR157" s="62"/>
      <c r="BS157" s="62"/>
      <c r="BT157" s="62"/>
      <c r="BU157" s="62"/>
      <c r="BV157" s="62"/>
      <c r="BW157" s="62"/>
      <c r="BX157" s="62"/>
      <c r="BY157" s="62"/>
      <c r="BZ157" s="62"/>
      <c r="CA157" s="62"/>
      <c r="CB157" s="62"/>
      <c r="CC157" s="62"/>
      <c r="CD157" s="62"/>
      <c r="CE157" s="62"/>
      <c r="CF157" s="62"/>
      <c r="CG157" s="62"/>
      <c r="CH157" s="62"/>
      <c r="CI157" s="62"/>
      <c r="CJ157" s="62"/>
    </row>
    <row r="158" s="61" customFormat="1" ht="13.5" customHeight="1" spans="7:88">
      <c r="G158" s="63"/>
      <c r="M158" s="247"/>
      <c r="T158" s="64"/>
      <c r="AA158" s="63"/>
      <c r="AH158" s="63"/>
      <c r="AZ158" s="63"/>
      <c r="BR158" s="62"/>
      <c r="BS158" s="62"/>
      <c r="BT158" s="62"/>
      <c r="BU158" s="62"/>
      <c r="BV158" s="62"/>
      <c r="BW158" s="62"/>
      <c r="BX158" s="62"/>
      <c r="BY158" s="62"/>
      <c r="BZ158" s="62"/>
      <c r="CA158" s="62"/>
      <c r="CB158" s="62"/>
      <c r="CC158" s="62"/>
      <c r="CD158" s="62"/>
      <c r="CE158" s="62"/>
      <c r="CF158" s="62"/>
      <c r="CG158" s="62"/>
      <c r="CH158" s="62"/>
      <c r="CI158" s="62"/>
      <c r="CJ158" s="62"/>
    </row>
    <row r="159" s="61" customFormat="1" ht="13.5" customHeight="1" spans="7:88">
      <c r="G159" s="63"/>
      <c r="M159" s="247"/>
      <c r="T159" s="64"/>
      <c r="AA159" s="63"/>
      <c r="AH159" s="63"/>
      <c r="AZ159" s="63"/>
      <c r="BR159" s="62"/>
      <c r="BS159" s="62"/>
      <c r="BT159" s="62"/>
      <c r="BU159" s="62"/>
      <c r="BV159" s="62"/>
      <c r="BW159" s="62"/>
      <c r="BX159" s="62"/>
      <c r="BY159" s="62"/>
      <c r="BZ159" s="62"/>
      <c r="CA159" s="62"/>
      <c r="CB159" s="62"/>
      <c r="CC159" s="62"/>
      <c r="CD159" s="62"/>
      <c r="CE159" s="62"/>
      <c r="CF159" s="62"/>
      <c r="CG159" s="62"/>
      <c r="CH159" s="62"/>
      <c r="CI159" s="62"/>
      <c r="CJ159" s="62"/>
    </row>
    <row r="160" s="61" customFormat="1" ht="13.5" customHeight="1" spans="7:88">
      <c r="G160" s="63"/>
      <c r="M160" s="247"/>
      <c r="T160" s="64"/>
      <c r="AA160" s="63"/>
      <c r="AH160" s="63"/>
      <c r="AZ160" s="63"/>
      <c r="BR160" s="62"/>
      <c r="BS160" s="62"/>
      <c r="BT160" s="62"/>
      <c r="BU160" s="62"/>
      <c r="BV160" s="62"/>
      <c r="BW160" s="62"/>
      <c r="BX160" s="62"/>
      <c r="BY160" s="62"/>
      <c r="BZ160" s="62"/>
      <c r="CA160" s="62"/>
      <c r="CB160" s="62"/>
      <c r="CC160" s="62"/>
      <c r="CD160" s="62"/>
      <c r="CE160" s="62"/>
      <c r="CF160" s="62"/>
      <c r="CG160" s="62"/>
      <c r="CH160" s="62"/>
      <c r="CI160" s="62"/>
      <c r="CJ160" s="62"/>
    </row>
    <row r="161" ht="13.5" customHeight="1" spans="13:13">
      <c r="M161" s="247"/>
    </row>
    <row r="162" ht="13.5" customHeight="1" spans="13:13">
      <c r="M162" s="247"/>
    </row>
    <row r="163" ht="13.5" customHeight="1" spans="13:13">
      <c r="M163" s="247"/>
    </row>
    <row r="164" ht="13.5" customHeight="1" spans="13:13">
      <c r="M164" s="247"/>
    </row>
    <row r="165" ht="13.5" customHeight="1" spans="13:13">
      <c r="M165" s="247"/>
    </row>
    <row r="166" ht="13.5" customHeight="1" spans="13:13">
      <c r="M166" s="247"/>
    </row>
    <row r="167" ht="13.5" customHeight="1" spans="13:13">
      <c r="M167" s="247"/>
    </row>
    <row r="168" ht="13.5" customHeight="1" spans="13:13">
      <c r="M168" s="247"/>
    </row>
    <row r="169" ht="13.5" customHeight="1" spans="13:13">
      <c r="M169" s="247"/>
    </row>
    <row r="170" ht="13.5" customHeight="1" spans="8:13">
      <c r="H170" s="265"/>
      <c r="I170" s="265"/>
      <c r="J170" s="265"/>
      <c r="K170" s="265"/>
      <c r="L170" s="265"/>
      <c r="M170" s="247"/>
    </row>
    <row r="171" ht="13.5" customHeight="1" spans="8:13">
      <c r="H171" s="266"/>
      <c r="I171" s="266"/>
      <c r="J171" s="266"/>
      <c r="K171" s="266"/>
      <c r="L171" s="266"/>
      <c r="M171" s="247"/>
    </row>
    <row r="172" ht="13.5" customHeight="1" spans="8:13">
      <c r="H172" s="266" t="e">
        <f>MIN(L177,INT(N49*520/H177))</f>
        <v>#DIV/0!</v>
      </c>
      <c r="I172" s="266"/>
      <c r="J172" s="266"/>
      <c r="K172" s="266"/>
      <c r="L172" s="266"/>
      <c r="M172" s="247"/>
    </row>
    <row r="173" ht="13.5" customHeight="1" spans="8:13">
      <c r="H173" s="266" t="e">
        <f>MIN(L178,MAX(0,INT((520*N49-H172*H177)/H178)))</f>
        <v>#DIV/0!</v>
      </c>
      <c r="I173" s="266"/>
      <c r="J173" s="266" t="e">
        <f>L178-H173</f>
        <v>#DIV/0!</v>
      </c>
      <c r="K173" s="266"/>
      <c r="L173" s="266"/>
      <c r="M173" s="247"/>
    </row>
    <row r="174" ht="13.5" customHeight="1" spans="8:13">
      <c r="H174" s="266" t="e">
        <f>MIN(L179,MAX(0,INT((520*N49-H172*H177-H173*H178)/H179)))</f>
        <v>#DIV/0!</v>
      </c>
      <c r="I174" s="266"/>
      <c r="J174" s="266" t="e">
        <f>IF(MIN((L179-H174),MIN(L179,INT((520*N49-J172*H177-J173*H178)/H179)))&lt;0,0,MIN((L179-H174),MIN(L179,INT((520*N49-J172*H177-J173*H178)/H179))))</f>
        <v>#DIV/0!</v>
      </c>
      <c r="K174" s="266" t="e">
        <f>MIN(L180,INT((260*N49-K175*H180)/H179))</f>
        <v>#DIV/0!</v>
      </c>
      <c r="L174" s="266"/>
      <c r="M174" s="247"/>
    </row>
    <row r="175" ht="13.5" customHeight="1" spans="8:13">
      <c r="H175" s="266" t="e">
        <f>MAX(0,INT((N49*520-H172*H177-H173*H178-H174*H179)/H180))</f>
        <v>#DIV/0!</v>
      </c>
      <c r="I175" s="266"/>
      <c r="J175" s="266" t="e">
        <f>IF(MIN(L180-K175,INT((520*N49-H177*J172-H178*J173-H179*J174)/H180))&lt;0,0,MIN(L180-K175,INT((520*N49-H177*J172-H178*J173-H179*J174)/H180)))</f>
        <v>#DIV/0!</v>
      </c>
      <c r="K175" s="266" t="e">
        <f>MIN(L180,INT(260*N49/H180))</f>
        <v>#DIV/0!</v>
      </c>
      <c r="L175" s="266"/>
      <c r="M175" s="247"/>
    </row>
    <row r="176" spans="8:12">
      <c r="H176" s="266"/>
      <c r="I176" s="266"/>
      <c r="J176" s="266"/>
      <c r="K176" s="266"/>
      <c r="L176" s="266"/>
    </row>
    <row r="177" spans="8:12">
      <c r="H177" s="266">
        <f>初始化表!E17</f>
        <v>0</v>
      </c>
      <c r="I177" s="266">
        <f>初始化表!E18</f>
        <v>0</v>
      </c>
      <c r="J177" s="266">
        <f>初始化表!E19</f>
        <v>0</v>
      </c>
      <c r="K177" s="266"/>
      <c r="L177" s="266">
        <f>L35</f>
        <v>0</v>
      </c>
    </row>
    <row r="178" spans="8:12">
      <c r="H178" s="266">
        <f>初始化表!F17</f>
        <v>0</v>
      </c>
      <c r="I178" s="266">
        <f>初始化表!F18</f>
        <v>0</v>
      </c>
      <c r="J178" s="266">
        <f>初始化表!F19</f>
        <v>0</v>
      </c>
      <c r="K178" s="266"/>
      <c r="L178" s="266">
        <f>L36</f>
        <v>0</v>
      </c>
    </row>
    <row r="179" spans="8:12">
      <c r="H179" s="266">
        <f>初始化表!G17</f>
        <v>0</v>
      </c>
      <c r="I179" s="266">
        <f>初始化表!G18</f>
        <v>0</v>
      </c>
      <c r="J179" s="266">
        <f>初始化表!G19</f>
        <v>0</v>
      </c>
      <c r="K179" s="266"/>
      <c r="L179" s="266">
        <f>L37</f>
        <v>0</v>
      </c>
    </row>
    <row r="180" spans="8:12">
      <c r="H180" s="266">
        <f>初始化表!H17</f>
        <v>0</v>
      </c>
      <c r="I180" s="266">
        <f>初始化表!H18</f>
        <v>0</v>
      </c>
      <c r="J180" s="266">
        <f>初始化表!H19</f>
        <v>0</v>
      </c>
      <c r="K180" s="266"/>
      <c r="L180" s="266">
        <f>L38</f>
        <v>0</v>
      </c>
    </row>
    <row r="181" spans="8:12">
      <c r="H181" s="266"/>
      <c r="I181" s="266"/>
      <c r="J181" s="266"/>
      <c r="K181" s="266"/>
      <c r="L181" s="266"/>
    </row>
    <row r="182" spans="8:12">
      <c r="H182" s="266" t="e">
        <f>MIN(L177,INT(N49*520/H177))</f>
        <v>#DIV/0!</v>
      </c>
      <c r="I182" s="266"/>
      <c r="J182" s="266"/>
      <c r="K182" s="266"/>
      <c r="L182" s="266"/>
    </row>
    <row r="183" spans="8:12">
      <c r="H183" s="266" t="e">
        <f>MIN(L178,MAX(0,INT((520*N49-H172*H177)/H178)))</f>
        <v>#DIV/0!</v>
      </c>
      <c r="I183" s="266"/>
      <c r="J183" s="266" t="e">
        <f>L188-H183</f>
        <v>#DIV/0!</v>
      </c>
      <c r="K183" s="266"/>
      <c r="L183" s="266"/>
    </row>
    <row r="184" spans="8:12">
      <c r="H184" s="266" t="e">
        <f>MIN(L179,MAX(0,INT((520*N49-H172*H177-H173*H178)/H179)))</f>
        <v>#DIV/0!</v>
      </c>
      <c r="I184" s="266"/>
      <c r="J184" s="266">
        <f>INT(L179/3*2)</f>
        <v>0</v>
      </c>
      <c r="K184" s="266">
        <f>INT(J184/2)</f>
        <v>0</v>
      </c>
      <c r="L184" s="266"/>
    </row>
    <row r="185" spans="8:12">
      <c r="H185" s="266" t="e">
        <f>MAX(0,INT((N49*520-H172*H177-H173*H178-H174*H179)/H180))</f>
        <v>#DIV/0!</v>
      </c>
      <c r="I185" s="266"/>
      <c r="J185" s="266">
        <f>INT(L180/3*2)</f>
        <v>0</v>
      </c>
      <c r="K185" s="266">
        <f>INT(J185/2)</f>
        <v>0</v>
      </c>
      <c r="L185" s="266"/>
    </row>
    <row r="186" spans="8:12">
      <c r="H186" s="265"/>
      <c r="I186" s="265"/>
      <c r="J186" s="265"/>
      <c r="K186" s="265"/>
      <c r="L186" s="265"/>
    </row>
    <row r="187" spans="8:12">
      <c r="H187" s="265"/>
      <c r="I187" s="265"/>
      <c r="J187" s="265"/>
      <c r="K187" s="265"/>
      <c r="L187" s="265"/>
    </row>
    <row r="200" spans="1:6">
      <c r="A200" s="265" t="s">
        <v>283</v>
      </c>
      <c r="B200" s="265" t="s">
        <v>314</v>
      </c>
      <c r="C200" s="265" t="s">
        <v>315</v>
      </c>
      <c r="D200" s="265" t="s">
        <v>316</v>
      </c>
      <c r="E200" s="265" t="s">
        <v>317</v>
      </c>
      <c r="F200" s="265" t="s">
        <v>318</v>
      </c>
    </row>
    <row r="201" spans="1:6">
      <c r="A201" s="265" t="s">
        <v>35</v>
      </c>
      <c r="B201" s="265">
        <v>100</v>
      </c>
      <c r="C201" s="267">
        <v>0</v>
      </c>
      <c r="D201" s="267">
        <v>100000</v>
      </c>
      <c r="E201" s="265">
        <v>1</v>
      </c>
      <c r="F201" s="265">
        <v>0.952</v>
      </c>
    </row>
    <row r="202" spans="1:6">
      <c r="A202" s="265" t="s">
        <v>36</v>
      </c>
      <c r="B202" s="265">
        <v>50</v>
      </c>
      <c r="C202" s="267">
        <v>0</v>
      </c>
      <c r="D202" s="267">
        <v>200000</v>
      </c>
      <c r="E202" s="265">
        <v>1</v>
      </c>
      <c r="F202" s="265">
        <v>0.951</v>
      </c>
    </row>
    <row r="203" spans="1:6">
      <c r="A203" s="265" t="s">
        <v>62</v>
      </c>
      <c r="B203" s="265">
        <v>0</v>
      </c>
      <c r="C203" s="267">
        <v>0</v>
      </c>
      <c r="D203" s="267">
        <v>0</v>
      </c>
      <c r="E203" s="265">
        <v>0</v>
      </c>
      <c r="F203" s="265">
        <v>0.951</v>
      </c>
    </row>
    <row r="204" spans="1:6">
      <c r="A204" s="265" t="s">
        <v>63</v>
      </c>
      <c r="B204" s="265">
        <v>0</v>
      </c>
      <c r="C204" s="267">
        <v>0</v>
      </c>
      <c r="D204" s="267">
        <v>0</v>
      </c>
      <c r="E204" s="265">
        <v>0</v>
      </c>
      <c r="F204" s="265">
        <v>0.951</v>
      </c>
    </row>
    <row r="222" spans="35:39">
      <c r="AI222" s="62" t="s">
        <v>425</v>
      </c>
      <c r="AJ222" s="62" t="s">
        <v>357</v>
      </c>
      <c r="AK222" s="62" t="s">
        <v>358</v>
      </c>
      <c r="AL222" s="62" t="s">
        <v>359</v>
      </c>
      <c r="AM222" s="62" t="s">
        <v>360</v>
      </c>
    </row>
    <row r="223" spans="35:36">
      <c r="AI223" s="62" t="s">
        <v>361</v>
      </c>
      <c r="AJ223" s="268">
        <v>5780270.3</v>
      </c>
    </row>
    <row r="224" spans="35:39">
      <c r="AI224" s="62" t="s">
        <v>309</v>
      </c>
      <c r="AJ224" s="62">
        <v>0</v>
      </c>
      <c r="AM224" s="268">
        <v>5780270.3</v>
      </c>
    </row>
    <row r="225" spans="35:39">
      <c r="AI225" s="62" t="s">
        <v>362</v>
      </c>
      <c r="AJ225" s="62">
        <v>0</v>
      </c>
      <c r="AM225" s="268">
        <v>5780270.3</v>
      </c>
    </row>
    <row r="226" spans="35:39">
      <c r="AI226" s="62" t="s">
        <v>363</v>
      </c>
      <c r="AJ226" s="268">
        <v>-50000</v>
      </c>
      <c r="AM226" s="268">
        <v>5730270.3</v>
      </c>
    </row>
    <row r="227" spans="35:39">
      <c r="AI227" s="62" t="s">
        <v>364</v>
      </c>
      <c r="AJ227" s="268">
        <v>-21125</v>
      </c>
      <c r="AL227" s="268">
        <v>21125</v>
      </c>
      <c r="AM227" s="268">
        <v>5709145.3</v>
      </c>
    </row>
    <row r="228" spans="35:39">
      <c r="AI228" s="62" t="s">
        <v>365</v>
      </c>
      <c r="AJ228" s="268">
        <v>-5000</v>
      </c>
      <c r="AL228" s="268">
        <v>26125</v>
      </c>
      <c r="AM228" s="268">
        <v>5704145.3</v>
      </c>
    </row>
    <row r="229" spans="35:39">
      <c r="AI229" s="62" t="s">
        <v>366</v>
      </c>
      <c r="AJ229" s="268">
        <v>-10000</v>
      </c>
      <c r="AL229" s="268">
        <v>36125</v>
      </c>
      <c r="AM229" s="268">
        <v>5694145.3</v>
      </c>
    </row>
    <row r="230" spans="35:39">
      <c r="AI230" s="62" t="s">
        <v>367</v>
      </c>
      <c r="AJ230" s="268">
        <v>-656500</v>
      </c>
      <c r="AL230" s="268">
        <v>692625</v>
      </c>
      <c r="AM230" s="268">
        <v>5037645.3</v>
      </c>
    </row>
    <row r="231" spans="35:39">
      <c r="AI231" s="62" t="s">
        <v>368</v>
      </c>
      <c r="AJ231" s="268">
        <v>-46500</v>
      </c>
      <c r="AL231" s="268">
        <v>739125</v>
      </c>
      <c r="AM231" s="268">
        <v>4991145.3</v>
      </c>
    </row>
    <row r="232" spans="35:39">
      <c r="AI232" s="62" t="s">
        <v>369</v>
      </c>
      <c r="AJ232" s="62">
        <v>0</v>
      </c>
      <c r="AM232" s="268">
        <v>4991145.3</v>
      </c>
    </row>
    <row r="233" spans="35:39">
      <c r="AI233" s="62" t="s">
        <v>370</v>
      </c>
      <c r="AJ233" s="62">
        <v>0</v>
      </c>
      <c r="AM233" s="268">
        <v>4991145.3</v>
      </c>
    </row>
    <row r="234" spans="35:38">
      <c r="AI234" s="62" t="s">
        <v>371</v>
      </c>
      <c r="AJ234" s="62">
        <v>0</v>
      </c>
      <c r="AL234" s="268">
        <v>739125</v>
      </c>
    </row>
    <row r="235" spans="35:39">
      <c r="AI235" s="62" t="s">
        <v>372</v>
      </c>
      <c r="AJ235" s="268">
        <v>-500000</v>
      </c>
      <c r="AM235" s="268">
        <v>4491145.3</v>
      </c>
    </row>
    <row r="236" spans="35:39">
      <c r="AI236" s="62" t="s">
        <v>373</v>
      </c>
      <c r="AJ236" s="268">
        <v>0</v>
      </c>
      <c r="AK236" s="268">
        <v>0</v>
      </c>
      <c r="AM236" s="268">
        <v>4491145.3</v>
      </c>
    </row>
    <row r="237" spans="35:39">
      <c r="AI237" s="62" t="s">
        <v>374</v>
      </c>
      <c r="AJ237" s="268">
        <v>-15000</v>
      </c>
      <c r="AL237" s="268">
        <v>754125</v>
      </c>
      <c r="AM237" s="268">
        <v>4476145.3</v>
      </c>
    </row>
    <row r="238" spans="35:39">
      <c r="AI238" s="62" t="s">
        <v>244</v>
      </c>
      <c r="AJ238" s="268">
        <v>-25000</v>
      </c>
      <c r="AL238" s="268">
        <v>779125</v>
      </c>
      <c r="AM238" s="268">
        <v>4451145.3</v>
      </c>
    </row>
    <row r="239" spans="35:39">
      <c r="AI239" s="62" t="s">
        <v>375</v>
      </c>
      <c r="AJ239" s="268">
        <v>-490950</v>
      </c>
      <c r="AL239" s="268">
        <v>1270075</v>
      </c>
      <c r="AM239" s="268">
        <v>3960195.3</v>
      </c>
    </row>
    <row r="240" spans="35:38">
      <c r="AI240" s="62" t="s">
        <v>376</v>
      </c>
      <c r="AJ240" s="268">
        <v>-471900</v>
      </c>
      <c r="AL240" s="268">
        <v>1741975</v>
      </c>
    </row>
    <row r="241" spans="35:39">
      <c r="AI241" s="62" t="s">
        <v>377</v>
      </c>
      <c r="AJ241" s="268">
        <v>-276050</v>
      </c>
      <c r="AL241" s="268">
        <v>2018025</v>
      </c>
      <c r="AM241" s="268">
        <v>3684145.3</v>
      </c>
    </row>
    <row r="242" spans="35:39">
      <c r="AI242" s="62" t="s">
        <v>276</v>
      </c>
      <c r="AJ242" s="268">
        <v>-20000</v>
      </c>
      <c r="AL242" s="268">
        <v>2038025</v>
      </c>
      <c r="AM242" s="268">
        <v>3664145.3</v>
      </c>
    </row>
    <row r="243" spans="35:39">
      <c r="AI243" s="62" t="s">
        <v>280</v>
      </c>
      <c r="AJ243" s="268">
        <v>-40000</v>
      </c>
      <c r="AL243" s="268">
        <v>2078025</v>
      </c>
      <c r="AM243" s="268">
        <v>3624145.3</v>
      </c>
    </row>
    <row r="244" spans="35:39">
      <c r="AI244" s="62" t="s">
        <v>378</v>
      </c>
      <c r="AJ244" s="268">
        <v>3017600</v>
      </c>
      <c r="AK244" s="268">
        <v>3017600</v>
      </c>
      <c r="AM244" s="268">
        <v>6641745.3</v>
      </c>
    </row>
    <row r="245" spans="35:39">
      <c r="AI245" s="62" t="s">
        <v>379</v>
      </c>
      <c r="AJ245" s="268">
        <v>-50240</v>
      </c>
      <c r="AL245" s="268">
        <v>2128265</v>
      </c>
      <c r="AM245" s="268">
        <v>6591505.3</v>
      </c>
    </row>
    <row r="246" spans="35:38">
      <c r="AI246" s="62" t="s">
        <v>380</v>
      </c>
      <c r="AJ246" s="268">
        <v>-620000</v>
      </c>
      <c r="AL246" s="268">
        <v>2748265</v>
      </c>
    </row>
    <row r="247" spans="35:38">
      <c r="AI247" s="62" t="s">
        <v>381</v>
      </c>
      <c r="AJ247" s="268">
        <v>-167923.08</v>
      </c>
      <c r="AL247" s="268">
        <v>2916188.08</v>
      </c>
    </row>
    <row r="248" spans="35:39">
      <c r="AI248" s="62" t="s">
        <v>382</v>
      </c>
      <c r="AJ248" s="268">
        <v>-9322.5</v>
      </c>
      <c r="AL248" s="268">
        <v>2925510.58</v>
      </c>
      <c r="AM248" s="268">
        <v>6582182.8</v>
      </c>
    </row>
    <row r="249" spans="35:39">
      <c r="AI249" s="62" t="s">
        <v>383</v>
      </c>
      <c r="AJ249" s="268">
        <v>-15580</v>
      </c>
      <c r="AL249" s="268">
        <v>2941090.58</v>
      </c>
      <c r="AM249" s="268">
        <v>6566602.8</v>
      </c>
    </row>
    <row r="250" spans="35:39">
      <c r="AI250" s="62" t="s">
        <v>384</v>
      </c>
      <c r="AJ250" s="62">
        <v>0</v>
      </c>
      <c r="AM250" s="268">
        <v>6566602.8</v>
      </c>
    </row>
    <row r="251" spans="35:39">
      <c r="AI251" s="62" t="s">
        <v>385</v>
      </c>
      <c r="AJ251" s="62">
        <v>0</v>
      </c>
      <c r="AK251" s="268">
        <v>3017600</v>
      </c>
      <c r="AM251" s="268">
        <v>6566602.8</v>
      </c>
    </row>
    <row r="252" spans="35:39">
      <c r="AI252" s="62" t="s">
        <v>386</v>
      </c>
      <c r="AJ252" s="62">
        <v>0</v>
      </c>
      <c r="AM252" s="268">
        <v>6566602.8</v>
      </c>
    </row>
    <row r="253" spans="35:39">
      <c r="AI253" s="62" t="s">
        <v>387</v>
      </c>
      <c r="AJ253" s="62">
        <v>0</v>
      </c>
      <c r="AL253" s="268">
        <v>2941090.58</v>
      </c>
      <c r="AM253" s="268">
        <v>6566602.8</v>
      </c>
    </row>
    <row r="254" spans="35:39">
      <c r="AI254" s="62" t="s">
        <v>388</v>
      </c>
      <c r="AJ254" s="62">
        <v>0</v>
      </c>
      <c r="AM254" s="268">
        <v>6566602.8</v>
      </c>
    </row>
    <row r="255" spans="35:39">
      <c r="AI255" s="62" t="s">
        <v>389</v>
      </c>
      <c r="AJ255" s="62">
        <v>0</v>
      </c>
      <c r="AL255" s="268">
        <v>2941090.58</v>
      </c>
      <c r="AM255" s="268">
        <v>6566602.8</v>
      </c>
    </row>
    <row r="256" spans="35:39">
      <c r="AI256" s="62" t="s">
        <v>390</v>
      </c>
      <c r="AJ256" s="268">
        <v>-13557.49</v>
      </c>
      <c r="AM256" s="268">
        <v>6553045.31</v>
      </c>
    </row>
    <row r="257" spans="35:39">
      <c r="AI257" s="62" t="s">
        <v>306</v>
      </c>
      <c r="AJ257" s="62">
        <v>0</v>
      </c>
      <c r="AM257" s="268">
        <v>6553045.31</v>
      </c>
    </row>
    <row r="258" spans="35:39">
      <c r="AI258" s="62" t="s">
        <v>391</v>
      </c>
      <c r="AJ258" s="268">
        <v>0</v>
      </c>
      <c r="AM258" s="268">
        <v>6553045.31</v>
      </c>
    </row>
    <row r="259" spans="35:39">
      <c r="AI259" s="62" t="s">
        <v>392</v>
      </c>
      <c r="AJ259" s="62">
        <v>0</v>
      </c>
      <c r="AM259" s="268">
        <v>6553045.31</v>
      </c>
    </row>
  </sheetData>
  <protectedRanges>
    <protectedRange sqref="A1:CI3 G16:Y17 AA16:BS20 G9:S9 A4:F4 AB4:BS4 A45:Q45 U45:Y45 A44:Y44 A43:J43 L43:N43 S25:BZ26 AB5:AB8 CB25:CB27 S43:Y43 A40:BL40 A36:R37 N24:BS24 A25:G28 N25:N26 N27:BR27 A102:CS105 A38:Q38 AH5:BS8 AA52:CS52 A48:T61 AA47:CI50 A41:Y42 AA41:BL45 AD9:BS9 AA51:BS51 U46:CI46 A46:R47 G20:N20 N23 S20:S23 V29:CI29 A62:M81 AA58:CS58 AF53:CS56 AA64:CS64 A106:AQ106 A127:CS183 AF57:AH57 AZ57:CS57 A82:G94 U91:Y94 G6:N8 S6:Z8 Z36:BM36 AG59:CS63 T36:T37 A95:F95 H95:CS95 A96:G101 S101:CS101 BR41:CI41 A107:AR126 AT106:CS126 M89:T89 H4:Z5 G18:S19 U18:Y20 U21:BS23 U96:CS100 G22:G24 G21:J21 U9:AB9 M21:N22 N28:CI28 BN42:CI45 Z37:BL39 BN37:CI40 BR36:CI36 S79:T88 S90:T94 U84:U87 S38:T38 A39:T39 A29:T35 Z30:CI35 U30:Y34 T72:T78 S62:T71 Z65:CS94 U70:Y83 U10:BS13 G14:BS15 G10:N13 P10:S13" name="区域1_1"/>
    <protectedRange sqref="Z16:Z20" name="区域1"/>
    <protectedRange sqref="AA4:AA8" name="区域1_1_1"/>
    <protectedRange sqref="R45" name="区域1_4"/>
    <protectedRange sqref="K43" name="区域1_3"/>
    <protectedRange sqref="O25:R26" name="区域2"/>
    <protectedRange sqref="BS27:BZ27" name="区域1_9"/>
    <protectedRange sqref="CA25:CA27" name="区域1_7_1"/>
    <protectedRange sqref="O43:R43" name="区域1_6"/>
    <protectedRange sqref="H23:M28" name="区域1_10"/>
    <protectedRange sqref="N67:R67 N68:N71 N62:R62 N63:N66" name="区域2_1_1_3"/>
    <protectedRange sqref="N72:R72 O77:R77 N73:N76 N78:N81" name="区域2_1_1_3_1"/>
    <protectedRange sqref="O68:R71 O63:R66" name="区域2_1_1_3_1_2_1_1"/>
    <protectedRange sqref="O73:R76" name="区域2_1_1_3_2"/>
    <protectedRange sqref="R38" name="区域1_11"/>
    <protectedRange sqref="CH4:CQ24 CJ1:CS3 CJ25:CS51" name="区域1_12"/>
    <protectedRange sqref="CC25:CI27" name="区域1_13"/>
    <protectedRange sqref="CG4:CG24" name="区域1_19"/>
    <protectedRange sqref="BT4:CA4 BT5:BZ24" name="区域1_17"/>
    <protectedRange sqref="CA5:CA24" name="区域1_6_2_1"/>
    <protectedRange sqref="U58:Z58 Z47:Z57 U64:Z64" name="区域1_7"/>
    <protectedRange sqref="Z41:Z45" name="区域1_14"/>
    <protectedRange sqref="U54:Y57 V47:Y53 I90:L90 H91:L94" name="区域1_4_2"/>
    <protectedRange sqref="AD5:AG8" name="区域1_15"/>
    <protectedRange sqref="AC9" name="区域1_5"/>
    <protectedRange sqref="AC5:AC8" name="区域1_15_1"/>
    <protectedRange sqref="BT51:CI51" name="区域1_4_1"/>
    <protectedRange sqref="S45:T46 S47" name="区域3"/>
    <protectedRange sqref="T47" name="区域3_1"/>
    <protectedRange sqref="O20:R23" name="区域3_2"/>
    <protectedRange sqref="A5:F24" name="区域1_20"/>
    <protectedRange sqref="U47:U53 H90" name="区域1_4_2_1"/>
    <protectedRange sqref="Z59:Z63" name="区域1_7_2"/>
    <protectedRange sqref="U59:Y63" name="区域1_4_2_2"/>
    <protectedRange sqref="U29" name="区域1_2"/>
    <protectedRange sqref="AB53:AE53 AA54:AE57" name="区域1_4_2_3"/>
    <protectedRange sqref="AA53" name="区域1_4_2_1_1"/>
    <protectedRange sqref="U65" name="区域1_16"/>
    <protectedRange sqref="U66:U69 V65:Y65" name="区域1_4_2_2_1"/>
    <protectedRange sqref="V66:Y69" name="区域1_18"/>
    <protectedRange sqref="CF4:CF24" name="区域1_12_1"/>
    <protectedRange sqref="CB4:CE4 CB5:CB24" name="区域1_17_1"/>
    <protectedRange sqref="CC5:CE24" name="区域1_5_1_1_1"/>
    <protectedRange sqref="O78:R81" name="区域2_1_1_3_1_1"/>
    <protectedRange sqref="V84:Y87" name="区域1_11_1"/>
    <protectedRange sqref="AF59:AF63" name="区域1_23"/>
    <protectedRange sqref="AB59:AE59 AA60:AE63" name="区域1_4_2_3_1"/>
    <protectedRange sqref="AA59" name="区域1_4_2_1_2"/>
    <protectedRange sqref="AR106" name="区域1_8"/>
    <protectedRange sqref="H82:R83" name="区域2_1"/>
    <protectedRange sqref="H84:L88 N84:R88" name="区域2_2"/>
    <protectedRange sqref="AI57" name="区域1_14_1"/>
    <protectedRange sqref="AJ57:AY57" name="区域1_25_1"/>
    <protectedRange sqref="H89:L89" name="区域1_21"/>
    <protectedRange sqref="O6:R8" name="区域1_22"/>
    <protectedRange sqref="M84:M88" name="区域2_2_2"/>
    <protectedRange sqref="N90:R94" name="区域2_3"/>
    <protectedRange sqref="G95" name="区域2_4"/>
    <protectedRange sqref="H101:R101" name="区域1_24"/>
    <protectedRange sqref="M96:M100" name="区域3_3"/>
    <protectedRange sqref="H96:L100 N96:R100" name="区域2_6_1"/>
    <protectedRange sqref="S36" name="区域1_25"/>
    <protectedRange sqref="S72:S76" name="区域1_1_3"/>
    <protectedRange sqref="S37" name="区域1_27"/>
    <protectedRange sqref="N77" name="区域2_1_1_3_1_1_2"/>
    <protectedRange sqref="M90" name="区域2_7"/>
    <protectedRange sqref="S77:S78" name="区域2_7_1"/>
    <protectedRange sqref="AS106:AS126" name="区域1_22_1"/>
    <protectedRange sqref="M91:M94" name="区域2_7_1_1"/>
    <protectedRange sqref="G5" name="区域1_26"/>
    <protectedRange sqref="T18:T23" name="区域1_28"/>
    <protectedRange sqref="S96:S100" name="区域3_4"/>
    <protectedRange sqref="T96:T100" name="区域3_5"/>
    <protectedRange sqref="G4" name="区域1_29"/>
    <protectedRange sqref="K21" name="区域1_24_1"/>
    <protectedRange sqref="L21" name="区域1_26_1"/>
    <protectedRange sqref="T9" name="区域1_27_1"/>
    <protectedRange sqref="H22:L22" name="区域1_14_1_1"/>
    <protectedRange sqref="BM37:BM40 BM42:BM45" name="区域1_14_3"/>
    <protectedRange sqref="BN36:BQ36" name="区域1_14_4"/>
    <protectedRange sqref="BN41:BQ41" name="区域1_14_5"/>
    <protectedRange sqref="BM41" name="区域1_27_2"/>
    <protectedRange sqref="V35:Y35 U36:Y39" name="区域1_11_1_1"/>
    <protectedRange sqref="U35" name="区域1_6_1"/>
    <protectedRange sqref="T10:T13" name="区域2_5"/>
    <protectedRange sqref="O10:O13" name="区域3_7"/>
  </protectedRanges>
  <mergeCells count="104">
    <mergeCell ref="CK3:CS3"/>
    <mergeCell ref="A4:F4"/>
    <mergeCell ref="H4:L4"/>
    <mergeCell ref="N4:R4"/>
    <mergeCell ref="BA4:BQ4"/>
    <mergeCell ref="BB5:BE5"/>
    <mergeCell ref="BF5:BI5"/>
    <mergeCell ref="BJ5:BM5"/>
    <mergeCell ref="BN5:BQ5"/>
    <mergeCell ref="AI7:AQ7"/>
    <mergeCell ref="H11:L11"/>
    <mergeCell ref="H23:L23"/>
    <mergeCell ref="A26:F26"/>
    <mergeCell ref="BS27:BV27"/>
    <mergeCell ref="A28:B28"/>
    <mergeCell ref="C28:F28"/>
    <mergeCell ref="BT28:BW28"/>
    <mergeCell ref="BX28:CA28"/>
    <mergeCell ref="CB28:CE28"/>
    <mergeCell ref="CF28:CI28"/>
    <mergeCell ref="A29:B29"/>
    <mergeCell ref="K29:L29"/>
    <mergeCell ref="A30:B30"/>
    <mergeCell ref="BM30:BQ30"/>
    <mergeCell ref="A31:B31"/>
    <mergeCell ref="N31:R31"/>
    <mergeCell ref="A32:B32"/>
    <mergeCell ref="A33:B33"/>
    <mergeCell ref="A34:B34"/>
    <mergeCell ref="AI34:AY34"/>
    <mergeCell ref="A35:B35"/>
    <mergeCell ref="AJ35:AM35"/>
    <mergeCell ref="AN35:AQ35"/>
    <mergeCell ref="AR35:AU35"/>
    <mergeCell ref="AV35:AY35"/>
    <mergeCell ref="A36:B36"/>
    <mergeCell ref="A37:B37"/>
    <mergeCell ref="A38:B38"/>
    <mergeCell ref="N38:O38"/>
    <mergeCell ref="A39:B39"/>
    <mergeCell ref="N39:R39"/>
    <mergeCell ref="A40:B40"/>
    <mergeCell ref="AB40:AC40"/>
    <mergeCell ref="AD40:AE40"/>
    <mergeCell ref="A41:B41"/>
    <mergeCell ref="H41:L41"/>
    <mergeCell ref="AB41:AC41"/>
    <mergeCell ref="AD41:AE41"/>
    <mergeCell ref="A42:B42"/>
    <mergeCell ref="AB42:AC42"/>
    <mergeCell ref="AD42:AE42"/>
    <mergeCell ref="A43:B43"/>
    <mergeCell ref="A44:B44"/>
    <mergeCell ref="A45:B45"/>
    <mergeCell ref="H45:L45"/>
    <mergeCell ref="A46:B46"/>
    <mergeCell ref="A47:B47"/>
    <mergeCell ref="N47:R47"/>
    <mergeCell ref="A48:B48"/>
    <mergeCell ref="A49:B49"/>
    <mergeCell ref="A50:B50"/>
    <mergeCell ref="A51:B51"/>
    <mergeCell ref="A52:B52"/>
    <mergeCell ref="A53:B53"/>
    <mergeCell ref="A54:B54"/>
    <mergeCell ref="A55:B55"/>
    <mergeCell ref="A56:B56"/>
    <mergeCell ref="A57:B57"/>
    <mergeCell ref="A58:B58"/>
    <mergeCell ref="AI58:AY58"/>
    <mergeCell ref="A59:B59"/>
    <mergeCell ref="AJ59:AM59"/>
    <mergeCell ref="AN59:AQ59"/>
    <mergeCell ref="AR59:AU59"/>
    <mergeCell ref="AV59:AY59"/>
    <mergeCell ref="A60:B60"/>
    <mergeCell ref="A61:B61"/>
    <mergeCell ref="A62:B62"/>
    <mergeCell ref="A63:B63"/>
    <mergeCell ref="A64:B64"/>
    <mergeCell ref="A66:C66"/>
    <mergeCell ref="E66:F66"/>
    <mergeCell ref="H77:L77"/>
    <mergeCell ref="B80:C80"/>
    <mergeCell ref="AI82:AV82"/>
    <mergeCell ref="A21:A22"/>
    <mergeCell ref="A23:A24"/>
    <mergeCell ref="F21:F22"/>
    <mergeCell ref="M23:M24"/>
    <mergeCell ref="T18:T19"/>
    <mergeCell ref="AI35:AI36"/>
    <mergeCell ref="AI59:AI60"/>
    <mergeCell ref="BA5:BA6"/>
    <mergeCell ref="BS28:BS29"/>
    <mergeCell ref="A1:F2"/>
    <mergeCell ref="BS1:CI2"/>
    <mergeCell ref="H1:R2"/>
    <mergeCell ref="AI1:AY2"/>
    <mergeCell ref="U1:Z2"/>
    <mergeCell ref="AB1:AG2"/>
    <mergeCell ref="BA1:BQ2"/>
    <mergeCell ref="AI4:AY5"/>
    <mergeCell ref="AI31:AY32"/>
    <mergeCell ref="H82:R83"/>
  </mergeCells>
  <conditionalFormatting sqref="G4">
    <cfRule type="cellIs" dxfId="0" priority="1" operator="equal">
      <formula>"""价格打错"""</formula>
    </cfRule>
  </conditionalFormatting>
  <conditionalFormatting sqref="AG11">
    <cfRule type="cellIs" dxfId="3" priority="28" stopIfTrue="1" operator="equal">
      <formula>"正确"</formula>
    </cfRule>
    <cfRule type="cellIs" dxfId="4" priority="29" stopIfTrue="1" operator="equal">
      <formula>“错误”</formula>
    </cfRule>
    <cfRule type="cellIs" dxfId="5" priority="30" stopIfTrue="1" operator="equal">
      <formula>"未粘报表"</formula>
    </cfRule>
  </conditionalFormatting>
  <conditionalFormatting sqref="AH11">
    <cfRule type="cellIs" dxfId="6" priority="21" stopIfTrue="1" operator="equal">
      <formula>"未粘报表"</formula>
    </cfRule>
    <cfRule type="cellIs" dxfId="6" priority="26" stopIfTrue="1" operator="equal">
      <formula>"现金错误"</formula>
    </cfRule>
    <cfRule type="cellIs" dxfId="7" priority="27" stopIfTrue="1" operator="equal">
      <formula>"现金正确"</formula>
    </cfRule>
  </conditionalFormatting>
  <conditionalFormatting sqref="AG13">
    <cfRule type="cellIs" dxfId="6" priority="20" stopIfTrue="1" operator="equal">
      <formula>"未粘报表"</formula>
    </cfRule>
    <cfRule type="cellIs" dxfId="6" priority="24" stopIfTrue="1" operator="equal">
      <formula>"成本错误"</formula>
    </cfRule>
    <cfRule type="cellIs" dxfId="7" priority="25" stopIfTrue="1" operator="equal">
      <formula>"成本正确"</formula>
    </cfRule>
  </conditionalFormatting>
  <conditionalFormatting sqref="AH13">
    <cfRule type="cellIs" dxfId="6" priority="19" stopIfTrue="1" operator="equal">
      <formula>"未粘报表"</formula>
    </cfRule>
    <cfRule type="cellIs" dxfId="6" priority="22" stopIfTrue="1" operator="equal">
      <formula>"分红错误"</formula>
    </cfRule>
    <cfRule type="cellIs" dxfId="7" priority="23" stopIfTrue="1" operator="equal">
      <formula>"分红正确"</formula>
    </cfRule>
  </conditionalFormatting>
  <conditionalFormatting sqref="S37">
    <cfRule type="expression" dxfId="9" priority="9">
      <formula>"&gt;0"</formula>
    </cfRule>
  </conditionalFormatting>
  <conditionalFormatting sqref="T37">
    <cfRule type="expression" dxfId="9" priority="11">
      <formula>"&gt;0"</formula>
    </cfRule>
  </conditionalFormatting>
  <conditionalFormatting sqref="K43">
    <cfRule type="cellIs" dxfId="8" priority="18" stopIfTrue="1" operator="lessThan">
      <formula>$I$43</formula>
    </cfRule>
  </conditionalFormatting>
  <conditionalFormatting sqref="T47">
    <cfRule type="expression" dxfId="9" priority="16">
      <formula>"&gt;0"</formula>
    </cfRule>
  </conditionalFormatting>
  <conditionalFormatting sqref="S78">
    <cfRule type="cellIs" dxfId="6" priority="4" stopIfTrue="1" operator="equal">
      <formula>"未粘报表"</formula>
    </cfRule>
    <cfRule type="cellIs" dxfId="6" priority="5" stopIfTrue="1" operator="equal">
      <formula>"分红错误"</formula>
    </cfRule>
    <cfRule type="cellIs" dxfId="7" priority="6" stopIfTrue="1" operator="equal">
      <formula>"分红正确"</formula>
    </cfRule>
  </conditionalFormatting>
  <conditionalFormatting sqref="K85:K88">
    <cfRule type="cellIs" dxfId="0" priority="15" operator="greaterThan">
      <formula>$L$85+15</formula>
    </cfRule>
  </conditionalFormatting>
  <conditionalFormatting sqref="L85:L88">
    <cfRule type="cellIs" dxfId="0" priority="14" operator="greaterThan">
      <formula>$K$85+15</formula>
    </cfRule>
  </conditionalFormatting>
  <conditionalFormatting sqref="M85:M88">
    <cfRule type="cellIs" dxfId="0" priority="13" operator="greaterThan">
      <formula>$K$85+15</formula>
    </cfRule>
  </conditionalFormatting>
  <conditionalFormatting sqref="M91:M94">
    <cfRule type="cellIs" dxfId="6" priority="2" stopIfTrue="1" operator="equal">
      <formula>"市场异常"</formula>
    </cfRule>
    <cfRule type="cellIs" dxfId="7" priority="3" stopIfTrue="1" operator="equal">
      <formula>"市场正常"</formula>
    </cfRule>
  </conditionalFormatting>
  <dataValidations count="2">
    <dataValidation type="whole" operator="between" allowBlank="1" showInputMessage="1" showErrorMessage="1" error="请输入正确" sqref="K43">
      <formula1>I43</formula1>
      <formula2>10000000000</formula2>
    </dataValidation>
    <dataValidation type="decimal" operator="between" allowBlank="1" showInputMessage="1" showErrorMessage="1" error="请输入正确" sqref="R45">
      <formula1>1</formula1>
      <formula2>2</formula2>
    </dataValidation>
  </dataValidations>
  <pageMargins left="0.698611111111111" right="0.698611111111111" top="0.75" bottom="0.75" header="0.3" footer="0.3"/>
  <pageSetup paperSize="9" firstPageNumber="4294963191" orientation="portrait" useFirstPageNumber="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42" name="Spinner 6" r:id="rId4">
              <controlPr defaultSize="0">
                <anchor moveWithCells="1" sizeWithCells="1">
                  <from>
                    <xdr:col>8</xdr:col>
                    <xdr:colOff>825500</xdr:colOff>
                    <xdr:row>24</xdr:row>
                    <xdr:rowOff>12700</xdr:rowOff>
                  </from>
                  <to>
                    <xdr:col>9</xdr:col>
                    <xdr:colOff>0</xdr:colOff>
                    <xdr:row>25</xdr:row>
                    <xdr:rowOff>0</xdr:rowOff>
                  </to>
                </anchor>
              </controlPr>
            </control>
          </mc:Choice>
        </mc:AlternateContent>
        <mc:AlternateContent xmlns:mc="http://schemas.openxmlformats.org/markup-compatibility/2006">
          <mc:Choice Requires="x14">
            <control shapeId="14343" name="Spinner 7" r:id="rId5">
              <controlPr defaultSize="0">
                <anchor moveWithCells="1" sizeWithCells="1">
                  <from>
                    <xdr:col>9</xdr:col>
                    <xdr:colOff>793750</xdr:colOff>
                    <xdr:row>24</xdr:row>
                    <xdr:rowOff>0</xdr:rowOff>
                  </from>
                  <to>
                    <xdr:col>10</xdr:col>
                    <xdr:colOff>12700</xdr:colOff>
                    <xdr:row>24</xdr:row>
                    <xdr:rowOff>190500</xdr:rowOff>
                  </to>
                </anchor>
              </controlPr>
            </control>
          </mc:Choice>
        </mc:AlternateContent>
        <mc:AlternateContent xmlns:mc="http://schemas.openxmlformats.org/markup-compatibility/2006">
          <mc:Choice Requires="x14">
            <control shapeId="14344" name="Spinner 8" r:id="rId6">
              <controlPr defaultSize="0">
                <anchor moveWithCells="1" sizeWithCells="1">
                  <from>
                    <xdr:col>8</xdr:col>
                    <xdr:colOff>825500</xdr:colOff>
                    <xdr:row>25</xdr:row>
                    <xdr:rowOff>12700</xdr:rowOff>
                  </from>
                  <to>
                    <xdr:col>9</xdr:col>
                    <xdr:colOff>0</xdr:colOff>
                    <xdr:row>26</xdr:row>
                    <xdr:rowOff>0</xdr:rowOff>
                  </to>
                </anchor>
              </controlPr>
            </control>
          </mc:Choice>
        </mc:AlternateContent>
        <mc:AlternateContent xmlns:mc="http://schemas.openxmlformats.org/markup-compatibility/2006">
          <mc:Choice Requires="x14">
            <control shapeId="14345" name="Spinner 9" r:id="rId7">
              <controlPr defaultSize="0">
                <anchor moveWithCells="1" sizeWithCells="1">
                  <from>
                    <xdr:col>9</xdr:col>
                    <xdr:colOff>793750</xdr:colOff>
                    <xdr:row>25</xdr:row>
                    <xdr:rowOff>0</xdr:rowOff>
                  </from>
                  <to>
                    <xdr:col>10</xdr:col>
                    <xdr:colOff>12700</xdr:colOff>
                    <xdr:row>25</xdr:row>
                    <xdr:rowOff>190500</xdr:rowOff>
                  </to>
                </anchor>
              </controlPr>
            </control>
          </mc:Choice>
        </mc:AlternateContent>
        <mc:AlternateContent xmlns:mc="http://schemas.openxmlformats.org/markup-compatibility/2006">
          <mc:Choice Requires="x14">
            <control shapeId="14346" name="Spinner 10" r:id="rId8">
              <controlPr defaultSize="0">
                <anchor moveWithCells="1" sizeWithCells="1">
                  <from>
                    <xdr:col>8</xdr:col>
                    <xdr:colOff>825500</xdr:colOff>
                    <xdr:row>26</xdr:row>
                    <xdr:rowOff>12700</xdr:rowOff>
                  </from>
                  <to>
                    <xdr:col>9</xdr:col>
                    <xdr:colOff>0</xdr:colOff>
                    <xdr:row>27</xdr:row>
                    <xdr:rowOff>0</xdr:rowOff>
                  </to>
                </anchor>
              </controlPr>
            </control>
          </mc:Choice>
        </mc:AlternateContent>
        <mc:AlternateContent xmlns:mc="http://schemas.openxmlformats.org/markup-compatibility/2006">
          <mc:Choice Requires="x14">
            <control shapeId="14347" name="Spinner 11" r:id="rId9">
              <controlPr defaultSize="0">
                <anchor moveWithCells="1" sizeWithCells="1">
                  <from>
                    <xdr:col>9</xdr:col>
                    <xdr:colOff>793750</xdr:colOff>
                    <xdr:row>26</xdr:row>
                    <xdr:rowOff>0</xdr:rowOff>
                  </from>
                  <to>
                    <xdr:col>10</xdr:col>
                    <xdr:colOff>12700</xdr:colOff>
                    <xdr:row>26</xdr:row>
                    <xdr:rowOff>190500</xdr:rowOff>
                  </to>
                </anchor>
              </controlPr>
            </control>
          </mc:Choice>
        </mc:AlternateContent>
        <mc:AlternateContent xmlns:mc="http://schemas.openxmlformats.org/markup-compatibility/2006">
          <mc:Choice Requires="x14">
            <control shapeId="14348" name="Spinner 12" r:id="rId10">
              <controlPr defaultSize="0">
                <anchor moveWithCells="1" sizeWithCells="1">
                  <from>
                    <xdr:col>8</xdr:col>
                    <xdr:colOff>825500</xdr:colOff>
                    <xdr:row>27</xdr:row>
                    <xdr:rowOff>12700</xdr:rowOff>
                  </from>
                  <to>
                    <xdr:col>9</xdr:col>
                    <xdr:colOff>0</xdr:colOff>
                    <xdr:row>28</xdr:row>
                    <xdr:rowOff>0</xdr:rowOff>
                  </to>
                </anchor>
              </controlPr>
            </control>
          </mc:Choice>
        </mc:AlternateContent>
        <mc:AlternateContent xmlns:mc="http://schemas.openxmlformats.org/markup-compatibility/2006">
          <mc:Choice Requires="x14">
            <control shapeId="14349" name="Spinner 13" r:id="rId11">
              <controlPr defaultSize="0">
                <anchor moveWithCells="1" sizeWithCells="1">
                  <from>
                    <xdr:col>9</xdr:col>
                    <xdr:colOff>793750</xdr:colOff>
                    <xdr:row>27</xdr:row>
                    <xdr:rowOff>0</xdr:rowOff>
                  </from>
                  <to>
                    <xdr:col>10</xdr:col>
                    <xdr:colOff>12700</xdr:colOff>
                    <xdr:row>27</xdr:row>
                    <xdr:rowOff>190500</xdr:rowOff>
                  </to>
                </anchor>
              </controlPr>
            </control>
          </mc:Choice>
        </mc:AlternateContent>
        <mc:AlternateContent xmlns:mc="http://schemas.openxmlformats.org/markup-compatibility/2006">
          <mc:Choice Requires="x14">
            <control shapeId="14350" name="Spinner 14" r:id="rId12">
              <controlPr defaultSize="0">
                <anchor moveWithCells="1" sizeWithCells="1">
                  <from>
                    <xdr:col>10</xdr:col>
                    <xdr:colOff>774700</xdr:colOff>
                    <xdr:row>24</xdr:row>
                    <xdr:rowOff>12700</xdr:rowOff>
                  </from>
                  <to>
                    <xdr:col>11</xdr:col>
                    <xdr:colOff>0</xdr:colOff>
                    <xdr:row>24</xdr:row>
                    <xdr:rowOff>203200</xdr:rowOff>
                  </to>
                </anchor>
              </controlPr>
            </control>
          </mc:Choice>
        </mc:AlternateContent>
        <mc:AlternateContent xmlns:mc="http://schemas.openxmlformats.org/markup-compatibility/2006">
          <mc:Choice Requires="x14">
            <control shapeId="14351" name="Spinner 15" r:id="rId13">
              <controlPr defaultSize="0">
                <anchor moveWithCells="1" sizeWithCells="1">
                  <from>
                    <xdr:col>11</xdr:col>
                    <xdr:colOff>571500</xdr:colOff>
                    <xdr:row>24</xdr:row>
                    <xdr:rowOff>0</xdr:rowOff>
                  </from>
                  <to>
                    <xdr:col>11</xdr:col>
                    <xdr:colOff>698500</xdr:colOff>
                    <xdr:row>24</xdr:row>
                    <xdr:rowOff>190500</xdr:rowOff>
                  </to>
                </anchor>
              </controlPr>
            </control>
          </mc:Choice>
        </mc:AlternateContent>
        <mc:AlternateContent xmlns:mc="http://schemas.openxmlformats.org/markup-compatibility/2006">
          <mc:Choice Requires="x14">
            <control shapeId="14352" name="Spinner 16" r:id="rId14">
              <controlPr defaultSize="0">
                <anchor moveWithCells="1" sizeWithCells="1">
                  <from>
                    <xdr:col>10</xdr:col>
                    <xdr:colOff>787400</xdr:colOff>
                    <xdr:row>25</xdr:row>
                    <xdr:rowOff>12700</xdr:rowOff>
                  </from>
                  <to>
                    <xdr:col>11</xdr:col>
                    <xdr:colOff>12700</xdr:colOff>
                    <xdr:row>25</xdr:row>
                    <xdr:rowOff>203200</xdr:rowOff>
                  </to>
                </anchor>
              </controlPr>
            </control>
          </mc:Choice>
        </mc:AlternateContent>
        <mc:AlternateContent xmlns:mc="http://schemas.openxmlformats.org/markup-compatibility/2006">
          <mc:Choice Requires="x14">
            <control shapeId="14353" name="Spinner 17" r:id="rId15">
              <controlPr defaultSize="0">
                <anchor moveWithCells="1" sizeWithCells="1">
                  <from>
                    <xdr:col>11</xdr:col>
                    <xdr:colOff>584200</xdr:colOff>
                    <xdr:row>25</xdr:row>
                    <xdr:rowOff>0</xdr:rowOff>
                  </from>
                  <to>
                    <xdr:col>12</xdr:col>
                    <xdr:colOff>12700</xdr:colOff>
                    <xdr:row>25</xdr:row>
                    <xdr:rowOff>190500</xdr:rowOff>
                  </to>
                </anchor>
              </controlPr>
            </control>
          </mc:Choice>
        </mc:AlternateContent>
        <mc:AlternateContent xmlns:mc="http://schemas.openxmlformats.org/markup-compatibility/2006">
          <mc:Choice Requires="x14">
            <control shapeId="14354" name="Spinner 18" r:id="rId16">
              <controlPr defaultSize="0">
                <anchor moveWithCells="1" sizeWithCells="1">
                  <from>
                    <xdr:col>10</xdr:col>
                    <xdr:colOff>787400</xdr:colOff>
                    <xdr:row>26</xdr:row>
                    <xdr:rowOff>0</xdr:rowOff>
                  </from>
                  <to>
                    <xdr:col>11</xdr:col>
                    <xdr:colOff>12700</xdr:colOff>
                    <xdr:row>26</xdr:row>
                    <xdr:rowOff>190500</xdr:rowOff>
                  </to>
                </anchor>
              </controlPr>
            </control>
          </mc:Choice>
        </mc:AlternateContent>
        <mc:AlternateContent xmlns:mc="http://schemas.openxmlformats.org/markup-compatibility/2006">
          <mc:Choice Requires="x14">
            <control shapeId="14355" name="Spinner 19" r:id="rId17">
              <controlPr defaultSize="0">
                <anchor moveWithCells="1" sizeWithCells="1">
                  <from>
                    <xdr:col>11</xdr:col>
                    <xdr:colOff>584200</xdr:colOff>
                    <xdr:row>25</xdr:row>
                    <xdr:rowOff>203200</xdr:rowOff>
                  </from>
                  <to>
                    <xdr:col>12</xdr:col>
                    <xdr:colOff>12700</xdr:colOff>
                    <xdr:row>26</xdr:row>
                    <xdr:rowOff>184150</xdr:rowOff>
                  </to>
                </anchor>
              </controlPr>
            </control>
          </mc:Choice>
        </mc:AlternateContent>
        <mc:AlternateContent xmlns:mc="http://schemas.openxmlformats.org/markup-compatibility/2006">
          <mc:Choice Requires="x14">
            <control shapeId="14356" name="Spinner 20" r:id="rId18">
              <controlPr defaultSize="0">
                <anchor moveWithCells="1" sizeWithCells="1">
                  <from>
                    <xdr:col>10</xdr:col>
                    <xdr:colOff>787400</xdr:colOff>
                    <xdr:row>27</xdr:row>
                    <xdr:rowOff>12700</xdr:rowOff>
                  </from>
                  <to>
                    <xdr:col>11</xdr:col>
                    <xdr:colOff>12700</xdr:colOff>
                    <xdr:row>27</xdr:row>
                    <xdr:rowOff>203200</xdr:rowOff>
                  </to>
                </anchor>
              </controlPr>
            </control>
          </mc:Choice>
        </mc:AlternateContent>
        <mc:AlternateContent xmlns:mc="http://schemas.openxmlformats.org/markup-compatibility/2006">
          <mc:Choice Requires="x14">
            <control shapeId="14357" name="Spinner 21" r:id="rId19">
              <controlPr defaultSize="0">
                <anchor moveWithCells="1" sizeWithCells="1">
                  <from>
                    <xdr:col>11</xdr:col>
                    <xdr:colOff>584200</xdr:colOff>
                    <xdr:row>27</xdr:row>
                    <xdr:rowOff>0</xdr:rowOff>
                  </from>
                  <to>
                    <xdr:col>12</xdr:col>
                    <xdr:colOff>12700</xdr:colOff>
                    <xdr:row>27</xdr:row>
                    <xdr:rowOff>190500</xdr:rowOff>
                  </to>
                </anchor>
              </controlPr>
            </control>
          </mc:Choice>
        </mc:AlternateContent>
        <mc:AlternateContent xmlns:mc="http://schemas.openxmlformats.org/markup-compatibility/2006">
          <mc:Choice Requires="x14">
            <control shapeId="14358" name="Spinner 22" r:id="rId20">
              <controlPr defaultSize="0">
                <anchor moveWithCells="1" sizeWithCells="1">
                  <from>
                    <xdr:col>8</xdr:col>
                    <xdr:colOff>793750</xdr:colOff>
                    <xdr:row>62</xdr:row>
                    <xdr:rowOff>0</xdr:rowOff>
                  </from>
                  <to>
                    <xdr:col>8</xdr:col>
                    <xdr:colOff>914400</xdr:colOff>
                    <xdr:row>62</xdr:row>
                    <xdr:rowOff>190500</xdr:rowOff>
                  </to>
                </anchor>
              </controlPr>
            </control>
          </mc:Choice>
        </mc:AlternateContent>
        <mc:AlternateContent xmlns:mc="http://schemas.openxmlformats.org/markup-compatibility/2006">
          <mc:Choice Requires="x14">
            <control shapeId="14359" name="Spinner 23" r:id="rId21">
              <controlPr defaultSize="0">
                <anchor moveWithCells="1" sizeWithCells="1">
                  <from>
                    <xdr:col>9</xdr:col>
                    <xdr:colOff>774700</xdr:colOff>
                    <xdr:row>62</xdr:row>
                    <xdr:rowOff>0</xdr:rowOff>
                  </from>
                  <to>
                    <xdr:col>9</xdr:col>
                    <xdr:colOff>889000</xdr:colOff>
                    <xdr:row>62</xdr:row>
                    <xdr:rowOff>190500</xdr:rowOff>
                  </to>
                </anchor>
              </controlPr>
            </control>
          </mc:Choice>
        </mc:AlternateContent>
        <mc:AlternateContent xmlns:mc="http://schemas.openxmlformats.org/markup-compatibility/2006">
          <mc:Choice Requires="x14">
            <control shapeId="14360" name="Spinner 24" r:id="rId22">
              <controlPr defaultSize="0">
                <anchor moveWithCells="1" sizeWithCells="1">
                  <from>
                    <xdr:col>10</xdr:col>
                    <xdr:colOff>755650</xdr:colOff>
                    <xdr:row>62</xdr:row>
                    <xdr:rowOff>0</xdr:rowOff>
                  </from>
                  <to>
                    <xdr:col>10</xdr:col>
                    <xdr:colOff>889000</xdr:colOff>
                    <xdr:row>62</xdr:row>
                    <xdr:rowOff>190500</xdr:rowOff>
                  </to>
                </anchor>
              </controlPr>
            </control>
          </mc:Choice>
        </mc:AlternateContent>
        <mc:AlternateContent xmlns:mc="http://schemas.openxmlformats.org/markup-compatibility/2006">
          <mc:Choice Requires="x14">
            <control shapeId="14361" name="Spinner 25" r:id="rId23">
              <controlPr defaultSize="0">
                <anchor moveWithCells="1" sizeWithCells="1">
                  <from>
                    <xdr:col>11</xdr:col>
                    <xdr:colOff>565150</xdr:colOff>
                    <xdr:row>61</xdr:row>
                    <xdr:rowOff>190500</xdr:rowOff>
                  </from>
                  <to>
                    <xdr:col>11</xdr:col>
                    <xdr:colOff>685800</xdr:colOff>
                    <xdr:row>62</xdr:row>
                    <xdr:rowOff>184150</xdr:rowOff>
                  </to>
                </anchor>
              </controlPr>
            </control>
          </mc:Choice>
        </mc:AlternateContent>
        <mc:AlternateContent xmlns:mc="http://schemas.openxmlformats.org/markup-compatibility/2006">
          <mc:Choice Requires="x14">
            <control shapeId="14362" name="Spinner 26" r:id="rId24">
              <controlPr defaultSize="0">
                <anchor moveWithCells="1" sizeWithCells="1">
                  <from>
                    <xdr:col>8</xdr:col>
                    <xdr:colOff>793750</xdr:colOff>
                    <xdr:row>63</xdr:row>
                    <xdr:rowOff>0</xdr:rowOff>
                  </from>
                  <to>
                    <xdr:col>8</xdr:col>
                    <xdr:colOff>914400</xdr:colOff>
                    <xdr:row>63</xdr:row>
                    <xdr:rowOff>190500</xdr:rowOff>
                  </to>
                </anchor>
              </controlPr>
            </control>
          </mc:Choice>
        </mc:AlternateContent>
        <mc:AlternateContent xmlns:mc="http://schemas.openxmlformats.org/markup-compatibility/2006">
          <mc:Choice Requires="x14">
            <control shapeId="14363" name="Spinner 27" r:id="rId25">
              <controlPr defaultSize="0">
                <anchor moveWithCells="1" sizeWithCells="1">
                  <from>
                    <xdr:col>9</xdr:col>
                    <xdr:colOff>774700</xdr:colOff>
                    <xdr:row>63</xdr:row>
                    <xdr:rowOff>0</xdr:rowOff>
                  </from>
                  <to>
                    <xdr:col>9</xdr:col>
                    <xdr:colOff>889000</xdr:colOff>
                    <xdr:row>63</xdr:row>
                    <xdr:rowOff>190500</xdr:rowOff>
                  </to>
                </anchor>
              </controlPr>
            </control>
          </mc:Choice>
        </mc:AlternateContent>
        <mc:AlternateContent xmlns:mc="http://schemas.openxmlformats.org/markup-compatibility/2006">
          <mc:Choice Requires="x14">
            <control shapeId="14364" name="Spinner 28" r:id="rId26">
              <controlPr defaultSize="0">
                <anchor moveWithCells="1" sizeWithCells="1">
                  <from>
                    <xdr:col>10</xdr:col>
                    <xdr:colOff>755650</xdr:colOff>
                    <xdr:row>63</xdr:row>
                    <xdr:rowOff>0</xdr:rowOff>
                  </from>
                  <to>
                    <xdr:col>10</xdr:col>
                    <xdr:colOff>889000</xdr:colOff>
                    <xdr:row>63</xdr:row>
                    <xdr:rowOff>190500</xdr:rowOff>
                  </to>
                </anchor>
              </controlPr>
            </control>
          </mc:Choice>
        </mc:AlternateContent>
        <mc:AlternateContent xmlns:mc="http://schemas.openxmlformats.org/markup-compatibility/2006">
          <mc:Choice Requires="x14">
            <control shapeId="14365" name="Spinner 29" r:id="rId27">
              <controlPr defaultSize="0">
                <anchor moveWithCells="1" sizeWithCells="1">
                  <from>
                    <xdr:col>11</xdr:col>
                    <xdr:colOff>565150</xdr:colOff>
                    <xdr:row>62</xdr:row>
                    <xdr:rowOff>190500</xdr:rowOff>
                  </from>
                  <to>
                    <xdr:col>11</xdr:col>
                    <xdr:colOff>685800</xdr:colOff>
                    <xdr:row>63</xdr:row>
                    <xdr:rowOff>184150</xdr:rowOff>
                  </to>
                </anchor>
              </controlPr>
            </control>
          </mc:Choice>
        </mc:AlternateContent>
        <mc:AlternateContent xmlns:mc="http://schemas.openxmlformats.org/markup-compatibility/2006">
          <mc:Choice Requires="x14">
            <control shapeId="14366" name="Spinner 30" r:id="rId28">
              <controlPr defaultSize="0">
                <anchor moveWithCells="1" sizeWithCells="1">
                  <from>
                    <xdr:col>8</xdr:col>
                    <xdr:colOff>793750</xdr:colOff>
                    <xdr:row>64</xdr:row>
                    <xdr:rowOff>0</xdr:rowOff>
                  </from>
                  <to>
                    <xdr:col>8</xdr:col>
                    <xdr:colOff>914400</xdr:colOff>
                    <xdr:row>64</xdr:row>
                    <xdr:rowOff>190500</xdr:rowOff>
                  </to>
                </anchor>
              </controlPr>
            </control>
          </mc:Choice>
        </mc:AlternateContent>
        <mc:AlternateContent xmlns:mc="http://schemas.openxmlformats.org/markup-compatibility/2006">
          <mc:Choice Requires="x14">
            <control shapeId="14367" name="Spinner 31" r:id="rId29">
              <controlPr defaultSize="0">
                <anchor moveWithCells="1" sizeWithCells="1">
                  <from>
                    <xdr:col>9</xdr:col>
                    <xdr:colOff>774700</xdr:colOff>
                    <xdr:row>64</xdr:row>
                    <xdr:rowOff>0</xdr:rowOff>
                  </from>
                  <to>
                    <xdr:col>9</xdr:col>
                    <xdr:colOff>889000</xdr:colOff>
                    <xdr:row>64</xdr:row>
                    <xdr:rowOff>190500</xdr:rowOff>
                  </to>
                </anchor>
              </controlPr>
            </control>
          </mc:Choice>
        </mc:AlternateContent>
        <mc:AlternateContent xmlns:mc="http://schemas.openxmlformats.org/markup-compatibility/2006">
          <mc:Choice Requires="x14">
            <control shapeId="14368" name="Spinner 32" r:id="rId30">
              <controlPr defaultSize="0">
                <anchor moveWithCells="1" sizeWithCells="1">
                  <from>
                    <xdr:col>10</xdr:col>
                    <xdr:colOff>755650</xdr:colOff>
                    <xdr:row>64</xdr:row>
                    <xdr:rowOff>0</xdr:rowOff>
                  </from>
                  <to>
                    <xdr:col>10</xdr:col>
                    <xdr:colOff>889000</xdr:colOff>
                    <xdr:row>64</xdr:row>
                    <xdr:rowOff>190500</xdr:rowOff>
                  </to>
                </anchor>
              </controlPr>
            </control>
          </mc:Choice>
        </mc:AlternateContent>
        <mc:AlternateContent xmlns:mc="http://schemas.openxmlformats.org/markup-compatibility/2006">
          <mc:Choice Requires="x14">
            <control shapeId="14369" name="Spinner 33" r:id="rId31">
              <controlPr defaultSize="0">
                <anchor moveWithCells="1" sizeWithCells="1">
                  <from>
                    <xdr:col>11</xdr:col>
                    <xdr:colOff>565150</xdr:colOff>
                    <xdr:row>63</xdr:row>
                    <xdr:rowOff>190500</xdr:rowOff>
                  </from>
                  <to>
                    <xdr:col>11</xdr:col>
                    <xdr:colOff>685800</xdr:colOff>
                    <xdr:row>64</xdr:row>
                    <xdr:rowOff>184150</xdr:rowOff>
                  </to>
                </anchor>
              </controlPr>
            </control>
          </mc:Choice>
        </mc:AlternateContent>
        <mc:AlternateContent xmlns:mc="http://schemas.openxmlformats.org/markup-compatibility/2006">
          <mc:Choice Requires="x14">
            <control shapeId="14370" name="Spinner 34" r:id="rId32">
              <controlPr defaultSize="0">
                <anchor moveWithCells="1" sizeWithCells="1">
                  <from>
                    <xdr:col>8</xdr:col>
                    <xdr:colOff>793750</xdr:colOff>
                    <xdr:row>65</xdr:row>
                    <xdr:rowOff>0</xdr:rowOff>
                  </from>
                  <to>
                    <xdr:col>8</xdr:col>
                    <xdr:colOff>914400</xdr:colOff>
                    <xdr:row>65</xdr:row>
                    <xdr:rowOff>190500</xdr:rowOff>
                  </to>
                </anchor>
              </controlPr>
            </control>
          </mc:Choice>
        </mc:AlternateContent>
        <mc:AlternateContent xmlns:mc="http://schemas.openxmlformats.org/markup-compatibility/2006">
          <mc:Choice Requires="x14">
            <control shapeId="14371" name="Spinner 35" r:id="rId33">
              <controlPr defaultSize="0">
                <anchor moveWithCells="1" sizeWithCells="1">
                  <from>
                    <xdr:col>9</xdr:col>
                    <xdr:colOff>774700</xdr:colOff>
                    <xdr:row>65</xdr:row>
                    <xdr:rowOff>0</xdr:rowOff>
                  </from>
                  <to>
                    <xdr:col>9</xdr:col>
                    <xdr:colOff>889000</xdr:colOff>
                    <xdr:row>65</xdr:row>
                    <xdr:rowOff>190500</xdr:rowOff>
                  </to>
                </anchor>
              </controlPr>
            </control>
          </mc:Choice>
        </mc:AlternateContent>
        <mc:AlternateContent xmlns:mc="http://schemas.openxmlformats.org/markup-compatibility/2006">
          <mc:Choice Requires="x14">
            <control shapeId="14372" name="Spinner 36" r:id="rId34">
              <controlPr defaultSize="0">
                <anchor moveWithCells="1" sizeWithCells="1">
                  <from>
                    <xdr:col>10</xdr:col>
                    <xdr:colOff>755650</xdr:colOff>
                    <xdr:row>65</xdr:row>
                    <xdr:rowOff>0</xdr:rowOff>
                  </from>
                  <to>
                    <xdr:col>10</xdr:col>
                    <xdr:colOff>889000</xdr:colOff>
                    <xdr:row>65</xdr:row>
                    <xdr:rowOff>190500</xdr:rowOff>
                  </to>
                </anchor>
              </controlPr>
            </control>
          </mc:Choice>
        </mc:AlternateContent>
        <mc:AlternateContent xmlns:mc="http://schemas.openxmlformats.org/markup-compatibility/2006">
          <mc:Choice Requires="x14">
            <control shapeId="14373" name="Spinner 37" r:id="rId35">
              <controlPr defaultSize="0">
                <anchor moveWithCells="1" sizeWithCells="1">
                  <from>
                    <xdr:col>11</xdr:col>
                    <xdr:colOff>565150</xdr:colOff>
                    <xdr:row>64</xdr:row>
                    <xdr:rowOff>190500</xdr:rowOff>
                  </from>
                  <to>
                    <xdr:col>11</xdr:col>
                    <xdr:colOff>685800</xdr:colOff>
                    <xdr:row>65</xdr:row>
                    <xdr:rowOff>184150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AI160"/>
  <sheetViews>
    <sheetView showGridLines="0" showRowColHeaders="0" topLeftCell="A19" workbookViewId="0">
      <selection activeCell="Q31" sqref="Q31"/>
    </sheetView>
  </sheetViews>
  <sheetFormatPr defaultColWidth="9" defaultRowHeight="13.5"/>
  <cols>
    <col min="1" max="1" width="10.3628318584071" style="21" customWidth="1"/>
    <col min="2" max="2" width="9.45132743362832" style="22" customWidth="1"/>
    <col min="3" max="7" width="9" style="22"/>
    <col min="8" max="8" width="9.45132743362832" style="22" customWidth="1"/>
    <col min="9" max="10" width="9" style="22"/>
    <col min="11" max="11" width="10.4513274336283" style="22" customWidth="1"/>
    <col min="12" max="12" width="9.45132743362832" style="22" customWidth="1"/>
    <col min="13" max="15" width="9" style="22"/>
    <col min="16" max="18" width="9.45132743362832" style="22" customWidth="1"/>
    <col min="19" max="26" width="9" style="22"/>
    <col min="27" max="34" width="9.45132743362832" style="22" customWidth="1"/>
    <col min="35" max="36" width="9.08849557522124" style="22" customWidth="1"/>
    <col min="37" max="16384" width="9" style="22"/>
  </cols>
  <sheetData>
    <row r="1" s="21" customFormat="1" spans="1:35">
      <c r="A1" s="23" t="s">
        <v>807</v>
      </c>
      <c r="B1" s="24" t="s">
        <v>808</v>
      </c>
      <c r="C1" s="24" t="s">
        <v>809</v>
      </c>
      <c r="D1" s="24" t="s">
        <v>810</v>
      </c>
      <c r="E1" s="24" t="s">
        <v>811</v>
      </c>
      <c r="F1" s="24" t="s">
        <v>812</v>
      </c>
      <c r="G1" s="24" t="s">
        <v>813</v>
      </c>
      <c r="H1" s="24" t="s">
        <v>814</v>
      </c>
      <c r="I1" s="24" t="s">
        <v>815</v>
      </c>
      <c r="J1" s="24" t="s">
        <v>816</v>
      </c>
      <c r="K1" s="24" t="s">
        <v>817</v>
      </c>
      <c r="L1" s="24" t="s">
        <v>818</v>
      </c>
      <c r="M1" s="24" t="s">
        <v>819</v>
      </c>
      <c r="N1" s="24" t="s">
        <v>820</v>
      </c>
      <c r="O1" s="24" t="s">
        <v>821</v>
      </c>
      <c r="P1" s="24" t="s">
        <v>822</v>
      </c>
      <c r="Q1" s="32" t="s">
        <v>823</v>
      </c>
      <c r="U1" s="23" t="s">
        <v>824</v>
      </c>
      <c r="V1" s="24" t="s">
        <v>825</v>
      </c>
      <c r="W1" s="24" t="s">
        <v>826</v>
      </c>
      <c r="X1" s="24" t="s">
        <v>827</v>
      </c>
      <c r="Y1" s="24" t="s">
        <v>828</v>
      </c>
      <c r="Z1" s="24" t="s">
        <v>829</v>
      </c>
      <c r="AA1" s="24" t="s">
        <v>67</v>
      </c>
      <c r="AB1" s="24" t="s">
        <v>436</v>
      </c>
      <c r="AC1" s="24" t="s">
        <v>577</v>
      </c>
      <c r="AD1" s="24" t="s">
        <v>830</v>
      </c>
      <c r="AE1" s="24"/>
      <c r="AF1" s="32"/>
      <c r="AG1" s="45"/>
      <c r="AH1" s="46"/>
      <c r="AI1" s="46"/>
    </row>
    <row r="2" spans="1:33">
      <c r="A2" s="25" t="s">
        <v>831</v>
      </c>
      <c r="B2" s="22" t="e">
        <f>IF(第1期!BB$29=0,"",第1期!BB$29)</f>
        <v>#DIV/0!</v>
      </c>
      <c r="C2" s="22" t="e">
        <f>IF(第1期!BC$29=0,"",第1期!BC$29)</f>
        <v>#DIV/0!</v>
      </c>
      <c r="D2" s="22" t="e">
        <f>IF(第1期!BD$29=0,"",第1期!BD$29)</f>
        <v>#DIV/0!</v>
      </c>
      <c r="E2" s="22" t="e">
        <f>IF(第1期!BE$29=0,"",第1期!BE$29)</f>
        <v>#DIV/0!</v>
      </c>
      <c r="F2" s="22" t="e">
        <f>IF(第1期!BF$29=0,"",第1期!BF$29)</f>
        <v>#DIV/0!</v>
      </c>
      <c r="G2" s="22" t="e">
        <f>IF(第1期!BG$29=0,"",第1期!BG$29)</f>
        <v>#DIV/0!</v>
      </c>
      <c r="H2" s="22" t="e">
        <f>IF(第1期!BH$29=0,"",第1期!BH$29)</f>
        <v>#DIV/0!</v>
      </c>
      <c r="I2" s="22" t="e">
        <f>IF(第1期!BI$29=0,"",第1期!BI$29)</f>
        <v>#DIV/0!</v>
      </c>
      <c r="J2" s="22" t="e">
        <f>IF(第1期!BJ$29=0,"",第1期!BJ$29)</f>
        <v>#DIV/0!</v>
      </c>
      <c r="K2" s="22" t="e">
        <f>IF(第1期!BK$29=0,"",第1期!BK$29)</f>
        <v>#DIV/0!</v>
      </c>
      <c r="L2" s="22" t="e">
        <f>IF(第1期!BL$29=0,"",第1期!BL$29)</f>
        <v>#DIV/0!</v>
      </c>
      <c r="M2" s="22" t="e">
        <f>IF(第1期!BM$29=0,"",第1期!BM$29)</f>
        <v>#DIV/0!</v>
      </c>
      <c r="N2" s="22" t="e">
        <f>IF(第1期!BN$29=0,"",第1期!BN$29)</f>
        <v>#DIV/0!</v>
      </c>
      <c r="O2" s="22" t="e">
        <f>IF(第1期!BO$29=0,"",第1期!BO$29)</f>
        <v>#DIV/0!</v>
      </c>
      <c r="P2" s="22" t="e">
        <f>IF(第1期!BP$29=0,"",第1期!BP$29)</f>
        <v>#DIV/0!</v>
      </c>
      <c r="Q2" s="33" t="e">
        <f>IF(第1期!BQ$29=0,"",第1期!BQ$29)</f>
        <v>#DIV/0!</v>
      </c>
      <c r="U2" s="25" t="str">
        <f>$A$2</f>
        <v>第一期</v>
      </c>
      <c r="V2" s="22" t="e">
        <f>IF($B$2="","",B2)</f>
        <v>#DIV/0!</v>
      </c>
      <c r="W2" s="22" t="e">
        <f>IF($C$2="","",B14)</f>
        <v>#DIV/0!</v>
      </c>
      <c r="X2" s="34" t="e">
        <f>IF(D2="",0,B26)</f>
        <v>#DIV/0!</v>
      </c>
      <c r="Y2" s="22" t="e">
        <f>IF($E$2="","",B38)</f>
        <v>#DIV/0!</v>
      </c>
      <c r="Z2" s="41" t="e">
        <f>IF($F$2="","",B50)</f>
        <v>#DIV/0!</v>
      </c>
      <c r="AA2" s="22" t="e">
        <f>IF($G$2="","",B62)</f>
        <v>#DIV/0!</v>
      </c>
      <c r="AB2" s="22" t="e">
        <f>IF($H$2="","",B74)</f>
        <v>#DIV/0!</v>
      </c>
      <c r="AC2" s="22" t="e">
        <f>IF(X2=0,NA(),第1期!$BB$27)</f>
        <v>#DIV/0!</v>
      </c>
      <c r="AD2" s="42"/>
      <c r="AE2" s="42"/>
      <c r="AF2" s="43"/>
      <c r="AG2" s="47"/>
    </row>
    <row r="3" spans="1:33">
      <c r="A3" s="25" t="s">
        <v>832</v>
      </c>
      <c r="B3" s="22" t="e">
        <f>IF(第2期!BB$29=0,"",第2期!BB$29)</f>
        <v>#DIV/0!</v>
      </c>
      <c r="C3" s="22" t="e">
        <f>IF(第2期!BC$29=0,"",第2期!BC$29)</f>
        <v>#DIV/0!</v>
      </c>
      <c r="D3" s="22" t="e">
        <f>IF(第2期!BD$29=0,"",第2期!BD$29)</f>
        <v>#DIV/0!</v>
      </c>
      <c r="E3" s="22" t="e">
        <f>IF(第2期!BE$29=0,"",第2期!BE$29)</f>
        <v>#DIV/0!</v>
      </c>
      <c r="F3" s="22" t="e">
        <f>IF(第2期!BF$29=0,"",第2期!BF$29)</f>
        <v>#DIV/0!</v>
      </c>
      <c r="G3" s="22" t="e">
        <f>IF(第2期!BG$29=0,"",第2期!BG$29)</f>
        <v>#DIV/0!</v>
      </c>
      <c r="H3" s="22" t="e">
        <f>IF(第2期!BH$29=0,"",第2期!BH$29)</f>
        <v>#DIV/0!</v>
      </c>
      <c r="I3" s="22" t="e">
        <f>IF(第2期!BI$29=0,"",第2期!BI$29)</f>
        <v>#DIV/0!</v>
      </c>
      <c r="J3" s="22" t="e">
        <f>IF(第2期!BJ$29=0,"",第2期!BJ$29)</f>
        <v>#DIV/0!</v>
      </c>
      <c r="K3" s="22" t="e">
        <f>IF(第2期!BK$29=0,"",第2期!BK$29)</f>
        <v>#DIV/0!</v>
      </c>
      <c r="L3" s="22" t="e">
        <f>IF(第2期!BL$29=0,"",第2期!BL$29)</f>
        <v>#DIV/0!</v>
      </c>
      <c r="M3" s="22" t="e">
        <f>IF(第2期!BM$29=0,"",第2期!BM$29)</f>
        <v>#DIV/0!</v>
      </c>
      <c r="N3" s="22" t="e">
        <f>IF(第2期!BN$29=0,"",第2期!BN$29)</f>
        <v>#DIV/0!</v>
      </c>
      <c r="O3" s="22" t="e">
        <f>IF(第2期!BO$29=0,"",第2期!BO$29)</f>
        <v>#DIV/0!</v>
      </c>
      <c r="P3" s="22" t="e">
        <f>IF(第2期!BP$29=0,"",第2期!BP$29)</f>
        <v>#DIV/0!</v>
      </c>
      <c r="Q3" s="33" t="e">
        <f>IF(第2期!BQ$29=0,"",第2期!BQ$29)</f>
        <v>#DIV/0!</v>
      </c>
      <c r="U3" s="25" t="str">
        <f>$A$3</f>
        <v>第二期</v>
      </c>
      <c r="V3" s="22" t="e">
        <f>IF($B$3="","",B3)</f>
        <v>#DIV/0!</v>
      </c>
      <c r="W3" s="22" t="e">
        <f>IF($C$3="","",B15)</f>
        <v>#DIV/0!</v>
      </c>
      <c r="X3" s="34" t="e">
        <f>IF($D$3="",0,B27)</f>
        <v>#DIV/0!</v>
      </c>
      <c r="Y3" s="22" t="e">
        <f>IF($E$3="","",B39)</f>
        <v>#DIV/0!</v>
      </c>
      <c r="Z3" s="41" t="e">
        <f t="shared" ref="Z3:Z10" si="0">IF(F3="","",B51)</f>
        <v>#DIV/0!</v>
      </c>
      <c r="AA3" s="22" t="e">
        <f t="shared" ref="AA3:AA10" si="1">IF(G3="","",B63)</f>
        <v>#DIV/0!</v>
      </c>
      <c r="AB3" s="22" t="e">
        <f t="shared" ref="AB3:AB10" si="2">IF(H3="","",B75)</f>
        <v>#DIV/0!</v>
      </c>
      <c r="AC3" s="22" t="e">
        <f>IF(X3=0,NA(),第2期!$BB$27)</f>
        <v>#DIV/0!</v>
      </c>
      <c r="AD3" s="42"/>
      <c r="AE3" s="42"/>
      <c r="AF3" s="43"/>
      <c r="AG3" s="47"/>
    </row>
    <row r="4" spans="1:33">
      <c r="A4" s="25" t="s">
        <v>833</v>
      </c>
      <c r="B4" s="22" t="e">
        <f>IF(第3期!BB$29=0,"",第3期!BB$29)</f>
        <v>#DIV/0!</v>
      </c>
      <c r="C4" s="22" t="e">
        <f>IF(第3期!BC$29=0,"",第3期!BC$29)</f>
        <v>#DIV/0!</v>
      </c>
      <c r="D4" s="22" t="e">
        <f>IF(第3期!BD$29=0,"",第3期!BD$29)</f>
        <v>#DIV/0!</v>
      </c>
      <c r="E4" s="22" t="e">
        <f>IF(第3期!BE$29=0,"",第3期!BE$29)</f>
        <v>#DIV/0!</v>
      </c>
      <c r="F4" s="22" t="e">
        <f>IF(第3期!BF$29=0,"",第3期!BF$29)</f>
        <v>#DIV/0!</v>
      </c>
      <c r="G4" s="22" t="e">
        <f>IF(第3期!BG$29=0,"",第3期!BG$29)</f>
        <v>#DIV/0!</v>
      </c>
      <c r="H4" s="22" t="e">
        <f>IF(第3期!BH$29=0,"",第3期!BH$29)</f>
        <v>#DIV/0!</v>
      </c>
      <c r="I4" s="22" t="e">
        <f>IF(第3期!BI$29=0,"",第3期!BI$29)</f>
        <v>#DIV/0!</v>
      </c>
      <c r="J4" s="22" t="e">
        <f>IF(第3期!BJ$29=0,"",第3期!BJ$29)</f>
        <v>#DIV/0!</v>
      </c>
      <c r="K4" s="22" t="e">
        <f>IF(第3期!BK$29=0,"",第3期!BK$29)</f>
        <v>#DIV/0!</v>
      </c>
      <c r="L4" s="22" t="e">
        <f>IF(第3期!BL$29=0,"",第3期!BL$29)</f>
        <v>#DIV/0!</v>
      </c>
      <c r="M4" s="22" t="e">
        <f>IF(第3期!BM$29=0,"",第3期!BM$29)</f>
        <v>#DIV/0!</v>
      </c>
      <c r="N4" s="22" t="e">
        <f>IF(第3期!BN$29=0,"",第3期!BN$29)</f>
        <v>#DIV/0!</v>
      </c>
      <c r="O4" s="22" t="e">
        <f>IF(第3期!BO$29=0,"",第3期!BO$29)</f>
        <v>#DIV/0!</v>
      </c>
      <c r="P4" s="22" t="e">
        <f>IF(第3期!BP$29=0,"",第3期!BP$29)</f>
        <v>#DIV/0!</v>
      </c>
      <c r="Q4" s="33" t="e">
        <f>IF(第3期!BQ$29=0,"",第3期!BQ$29)</f>
        <v>#DIV/0!</v>
      </c>
      <c r="U4" s="25" t="str">
        <f>$A$4</f>
        <v>第三期</v>
      </c>
      <c r="V4" s="22" t="e">
        <f>IF($B$4="","",B4)</f>
        <v>#DIV/0!</v>
      </c>
      <c r="W4" s="22" t="e">
        <f>IF($C$4="","",B16)</f>
        <v>#DIV/0!</v>
      </c>
      <c r="X4" s="34" t="e">
        <f>IF($D$4="",0,B28)</f>
        <v>#DIV/0!</v>
      </c>
      <c r="Y4" s="22" t="e">
        <f>IF($E$4="","",B40)</f>
        <v>#DIV/0!</v>
      </c>
      <c r="Z4" s="41" t="e">
        <f t="shared" si="0"/>
        <v>#DIV/0!</v>
      </c>
      <c r="AA4" s="22" t="e">
        <f t="shared" si="1"/>
        <v>#DIV/0!</v>
      </c>
      <c r="AB4" s="22" t="e">
        <f t="shared" si="2"/>
        <v>#DIV/0!</v>
      </c>
      <c r="AC4" s="22" t="e">
        <f>IF(X4=0,NA(),第3期!$BB$27)</f>
        <v>#DIV/0!</v>
      </c>
      <c r="AD4" s="42"/>
      <c r="AE4" s="42"/>
      <c r="AF4" s="43"/>
      <c r="AG4" s="47"/>
    </row>
    <row r="5" spans="1:33">
      <c r="A5" s="25" t="s">
        <v>834</v>
      </c>
      <c r="B5" s="22" t="e">
        <f>IF(第4期!BB$29=0,"",第4期!BB$29)</f>
        <v>#DIV/0!</v>
      </c>
      <c r="C5" s="22" t="e">
        <f>IF(第4期!BC$29=0,"",第4期!BC$29)</f>
        <v>#DIV/0!</v>
      </c>
      <c r="D5" s="22" t="e">
        <f>IF(第4期!BD$29=0,"",第4期!BD$29)</f>
        <v>#DIV/0!</v>
      </c>
      <c r="E5" s="22" t="e">
        <f>IF(第4期!BE$29=0,"",第4期!BE$29)</f>
        <v>#DIV/0!</v>
      </c>
      <c r="F5" s="22" t="e">
        <f>IF(第4期!BF$29=0,"",第4期!BF$29)</f>
        <v>#DIV/0!</v>
      </c>
      <c r="G5" s="22" t="e">
        <f>IF(第4期!BG$29=0,"",第4期!BG$29)</f>
        <v>#DIV/0!</v>
      </c>
      <c r="H5" s="22" t="e">
        <f>IF(第4期!BH$29=0,"",第4期!BH$29)</f>
        <v>#DIV/0!</v>
      </c>
      <c r="I5" s="22" t="e">
        <f>IF(第4期!BI$29=0,"",第4期!BI$29)</f>
        <v>#DIV/0!</v>
      </c>
      <c r="J5" s="22" t="e">
        <f>IF(第4期!BJ$29=0,"",第4期!BJ$29)</f>
        <v>#DIV/0!</v>
      </c>
      <c r="K5" s="22" t="e">
        <f>IF(第4期!BK$29=0,"",第4期!BK$29)</f>
        <v>#DIV/0!</v>
      </c>
      <c r="L5" s="22" t="e">
        <f>IF(第4期!BL$29=0,"",第4期!BL$29)</f>
        <v>#DIV/0!</v>
      </c>
      <c r="M5" s="22" t="e">
        <f>IF(第4期!BM$29=0,"",第4期!BM$29)</f>
        <v>#DIV/0!</v>
      </c>
      <c r="N5" s="22" t="e">
        <f>IF(第4期!BN$29=0,"",第4期!BN$29)</f>
        <v>#DIV/0!</v>
      </c>
      <c r="O5" s="22" t="e">
        <f>IF(第4期!BO$29=0,"",第4期!BO$29)</f>
        <v>#DIV/0!</v>
      </c>
      <c r="P5" s="22" t="e">
        <f>IF(第4期!BP$29=0,"",第4期!BP$29)</f>
        <v>#DIV/0!</v>
      </c>
      <c r="Q5" s="33" t="e">
        <f>IF(第4期!BQ$29=0,"",第4期!BQ$29)</f>
        <v>#DIV/0!</v>
      </c>
      <c r="U5" s="25" t="str">
        <f>$A$5</f>
        <v>第四期</v>
      </c>
      <c r="V5" s="22" t="e">
        <f>IF($B$5="","",B5)</f>
        <v>#DIV/0!</v>
      </c>
      <c r="W5" s="22" t="e">
        <f>IF($C$5="","",B17)</f>
        <v>#DIV/0!</v>
      </c>
      <c r="X5" s="34" t="e">
        <f>IF($D$5="",0,B29)</f>
        <v>#DIV/0!</v>
      </c>
      <c r="Y5" s="22" t="e">
        <f>IF($E$5="","",B41)</f>
        <v>#DIV/0!</v>
      </c>
      <c r="Z5" s="41" t="e">
        <f t="shared" si="0"/>
        <v>#DIV/0!</v>
      </c>
      <c r="AA5" s="22" t="e">
        <f t="shared" si="1"/>
        <v>#DIV/0!</v>
      </c>
      <c r="AB5" s="22" t="e">
        <f t="shared" si="2"/>
        <v>#DIV/0!</v>
      </c>
      <c r="AC5" s="22" t="e">
        <f>IF(X5=0,NA(),第4期!$BB$27)</f>
        <v>#DIV/0!</v>
      </c>
      <c r="AD5" s="42"/>
      <c r="AE5" s="42"/>
      <c r="AF5" s="43"/>
      <c r="AG5" s="47"/>
    </row>
    <row r="6" spans="1:33">
      <c r="A6" s="25" t="s">
        <v>835</v>
      </c>
      <c r="B6" s="22" t="e">
        <f>IF(第5期!BB$29=0,"",第5期!BB$29)</f>
        <v>#DIV/0!</v>
      </c>
      <c r="C6" s="22" t="e">
        <f>IF(第5期!BC$29=0,"",第5期!BC$29)</f>
        <v>#DIV/0!</v>
      </c>
      <c r="D6" s="22" t="e">
        <f>IF(第5期!BD$29=0,"",第5期!BD$29)</f>
        <v>#DIV/0!</v>
      </c>
      <c r="E6" s="22" t="e">
        <f>IF(第5期!BE$29=0,"",第5期!BE$29)</f>
        <v>#DIV/0!</v>
      </c>
      <c r="F6" s="22" t="e">
        <f>IF(第5期!BF$29=0,"",第5期!BF$29)</f>
        <v>#DIV/0!</v>
      </c>
      <c r="G6" s="22" t="e">
        <f>IF(第5期!BG$29=0,"",第5期!BG$29)</f>
        <v>#DIV/0!</v>
      </c>
      <c r="H6" s="22" t="e">
        <f>IF(第5期!BH$29=0,"",第5期!BH$29)</f>
        <v>#DIV/0!</v>
      </c>
      <c r="I6" s="22" t="e">
        <f>IF(第5期!BI$29=0,"",第5期!BI$29)</f>
        <v>#DIV/0!</v>
      </c>
      <c r="J6" s="22" t="e">
        <f>IF(第5期!BJ$29=0,"",第5期!BJ$29)</f>
        <v>#DIV/0!</v>
      </c>
      <c r="K6" s="22" t="e">
        <f>IF(第5期!BK$29=0,"",第5期!BK$29)</f>
        <v>#DIV/0!</v>
      </c>
      <c r="L6" s="22" t="e">
        <f>IF(第5期!BL$29=0,"",第5期!BL$29)</f>
        <v>#DIV/0!</v>
      </c>
      <c r="M6" s="22" t="e">
        <f>IF(第5期!BM$29=0,"",第5期!BM$29)</f>
        <v>#DIV/0!</v>
      </c>
      <c r="N6" s="22" t="e">
        <f>IF(第5期!BN$29=0,"",第5期!BN$29)</f>
        <v>#DIV/0!</v>
      </c>
      <c r="O6" s="22" t="e">
        <f>IF(第5期!BO$29=0,"",第5期!BO$29)</f>
        <v>#DIV/0!</v>
      </c>
      <c r="P6" s="22" t="e">
        <f>IF(第5期!BP$29=0,"",第5期!BP$29)</f>
        <v>#DIV/0!</v>
      </c>
      <c r="Q6" s="33" t="e">
        <f>IF(第5期!BQ$29=0,"",第5期!BQ$29)</f>
        <v>#DIV/0!</v>
      </c>
      <c r="U6" s="25" t="str">
        <f>$A$6</f>
        <v>第五期</v>
      </c>
      <c r="V6" s="22" t="e">
        <f>IF($B$6="","",B6)</f>
        <v>#DIV/0!</v>
      </c>
      <c r="W6" s="22" t="e">
        <f>IF($C$6="","",B18)</f>
        <v>#DIV/0!</v>
      </c>
      <c r="X6" s="34" t="e">
        <f>IF($D$6="",0,B30)</f>
        <v>#DIV/0!</v>
      </c>
      <c r="Y6" s="22" t="e">
        <f>IF($E$6="","",B42)</f>
        <v>#DIV/0!</v>
      </c>
      <c r="Z6" s="41" t="e">
        <f t="shared" si="0"/>
        <v>#DIV/0!</v>
      </c>
      <c r="AA6" s="22" t="e">
        <f t="shared" si="1"/>
        <v>#DIV/0!</v>
      </c>
      <c r="AB6" s="22" t="e">
        <f t="shared" si="2"/>
        <v>#DIV/0!</v>
      </c>
      <c r="AC6" s="22" t="e">
        <f>IF(X6=0,NA(),第5期!$BB$27)</f>
        <v>#DIV/0!</v>
      </c>
      <c r="AD6" s="42"/>
      <c r="AE6" s="42"/>
      <c r="AF6" s="43"/>
      <c r="AG6" s="47"/>
    </row>
    <row r="7" spans="1:33">
      <c r="A7" s="25" t="s">
        <v>836</v>
      </c>
      <c r="B7" s="22" t="e">
        <f>IF(第6期!BB$29=0,"",第6期!BB$29)</f>
        <v>#DIV/0!</v>
      </c>
      <c r="C7" s="22" t="e">
        <f>IF(第6期!BC$29=0,"",第6期!BC$29)</f>
        <v>#DIV/0!</v>
      </c>
      <c r="D7" s="22" t="e">
        <f>IF(第6期!BD$29=0,"",第6期!BD$29)</f>
        <v>#DIV/0!</v>
      </c>
      <c r="E7" s="22" t="e">
        <f>IF(第6期!BE$29=0,"",第6期!BE$29)</f>
        <v>#DIV/0!</v>
      </c>
      <c r="F7" s="22" t="e">
        <f>IF(第6期!BF$29=0,"",第6期!BF$29)</f>
        <v>#DIV/0!</v>
      </c>
      <c r="G7" s="22" t="e">
        <f>IF(第6期!BG$29=0,"",第6期!BG$29)</f>
        <v>#DIV/0!</v>
      </c>
      <c r="H7" s="22" t="e">
        <f>IF(第6期!BH$29=0,"",第6期!BH$29)</f>
        <v>#DIV/0!</v>
      </c>
      <c r="I7" s="22" t="e">
        <f>IF(第6期!BI$29=0,"",第6期!BI$29)</f>
        <v>#DIV/0!</v>
      </c>
      <c r="J7" s="22" t="e">
        <f>IF(第6期!BJ$29=0,"",第6期!BJ$29)</f>
        <v>#DIV/0!</v>
      </c>
      <c r="K7" s="22" t="e">
        <f>IF(第6期!BK$29=0,"",第6期!BK$29)</f>
        <v>#DIV/0!</v>
      </c>
      <c r="L7" s="22" t="e">
        <f>IF(第6期!BL$29=0,"",第6期!BL$29)</f>
        <v>#DIV/0!</v>
      </c>
      <c r="M7" s="22" t="e">
        <f>IF(第6期!BM$29=0,"",第6期!BM$29)</f>
        <v>#DIV/0!</v>
      </c>
      <c r="N7" s="22" t="e">
        <f>IF(第6期!BN$29=0,"",第6期!BN$29)</f>
        <v>#DIV/0!</v>
      </c>
      <c r="O7" s="22" t="e">
        <f>IF(第6期!BO$29=0,"",第6期!BO$29)</f>
        <v>#DIV/0!</v>
      </c>
      <c r="P7" s="22" t="e">
        <f>IF(第6期!BP$29=0,"",第6期!BP$29)</f>
        <v>#DIV/0!</v>
      </c>
      <c r="Q7" s="33" t="e">
        <f>IF(第6期!BQ$29=0,"",第6期!BQ$29)</f>
        <v>#DIV/0!</v>
      </c>
      <c r="U7" s="25" t="str">
        <f>$A$7</f>
        <v>第六期</v>
      </c>
      <c r="V7" s="22" t="e">
        <f>IF($B$7="","",B7)</f>
        <v>#DIV/0!</v>
      </c>
      <c r="W7" s="22" t="e">
        <f>IF($C$7="","",B19)</f>
        <v>#DIV/0!</v>
      </c>
      <c r="X7" s="34" t="e">
        <f>IF($D$7="",0,B31)</f>
        <v>#DIV/0!</v>
      </c>
      <c r="Y7" s="22" t="e">
        <f>IF($E$7="","",B43)</f>
        <v>#DIV/0!</v>
      </c>
      <c r="Z7" s="41" t="e">
        <f t="shared" si="0"/>
        <v>#DIV/0!</v>
      </c>
      <c r="AA7" s="22" t="e">
        <f t="shared" si="1"/>
        <v>#DIV/0!</v>
      </c>
      <c r="AB7" s="22" t="e">
        <f t="shared" si="2"/>
        <v>#DIV/0!</v>
      </c>
      <c r="AC7" s="22" t="e">
        <f>IF(X7=0,NA(),第6期!$BB$27)</f>
        <v>#DIV/0!</v>
      </c>
      <c r="AD7" s="22" t="s">
        <v>837</v>
      </c>
      <c r="AF7" s="33"/>
      <c r="AG7" s="47"/>
    </row>
    <row r="8" spans="1:33">
      <c r="A8" s="25" t="s">
        <v>838</v>
      </c>
      <c r="B8" s="22" t="e">
        <f>IF(第7期!BB$29=0,"",第7期!BB$29)</f>
        <v>#DIV/0!</v>
      </c>
      <c r="C8" s="22" t="e">
        <f>IF(第7期!BC$29=0,"",第7期!BC$29)</f>
        <v>#DIV/0!</v>
      </c>
      <c r="D8" s="22" t="e">
        <f>IF(第7期!BD$29=0,"",第7期!BD$29)</f>
        <v>#DIV/0!</v>
      </c>
      <c r="E8" s="22" t="e">
        <f>IF(第7期!BE$29=0,"",第7期!BE$29)</f>
        <v>#DIV/0!</v>
      </c>
      <c r="F8" s="22" t="e">
        <f>IF(第7期!BF$29=0,"",第7期!BF$29)</f>
        <v>#DIV/0!</v>
      </c>
      <c r="G8" s="22" t="e">
        <f>IF(第7期!BG$29=0,"",第7期!BG$29)</f>
        <v>#DIV/0!</v>
      </c>
      <c r="H8" s="22" t="e">
        <f>IF(第7期!BH$29=0,"",第7期!BH$29)</f>
        <v>#DIV/0!</v>
      </c>
      <c r="I8" s="22" t="e">
        <f>IF(第7期!BI$29=0,"",第7期!BI$29)</f>
        <v>#DIV/0!</v>
      </c>
      <c r="J8" s="22" t="e">
        <f>IF(第7期!BJ$29=0,"",第7期!BJ$29)</f>
        <v>#DIV/0!</v>
      </c>
      <c r="K8" s="22" t="e">
        <f>IF(第7期!BK$29=0,"",第7期!BK$29)</f>
        <v>#DIV/0!</v>
      </c>
      <c r="L8" s="22" t="e">
        <f>IF(第7期!BL$29=0,"",第7期!BL$29)</f>
        <v>#DIV/0!</v>
      </c>
      <c r="M8" s="22" t="e">
        <f>IF(第7期!BM$29=0,"",第7期!BM$29)</f>
        <v>#DIV/0!</v>
      </c>
      <c r="N8" s="22" t="e">
        <f>IF(第7期!BN$29=0,"",第7期!BN$29)</f>
        <v>#DIV/0!</v>
      </c>
      <c r="O8" s="22" t="e">
        <f>IF(第7期!BO$29=0,"",第7期!BO$29)</f>
        <v>#DIV/0!</v>
      </c>
      <c r="P8" s="22" t="e">
        <f>IF(第7期!BP$29=0,"",第7期!BP$29)</f>
        <v>#DIV/0!</v>
      </c>
      <c r="Q8" s="33" t="e">
        <f>IF(第7期!BQ$29=0,"",第7期!BQ$29)</f>
        <v>#DIV/0!</v>
      </c>
      <c r="U8" s="25" t="str">
        <f>$A$8</f>
        <v>第七期</v>
      </c>
      <c r="V8" s="22" t="e">
        <f>IF($B$8="","",B8)</f>
        <v>#DIV/0!</v>
      </c>
      <c r="W8" s="22" t="e">
        <f>IF($C$8="","",B20)</f>
        <v>#DIV/0!</v>
      </c>
      <c r="X8" s="34" t="e">
        <f>IF($D$8="",0,B32)</f>
        <v>#DIV/0!</v>
      </c>
      <c r="Y8" s="22" t="e">
        <f>IF($E$8="","",B44)</f>
        <v>#DIV/0!</v>
      </c>
      <c r="Z8" s="41" t="e">
        <f t="shared" si="0"/>
        <v>#DIV/0!</v>
      </c>
      <c r="AA8" s="22" t="e">
        <f t="shared" si="1"/>
        <v>#DIV/0!</v>
      </c>
      <c r="AB8" s="22" t="e">
        <f t="shared" si="2"/>
        <v>#DIV/0!</v>
      </c>
      <c r="AC8" s="22" t="e">
        <f>IF(X8=0,NA(),第7期!$BB$27)</f>
        <v>#DIV/0!</v>
      </c>
      <c r="AD8" s="22" t="s">
        <v>681</v>
      </c>
      <c r="AF8" s="33"/>
      <c r="AG8" s="47"/>
    </row>
    <row r="9" spans="1:33">
      <c r="A9" s="25" t="s">
        <v>839</v>
      </c>
      <c r="B9" s="22" t="e">
        <f>IF(第8期!BB$29=0,"",第8期!BB$29)</f>
        <v>#DIV/0!</v>
      </c>
      <c r="C9" s="22" t="e">
        <f>IF(第8期!BC$29=0,"",第8期!BC$29)</f>
        <v>#DIV/0!</v>
      </c>
      <c r="D9" s="22" t="e">
        <f>IF(第8期!BD$29=0,"",第8期!BD$29)</f>
        <v>#DIV/0!</v>
      </c>
      <c r="E9" s="22" t="e">
        <f>IF(第8期!BE$29=0,"",第8期!BE$29)</f>
        <v>#DIV/0!</v>
      </c>
      <c r="F9" s="22" t="e">
        <f>IF(第8期!BF$29=0,"",第8期!BF$29)</f>
        <v>#DIV/0!</v>
      </c>
      <c r="G9" s="22" t="e">
        <f>IF(第8期!BG$29=0,"",第8期!BG$29)</f>
        <v>#DIV/0!</v>
      </c>
      <c r="H9" s="22" t="e">
        <f>IF(第8期!BH$29=0,"",第8期!BH$29)</f>
        <v>#DIV/0!</v>
      </c>
      <c r="I9" s="22" t="e">
        <f>IF(第8期!BI$29=0,"",第8期!BI$29)</f>
        <v>#DIV/0!</v>
      </c>
      <c r="J9" s="22" t="e">
        <f>IF(第8期!BJ$29=0,"",第8期!BJ$29)</f>
        <v>#DIV/0!</v>
      </c>
      <c r="K9" s="22" t="e">
        <f>IF(第8期!BK$29=0,"",第8期!BK$29)</f>
        <v>#DIV/0!</v>
      </c>
      <c r="L9" s="22" t="e">
        <f>IF(第8期!BL$29=0,"",第8期!BL$29)</f>
        <v>#DIV/0!</v>
      </c>
      <c r="M9" s="22" t="e">
        <f>IF(第8期!BM$29=0,"",第8期!BM$29)</f>
        <v>#DIV/0!</v>
      </c>
      <c r="N9" s="22" t="e">
        <f>IF(第8期!BN$29=0,"",第8期!BN$29)</f>
        <v>#DIV/0!</v>
      </c>
      <c r="O9" s="22" t="e">
        <f>IF(第8期!BO$29=0,"",第8期!BO$29)</f>
        <v>#DIV/0!</v>
      </c>
      <c r="P9" s="22" t="e">
        <f>IF(第8期!BP$29=0,"",第8期!BP$29)</f>
        <v>#DIV/0!</v>
      </c>
      <c r="Q9" s="33" t="e">
        <f>IF(第8期!BQ$29=0,"",第8期!BQ$29)</f>
        <v>#DIV/0!</v>
      </c>
      <c r="U9" s="25" t="str">
        <f>$A$9</f>
        <v>第八期</v>
      </c>
      <c r="V9" s="22" t="e">
        <f>IF($B$9="","",B9)</f>
        <v>#DIV/0!</v>
      </c>
      <c r="W9" s="22" t="e">
        <f>IF($C$9="","",B21)</f>
        <v>#DIV/0!</v>
      </c>
      <c r="X9" s="34" t="e">
        <f>IF($D$9="",0,B33)</f>
        <v>#DIV/0!</v>
      </c>
      <c r="Y9" s="22" t="e">
        <f>IF($E$9="","",B45)</f>
        <v>#DIV/0!</v>
      </c>
      <c r="Z9" s="41" t="e">
        <f t="shared" si="0"/>
        <v>#DIV/0!</v>
      </c>
      <c r="AA9" s="22" t="e">
        <f t="shared" si="1"/>
        <v>#DIV/0!</v>
      </c>
      <c r="AB9" s="22" t="e">
        <f t="shared" si="2"/>
        <v>#DIV/0!</v>
      </c>
      <c r="AC9" s="22" t="e">
        <f>IF(X9=0,NA(),第8期!$BB$27)</f>
        <v>#DIV/0!</v>
      </c>
      <c r="AF9" s="33"/>
      <c r="AG9" s="47"/>
    </row>
    <row r="10" ht="14.25" spans="1:33">
      <c r="A10" s="26" t="s">
        <v>840</v>
      </c>
      <c r="B10" s="27" t="e">
        <f>IF(#REF!=0,"",#REF!)</f>
        <v>#REF!</v>
      </c>
      <c r="C10" s="27" t="e">
        <f>IF(#REF!=0,"",#REF!)</f>
        <v>#REF!</v>
      </c>
      <c r="D10" s="27" t="e">
        <f>IF(#REF!=0,"",#REF!)</f>
        <v>#REF!</v>
      </c>
      <c r="E10" s="27" t="e">
        <f>IF(#REF!=0,"",#REF!)</f>
        <v>#REF!</v>
      </c>
      <c r="F10" s="27" t="e">
        <f>IF(#REF!=0,"",#REF!)</f>
        <v>#REF!</v>
      </c>
      <c r="G10" s="27" t="e">
        <f>IF(#REF!=0,"",#REF!)</f>
        <v>#REF!</v>
      </c>
      <c r="H10" s="27" t="e">
        <f>IF(#REF!=0,"",#REF!)</f>
        <v>#REF!</v>
      </c>
      <c r="I10" s="27" t="e">
        <f>IF(#REF!=0,"",#REF!)</f>
        <v>#REF!</v>
      </c>
      <c r="J10" s="27" t="e">
        <f>IF(#REF!=0,"",#REF!)</f>
        <v>#REF!</v>
      </c>
      <c r="K10" s="27" t="e">
        <f>IF(#REF!=0,"",#REF!)</f>
        <v>#REF!</v>
      </c>
      <c r="L10" s="27" t="e">
        <f>IF(#REF!=0,"",#REF!)</f>
        <v>#REF!</v>
      </c>
      <c r="M10" s="27" t="e">
        <f>IF(#REF!=0,"",#REF!)</f>
        <v>#REF!</v>
      </c>
      <c r="N10" s="27" t="e">
        <f>IF(#REF!=0,"",#REF!)</f>
        <v>#REF!</v>
      </c>
      <c r="O10" s="27" t="e">
        <f>IF(#REF!=0,"",#REF!)</f>
        <v>#REF!</v>
      </c>
      <c r="P10" s="27" t="e">
        <f>IF(#REF!=0,"",#REF!)</f>
        <v>#REF!</v>
      </c>
      <c r="Q10" s="35" t="e">
        <f>IF(#REF!=0,"",#REF!)</f>
        <v>#REF!</v>
      </c>
      <c r="U10" s="26" t="str">
        <f>$A$10</f>
        <v>第九期</v>
      </c>
      <c r="V10" s="27" t="e">
        <f>IF($B$10="","",B10)</f>
        <v>#REF!</v>
      </c>
      <c r="W10" s="27" t="e">
        <f>IF($C$10="","",B22)</f>
        <v>#REF!</v>
      </c>
      <c r="X10" s="36" t="e">
        <f>IF($D$10="",0,B34)</f>
        <v>#REF!</v>
      </c>
      <c r="Y10" s="27" t="e">
        <f>IF($E$10="","",B46)</f>
        <v>#REF!</v>
      </c>
      <c r="Z10" s="44" t="e">
        <f t="shared" si="0"/>
        <v>#REF!</v>
      </c>
      <c r="AA10" s="27" t="e">
        <f t="shared" si="1"/>
        <v>#REF!</v>
      </c>
      <c r="AB10" s="27" t="e">
        <f t="shared" si="2"/>
        <v>#REF!</v>
      </c>
      <c r="AC10" s="22" t="e">
        <f>IF(X10=0,NA(),#REF!)</f>
        <v>#REF!</v>
      </c>
      <c r="AD10" s="27"/>
      <c r="AE10" s="27"/>
      <c r="AF10" s="35"/>
      <c r="AG10" s="47"/>
    </row>
    <row r="11" spans="21:33">
      <c r="U11" s="23" t="s">
        <v>841</v>
      </c>
      <c r="V11" s="24" t="s">
        <v>825</v>
      </c>
      <c r="W11" s="24" t="s">
        <v>826</v>
      </c>
      <c r="X11" s="24" t="s">
        <v>827</v>
      </c>
      <c r="Y11" s="24" t="s">
        <v>828</v>
      </c>
      <c r="Z11" s="24" t="s">
        <v>829</v>
      </c>
      <c r="AA11" s="24" t="s">
        <v>67</v>
      </c>
      <c r="AB11" s="24" t="s">
        <v>436</v>
      </c>
      <c r="AC11" s="24" t="s">
        <v>577</v>
      </c>
      <c r="AD11" s="24" t="s">
        <v>830</v>
      </c>
      <c r="AE11" s="24"/>
      <c r="AF11" s="32"/>
      <c r="AG11" s="47"/>
    </row>
    <row r="12" ht="14.25" spans="21:33">
      <c r="U12" s="25" t="str">
        <f>$A$2</f>
        <v>第一期</v>
      </c>
      <c r="V12" s="22" t="e">
        <f>IF(B2="","",C2)</f>
        <v>#DIV/0!</v>
      </c>
      <c r="W12" s="22" t="e">
        <f>IF(C2="","",C14)</f>
        <v>#DIV/0!</v>
      </c>
      <c r="X12" s="34" t="e">
        <f>IF(D2="",0,C26)</f>
        <v>#DIV/0!</v>
      </c>
      <c r="Y12" s="22" t="e">
        <f>IF(E2="","",C38)</f>
        <v>#DIV/0!</v>
      </c>
      <c r="Z12" s="41" t="e">
        <f>IF(F2="","",C50)</f>
        <v>#DIV/0!</v>
      </c>
      <c r="AA12" s="22" t="e">
        <f>IF(G2="","",C62)</f>
        <v>#DIV/0!</v>
      </c>
      <c r="AB12" s="22" t="e">
        <f>IF(H2="","",C74)</f>
        <v>#DIV/0!</v>
      </c>
      <c r="AC12" s="22" t="e">
        <f>IF(X12=0,NA(),第1期!$BC$27)</f>
        <v>#DIV/0!</v>
      </c>
      <c r="AD12" s="42"/>
      <c r="AE12" s="42"/>
      <c r="AF12" s="43"/>
      <c r="AG12" s="47"/>
    </row>
    <row r="13" spans="1:33">
      <c r="A13" s="23" t="s">
        <v>826</v>
      </c>
      <c r="B13" s="24" t="str">
        <f>B1</f>
        <v>A1</v>
      </c>
      <c r="C13" s="24" t="str">
        <f t="shared" ref="C13:Q13" si="3">C1</f>
        <v>A2</v>
      </c>
      <c r="D13" s="24" t="str">
        <f t="shared" si="3"/>
        <v>A3</v>
      </c>
      <c r="E13" s="24" t="str">
        <f t="shared" si="3"/>
        <v>A4</v>
      </c>
      <c r="F13" s="24" t="str">
        <f t="shared" si="3"/>
        <v>B1</v>
      </c>
      <c r="G13" s="24" t="str">
        <f t="shared" si="3"/>
        <v>B2</v>
      </c>
      <c r="H13" s="24" t="str">
        <f t="shared" si="3"/>
        <v>B3</v>
      </c>
      <c r="I13" s="24" t="str">
        <f t="shared" si="3"/>
        <v>B4</v>
      </c>
      <c r="J13" s="24" t="str">
        <f t="shared" si="3"/>
        <v>C1</v>
      </c>
      <c r="K13" s="24" t="str">
        <f t="shared" si="3"/>
        <v>C2</v>
      </c>
      <c r="L13" s="24" t="str">
        <f t="shared" si="3"/>
        <v>C3</v>
      </c>
      <c r="M13" s="24" t="str">
        <f t="shared" si="3"/>
        <v>C4</v>
      </c>
      <c r="N13" s="24" t="str">
        <f t="shared" si="3"/>
        <v>D1</v>
      </c>
      <c r="O13" s="24" t="str">
        <f t="shared" si="3"/>
        <v>D2</v>
      </c>
      <c r="P13" s="24" t="str">
        <f t="shared" si="3"/>
        <v>D3</v>
      </c>
      <c r="Q13" s="32" t="str">
        <f t="shared" si="3"/>
        <v>D4</v>
      </c>
      <c r="U13" s="25" t="str">
        <f>$A$3</f>
        <v>第二期</v>
      </c>
      <c r="V13" s="22" t="e">
        <f t="shared" ref="V13:V20" si="4">IF(B3="","",C3)</f>
        <v>#DIV/0!</v>
      </c>
      <c r="W13" s="22" t="e">
        <f t="shared" ref="W13:W20" si="5">IF(C3="","",C15)</f>
        <v>#DIV/0!</v>
      </c>
      <c r="X13" s="34" t="e">
        <f t="shared" ref="X13:X20" si="6">IF(D3="",0,C27)</f>
        <v>#DIV/0!</v>
      </c>
      <c r="Y13" s="22" t="e">
        <f t="shared" ref="Y13:Y20" si="7">IF(E3="","",C39)</f>
        <v>#DIV/0!</v>
      </c>
      <c r="Z13" s="41" t="e">
        <f t="shared" ref="Z13:Z20" si="8">IF(F3="","",C51)</f>
        <v>#DIV/0!</v>
      </c>
      <c r="AA13" s="22" t="e">
        <f t="shared" ref="AA13:AA20" si="9">IF(G3="","",C63)</f>
        <v>#DIV/0!</v>
      </c>
      <c r="AB13" s="22" t="e">
        <f t="shared" ref="AB13:AB20" si="10">IF(H3="","",C75)</f>
        <v>#DIV/0!</v>
      </c>
      <c r="AC13" s="22" t="e">
        <f>IF(X13=0,NA(),第2期!$BC$27)</f>
        <v>#DIV/0!</v>
      </c>
      <c r="AD13" s="42"/>
      <c r="AE13" s="42"/>
      <c r="AF13" s="43"/>
      <c r="AG13" s="47"/>
    </row>
    <row r="14" spans="1:33">
      <c r="A14" s="25" t="str">
        <f>A2</f>
        <v>第一期</v>
      </c>
      <c r="B14" s="22" t="e">
        <f>IF(B2="","",第1期!CK$5)</f>
        <v>#DIV/0!</v>
      </c>
      <c r="C14" s="22" t="e">
        <f>IF(C2="","",第1期!CL$5)</f>
        <v>#DIV/0!</v>
      </c>
      <c r="D14" s="22" t="e">
        <f>IF(D2="","",第1期!CM$5)</f>
        <v>#DIV/0!</v>
      </c>
      <c r="E14" s="22" t="e">
        <f>IF(E2="","",第1期!CN$5)</f>
        <v>#DIV/0!</v>
      </c>
      <c r="F14" s="22" t="e">
        <f>IF(F2="","",第1期!CO$5)</f>
        <v>#DIV/0!</v>
      </c>
      <c r="G14" s="22" t="e">
        <f>IF(G2="","",第1期!CP$5)</f>
        <v>#DIV/0!</v>
      </c>
      <c r="H14" s="22" t="e">
        <f>IF(H2="","",第1期!CQ$5)</f>
        <v>#DIV/0!</v>
      </c>
      <c r="I14" s="22" t="e">
        <f>IF(I2="","",第1期!CR$5)</f>
        <v>#DIV/0!</v>
      </c>
      <c r="J14" s="22" t="e">
        <f>IF(J2="","",第1期!CS$5)</f>
        <v>#DIV/0!</v>
      </c>
      <c r="K14" s="22" t="e">
        <f>IF(K2="","",第1期!CT$5)</f>
        <v>#DIV/0!</v>
      </c>
      <c r="L14" s="22" t="e">
        <f>IF(L2="","",第1期!CU$5)</f>
        <v>#DIV/0!</v>
      </c>
      <c r="M14" s="22" t="e">
        <f>IF(M2="","",第1期!CV$5)</f>
        <v>#DIV/0!</v>
      </c>
      <c r="N14" s="22" t="e">
        <f>IF(N2="","",第1期!CW$5)</f>
        <v>#DIV/0!</v>
      </c>
      <c r="O14" s="22" t="e">
        <f>IF(O2="","",第1期!CX$5)</f>
        <v>#DIV/0!</v>
      </c>
      <c r="P14" s="22" t="e">
        <f>IF(P2="","",第1期!CY$5)</f>
        <v>#DIV/0!</v>
      </c>
      <c r="Q14" s="33" t="e">
        <f>IF(Q2="","",第1期!CZ$5)</f>
        <v>#DIV/0!</v>
      </c>
      <c r="U14" s="25" t="str">
        <f>$A$4</f>
        <v>第三期</v>
      </c>
      <c r="V14" s="22" t="e">
        <f t="shared" si="4"/>
        <v>#DIV/0!</v>
      </c>
      <c r="W14" s="22" t="e">
        <f t="shared" si="5"/>
        <v>#DIV/0!</v>
      </c>
      <c r="X14" s="34" t="e">
        <f t="shared" si="6"/>
        <v>#DIV/0!</v>
      </c>
      <c r="Y14" s="22" t="e">
        <f t="shared" si="7"/>
        <v>#DIV/0!</v>
      </c>
      <c r="Z14" s="41" t="e">
        <f t="shared" si="8"/>
        <v>#DIV/0!</v>
      </c>
      <c r="AA14" s="22" t="e">
        <f t="shared" si="9"/>
        <v>#DIV/0!</v>
      </c>
      <c r="AB14" s="22" t="e">
        <f t="shared" si="10"/>
        <v>#DIV/0!</v>
      </c>
      <c r="AC14" s="22" t="e">
        <f>IF(X14=0,NA(),第3期!$BC$27)</f>
        <v>#DIV/0!</v>
      </c>
      <c r="AD14" s="42"/>
      <c r="AE14" s="42"/>
      <c r="AF14" s="43"/>
      <c r="AG14" s="47"/>
    </row>
    <row r="15" spans="1:33">
      <c r="A15" s="25" t="str">
        <f t="shared" ref="A15:A22" si="11">A3</f>
        <v>第二期</v>
      </c>
      <c r="B15" s="22" t="e">
        <f>IF(B3="","",第2期!CK$5)</f>
        <v>#DIV/0!</v>
      </c>
      <c r="C15" s="22" t="e">
        <f>IF(C3="","",第2期!CL$5)</f>
        <v>#DIV/0!</v>
      </c>
      <c r="D15" s="22" t="e">
        <f>IF(D3="","",第2期!CM$5)</f>
        <v>#DIV/0!</v>
      </c>
      <c r="E15" s="22" t="e">
        <f>IF(E3="","",第2期!CN$5)</f>
        <v>#DIV/0!</v>
      </c>
      <c r="F15" s="22" t="e">
        <f>IF(F3="","",第2期!CO$5)</f>
        <v>#DIV/0!</v>
      </c>
      <c r="G15" s="22" t="e">
        <f>IF(G3="","",第2期!CP$5)</f>
        <v>#DIV/0!</v>
      </c>
      <c r="H15" s="22" t="e">
        <f>IF(H3="","",第2期!CQ$5)</f>
        <v>#DIV/0!</v>
      </c>
      <c r="I15" s="22" t="e">
        <f>IF(I3="","",第2期!CR$5)</f>
        <v>#DIV/0!</v>
      </c>
      <c r="J15" s="22" t="e">
        <f>IF(J3="","",第2期!CS$5)</f>
        <v>#DIV/0!</v>
      </c>
      <c r="K15" s="22" t="e">
        <f>IF(K3="","",第2期!CT$5)</f>
        <v>#DIV/0!</v>
      </c>
      <c r="L15" s="22" t="e">
        <f>IF(L3="","",第2期!CU$5)</f>
        <v>#DIV/0!</v>
      </c>
      <c r="M15" s="22" t="e">
        <f>IF(M3="","",第2期!CV$5)</f>
        <v>#DIV/0!</v>
      </c>
      <c r="N15" s="22" t="e">
        <f>IF(N3="","",第2期!CW$5)</f>
        <v>#DIV/0!</v>
      </c>
      <c r="O15" s="22" t="e">
        <f>IF(O3="","",第2期!CX$5)</f>
        <v>#DIV/0!</v>
      </c>
      <c r="P15" s="22" t="e">
        <f>IF(P3="","",第2期!CY$5)</f>
        <v>#DIV/0!</v>
      </c>
      <c r="Q15" s="33" t="e">
        <f>IF(Q3="","",第2期!CZ$5)</f>
        <v>#DIV/0!</v>
      </c>
      <c r="U15" s="25" t="str">
        <f>$A$5</f>
        <v>第四期</v>
      </c>
      <c r="V15" s="22" t="e">
        <f t="shared" si="4"/>
        <v>#DIV/0!</v>
      </c>
      <c r="W15" s="22" t="e">
        <f t="shared" si="5"/>
        <v>#DIV/0!</v>
      </c>
      <c r="X15" s="34" t="e">
        <f t="shared" si="6"/>
        <v>#DIV/0!</v>
      </c>
      <c r="Y15" s="22" t="e">
        <f t="shared" si="7"/>
        <v>#DIV/0!</v>
      </c>
      <c r="Z15" s="41" t="e">
        <f t="shared" si="8"/>
        <v>#DIV/0!</v>
      </c>
      <c r="AA15" s="22" t="e">
        <f t="shared" si="9"/>
        <v>#DIV/0!</v>
      </c>
      <c r="AB15" s="22" t="e">
        <f t="shared" si="10"/>
        <v>#DIV/0!</v>
      </c>
      <c r="AC15" s="22" t="e">
        <f>IF(X15=0,NA(),第4期!$BC$27)</f>
        <v>#DIV/0!</v>
      </c>
      <c r="AD15" s="42"/>
      <c r="AE15" s="42"/>
      <c r="AF15" s="43"/>
      <c r="AG15" s="47"/>
    </row>
    <row r="16" spans="1:33">
      <c r="A16" s="25" t="str">
        <f t="shared" si="11"/>
        <v>第三期</v>
      </c>
      <c r="B16" s="22" t="e">
        <f>IF(B4="","",第3期!CK$5)</f>
        <v>#DIV/0!</v>
      </c>
      <c r="C16" s="22" t="e">
        <f>IF(C4="","",第3期!CL$5)</f>
        <v>#DIV/0!</v>
      </c>
      <c r="D16" s="22" t="e">
        <f>IF(D4="","",第3期!CM$5)</f>
        <v>#DIV/0!</v>
      </c>
      <c r="E16" s="22" t="e">
        <f>IF(E4="","",第3期!CN$5)</f>
        <v>#DIV/0!</v>
      </c>
      <c r="F16" s="22" t="e">
        <f>IF(F4="","",第3期!CO$5)</f>
        <v>#DIV/0!</v>
      </c>
      <c r="G16" s="22" t="e">
        <f>IF(G4="","",第3期!CP$5)</f>
        <v>#DIV/0!</v>
      </c>
      <c r="H16" s="22" t="e">
        <f>IF(H4="","",第3期!CQ$5)</f>
        <v>#DIV/0!</v>
      </c>
      <c r="I16" s="22" t="e">
        <f>IF(I4="","",第3期!CR$5)</f>
        <v>#DIV/0!</v>
      </c>
      <c r="J16" s="22" t="e">
        <f>IF(J4="","",第3期!CS$5)</f>
        <v>#DIV/0!</v>
      </c>
      <c r="K16" s="22" t="e">
        <f>IF(K4="","",第3期!CT$5)</f>
        <v>#DIV/0!</v>
      </c>
      <c r="L16" s="22" t="e">
        <f>IF(L4="","",第3期!CU$5)</f>
        <v>#DIV/0!</v>
      </c>
      <c r="M16" s="22" t="e">
        <f>IF(M4="","",第3期!CV$5)</f>
        <v>#DIV/0!</v>
      </c>
      <c r="N16" s="22" t="e">
        <f>IF(N4="","",第3期!CW$5)</f>
        <v>#DIV/0!</v>
      </c>
      <c r="O16" s="22" t="e">
        <f>IF(O4="","",第3期!CX$5)</f>
        <v>#DIV/0!</v>
      </c>
      <c r="P16" s="22" t="e">
        <f>IF(P4="","",第3期!CY$5)</f>
        <v>#DIV/0!</v>
      </c>
      <c r="Q16" s="33" t="e">
        <f>IF(Q4="","",第3期!CZ$5)</f>
        <v>#DIV/0!</v>
      </c>
      <c r="U16" s="25" t="str">
        <f>$A$6</f>
        <v>第五期</v>
      </c>
      <c r="V16" s="22" t="e">
        <f t="shared" si="4"/>
        <v>#DIV/0!</v>
      </c>
      <c r="W16" s="22" t="e">
        <f t="shared" si="5"/>
        <v>#DIV/0!</v>
      </c>
      <c r="X16" s="34" t="e">
        <f t="shared" si="6"/>
        <v>#DIV/0!</v>
      </c>
      <c r="Y16" s="22" t="e">
        <f t="shared" si="7"/>
        <v>#DIV/0!</v>
      </c>
      <c r="Z16" s="41" t="e">
        <f t="shared" si="8"/>
        <v>#DIV/0!</v>
      </c>
      <c r="AA16" s="22" t="e">
        <f t="shared" si="9"/>
        <v>#DIV/0!</v>
      </c>
      <c r="AB16" s="22" t="e">
        <f t="shared" si="10"/>
        <v>#DIV/0!</v>
      </c>
      <c r="AC16" s="22" t="e">
        <f>IF(X16=0,NA(),第5期!$BC$27)</f>
        <v>#DIV/0!</v>
      </c>
      <c r="AD16" s="42"/>
      <c r="AE16" s="42"/>
      <c r="AF16" s="43"/>
      <c r="AG16" s="47"/>
    </row>
    <row r="17" spans="1:33">
      <c r="A17" s="25" t="str">
        <f t="shared" si="11"/>
        <v>第四期</v>
      </c>
      <c r="B17" s="22" t="e">
        <f>IF(B5="","",第4期!CK$5)</f>
        <v>#DIV/0!</v>
      </c>
      <c r="C17" s="22" t="e">
        <f>IF(C5="","",第4期!CL$5)</f>
        <v>#DIV/0!</v>
      </c>
      <c r="D17" s="22" t="e">
        <f>IF(D5="","",第4期!CM$5)</f>
        <v>#DIV/0!</v>
      </c>
      <c r="E17" s="22" t="e">
        <f>IF(E5="","",第4期!CN$5)</f>
        <v>#DIV/0!</v>
      </c>
      <c r="F17" s="22" t="e">
        <f>IF(F5="","",第4期!CO$5)</f>
        <v>#DIV/0!</v>
      </c>
      <c r="G17" s="22" t="e">
        <f>IF(G5="","",第4期!CP$5)</f>
        <v>#DIV/0!</v>
      </c>
      <c r="H17" s="22" t="e">
        <f>IF(H5="","",第4期!CQ$5)</f>
        <v>#DIV/0!</v>
      </c>
      <c r="I17" s="22" t="e">
        <f>IF(I5="","",第4期!CR$5)</f>
        <v>#DIV/0!</v>
      </c>
      <c r="J17" s="22" t="e">
        <f>IF(J5="","",第4期!CS$5)</f>
        <v>#DIV/0!</v>
      </c>
      <c r="K17" s="22" t="e">
        <f>IF(K5="","",第4期!CT$5)</f>
        <v>#DIV/0!</v>
      </c>
      <c r="L17" s="22" t="e">
        <f>IF(L5="","",第4期!CU$5)</f>
        <v>#DIV/0!</v>
      </c>
      <c r="M17" s="22" t="e">
        <f>IF(M5="","",第4期!CV$5)</f>
        <v>#DIV/0!</v>
      </c>
      <c r="N17" s="22" t="e">
        <f>IF(N5="","",第4期!CW$5)</f>
        <v>#DIV/0!</v>
      </c>
      <c r="O17" s="22" t="e">
        <f>IF(O5="","",第4期!CX$5)</f>
        <v>#DIV/0!</v>
      </c>
      <c r="P17" s="22" t="e">
        <f>IF(P5="","",第4期!CY$5)</f>
        <v>#DIV/0!</v>
      </c>
      <c r="Q17" s="33" t="e">
        <f>IF(Q5="","",第4期!CZ$5)</f>
        <v>#DIV/0!</v>
      </c>
      <c r="U17" s="25" t="str">
        <f>$A$7</f>
        <v>第六期</v>
      </c>
      <c r="V17" s="22" t="e">
        <f t="shared" si="4"/>
        <v>#DIV/0!</v>
      </c>
      <c r="W17" s="22" t="e">
        <f t="shared" si="5"/>
        <v>#DIV/0!</v>
      </c>
      <c r="X17" s="34" t="e">
        <f t="shared" si="6"/>
        <v>#DIV/0!</v>
      </c>
      <c r="Y17" s="22" t="e">
        <f t="shared" si="7"/>
        <v>#DIV/0!</v>
      </c>
      <c r="Z17" s="41" t="e">
        <f t="shared" si="8"/>
        <v>#DIV/0!</v>
      </c>
      <c r="AA17" s="22" t="e">
        <f t="shared" si="9"/>
        <v>#DIV/0!</v>
      </c>
      <c r="AB17" s="22" t="e">
        <f t="shared" si="10"/>
        <v>#DIV/0!</v>
      </c>
      <c r="AC17" s="22" t="e">
        <f>IF(X17=0,NA(),第6期!$BC$27)</f>
        <v>#DIV/0!</v>
      </c>
      <c r="AD17" s="22" t="s">
        <v>837</v>
      </c>
      <c r="AF17" s="33"/>
      <c r="AG17" s="47"/>
    </row>
    <row r="18" spans="1:33">
      <c r="A18" s="25" t="str">
        <f t="shared" si="11"/>
        <v>第五期</v>
      </c>
      <c r="B18" s="22" t="e">
        <f>IF(B6="","",第5期!CK$5)</f>
        <v>#DIV/0!</v>
      </c>
      <c r="C18" s="22" t="e">
        <f>IF(C6="","",第5期!CL$5)</f>
        <v>#DIV/0!</v>
      </c>
      <c r="D18" s="22" t="e">
        <f>IF(D6="","",第5期!CM$5)</f>
        <v>#DIV/0!</v>
      </c>
      <c r="E18" s="22" t="e">
        <f>IF(E6="","",第5期!CN$5)</f>
        <v>#DIV/0!</v>
      </c>
      <c r="F18" s="22" t="e">
        <f>IF(F6="","",第5期!CO$5)</f>
        <v>#DIV/0!</v>
      </c>
      <c r="G18" s="22" t="e">
        <f>IF(G6="","",第5期!CP$5)</f>
        <v>#DIV/0!</v>
      </c>
      <c r="H18" s="22" t="e">
        <f>IF(H6="","",第5期!CQ$5)</f>
        <v>#DIV/0!</v>
      </c>
      <c r="I18" s="22" t="e">
        <f>IF(I6="","",第5期!CR$5)</f>
        <v>#DIV/0!</v>
      </c>
      <c r="J18" s="22" t="e">
        <f>IF(J6="","",第5期!CS$5)</f>
        <v>#DIV/0!</v>
      </c>
      <c r="K18" s="22" t="e">
        <f>IF(K6="","",第5期!CT$5)</f>
        <v>#DIV/0!</v>
      </c>
      <c r="L18" s="22" t="e">
        <f>IF(L6="","",第5期!CU$5)</f>
        <v>#DIV/0!</v>
      </c>
      <c r="M18" s="22" t="e">
        <f>IF(M6="","",第5期!CV$5)</f>
        <v>#DIV/0!</v>
      </c>
      <c r="N18" s="22" t="e">
        <f>IF(N6="","",第5期!CW$5)</f>
        <v>#DIV/0!</v>
      </c>
      <c r="O18" s="22" t="e">
        <f>IF(O6="","",第5期!CX$5)</f>
        <v>#DIV/0!</v>
      </c>
      <c r="P18" s="22" t="e">
        <f>IF(P6="","",第5期!CY$5)</f>
        <v>#DIV/0!</v>
      </c>
      <c r="Q18" s="33" t="e">
        <f>IF(Q6="","",第5期!CZ$5)</f>
        <v>#DIV/0!</v>
      </c>
      <c r="U18" s="25" t="str">
        <f>$A$8</f>
        <v>第七期</v>
      </c>
      <c r="V18" s="22" t="e">
        <f t="shared" si="4"/>
        <v>#DIV/0!</v>
      </c>
      <c r="W18" s="22" t="e">
        <f t="shared" si="5"/>
        <v>#DIV/0!</v>
      </c>
      <c r="X18" s="34" t="e">
        <f t="shared" si="6"/>
        <v>#DIV/0!</v>
      </c>
      <c r="Y18" s="22" t="e">
        <f t="shared" si="7"/>
        <v>#DIV/0!</v>
      </c>
      <c r="Z18" s="41" t="e">
        <f t="shared" si="8"/>
        <v>#DIV/0!</v>
      </c>
      <c r="AA18" s="22" t="e">
        <f t="shared" si="9"/>
        <v>#DIV/0!</v>
      </c>
      <c r="AB18" s="22" t="e">
        <f t="shared" si="10"/>
        <v>#DIV/0!</v>
      </c>
      <c r="AC18" s="22" t="e">
        <f>IF(X18=0,NA(),第7期!$BC$27)</f>
        <v>#DIV/0!</v>
      </c>
      <c r="AD18" s="22" t="s">
        <v>681</v>
      </c>
      <c r="AF18" s="33"/>
      <c r="AG18" s="47"/>
    </row>
    <row r="19" spans="1:33">
      <c r="A19" s="25" t="str">
        <f t="shared" si="11"/>
        <v>第六期</v>
      </c>
      <c r="B19" s="22" t="e">
        <f>IF(B7="","",第6期!CK$5)</f>
        <v>#DIV/0!</v>
      </c>
      <c r="C19" s="22" t="e">
        <f>IF(C7="","",第6期!CL$5)</f>
        <v>#DIV/0!</v>
      </c>
      <c r="D19" s="22" t="e">
        <f>IF(D7="","",第6期!CM$5)</f>
        <v>#DIV/0!</v>
      </c>
      <c r="E19" s="22" t="e">
        <f>IF(E7="","",第6期!CN$5)</f>
        <v>#DIV/0!</v>
      </c>
      <c r="F19" s="22" t="e">
        <f>IF(F7="","",第6期!CO$5)</f>
        <v>#DIV/0!</v>
      </c>
      <c r="G19" s="22" t="e">
        <f>IF(G7="","",第6期!CP$5)</f>
        <v>#DIV/0!</v>
      </c>
      <c r="H19" s="22" t="e">
        <f>IF(H7="","",第6期!CQ$5)</f>
        <v>#DIV/0!</v>
      </c>
      <c r="I19" s="22" t="e">
        <f>IF(I7="","",第6期!CR$5)</f>
        <v>#DIV/0!</v>
      </c>
      <c r="J19" s="22" t="e">
        <f>IF(J7="","",第6期!CS$5)</f>
        <v>#DIV/0!</v>
      </c>
      <c r="K19" s="22" t="e">
        <f>IF(K7="","",第6期!CT$5)</f>
        <v>#DIV/0!</v>
      </c>
      <c r="L19" s="22" t="e">
        <f>IF(L7="","",第6期!CU$5)</f>
        <v>#DIV/0!</v>
      </c>
      <c r="M19" s="22" t="e">
        <f>IF(M7="","",第6期!CV$5)</f>
        <v>#DIV/0!</v>
      </c>
      <c r="N19" s="22" t="e">
        <f>IF(N7="","",第6期!CW$5)</f>
        <v>#DIV/0!</v>
      </c>
      <c r="O19" s="22" t="e">
        <f>IF(O7="","",第6期!CX$5)</f>
        <v>#DIV/0!</v>
      </c>
      <c r="P19" s="22" t="e">
        <f>IF(P7="","",第6期!CY$5)</f>
        <v>#DIV/0!</v>
      </c>
      <c r="Q19" s="33" t="e">
        <f>IF(Q7="","",第6期!CZ$5)</f>
        <v>#DIV/0!</v>
      </c>
      <c r="U19" s="25" t="str">
        <f>$A$9</f>
        <v>第八期</v>
      </c>
      <c r="V19" s="22" t="e">
        <f t="shared" si="4"/>
        <v>#DIV/0!</v>
      </c>
      <c r="W19" s="22" t="e">
        <f t="shared" si="5"/>
        <v>#DIV/0!</v>
      </c>
      <c r="X19" s="34" t="e">
        <f t="shared" si="6"/>
        <v>#DIV/0!</v>
      </c>
      <c r="Y19" s="22" t="e">
        <f t="shared" si="7"/>
        <v>#DIV/0!</v>
      </c>
      <c r="Z19" s="41" t="e">
        <f t="shared" si="8"/>
        <v>#DIV/0!</v>
      </c>
      <c r="AA19" s="22" t="e">
        <f t="shared" si="9"/>
        <v>#DIV/0!</v>
      </c>
      <c r="AB19" s="22" t="e">
        <f t="shared" si="10"/>
        <v>#DIV/0!</v>
      </c>
      <c r="AC19" s="22" t="e">
        <f>IF(X19=0,NA(),第8期!$BC$27)</f>
        <v>#DIV/0!</v>
      </c>
      <c r="AF19" s="33"/>
      <c r="AG19" s="47"/>
    </row>
    <row r="20" ht="14.25" spans="1:33">
      <c r="A20" s="25" t="str">
        <f t="shared" si="11"/>
        <v>第七期</v>
      </c>
      <c r="B20" s="22" t="e">
        <f>IF(B8="","",第7期!CJ$5)</f>
        <v>#DIV/0!</v>
      </c>
      <c r="C20" s="22" t="e">
        <f>IF(C8="","",第7期!CK$5)</f>
        <v>#DIV/0!</v>
      </c>
      <c r="D20" s="22" t="e">
        <f>IF(D8="","",第7期!CL$5)</f>
        <v>#DIV/0!</v>
      </c>
      <c r="E20" s="22" t="e">
        <f>IF(E8="","",第7期!CM$5)</f>
        <v>#DIV/0!</v>
      </c>
      <c r="F20" s="22" t="e">
        <f>IF(F8="","",第7期!CN$5)</f>
        <v>#DIV/0!</v>
      </c>
      <c r="G20" s="22" t="e">
        <f>IF(G8="","",第7期!CO$5)</f>
        <v>#DIV/0!</v>
      </c>
      <c r="H20" s="22" t="e">
        <f>IF(H8="","",第7期!CP$5)</f>
        <v>#DIV/0!</v>
      </c>
      <c r="I20" s="22" t="e">
        <f>IF(I8="","",第7期!CQ$5)</f>
        <v>#DIV/0!</v>
      </c>
      <c r="J20" s="22" t="e">
        <f>IF(J8="","",第7期!CR$5)</f>
        <v>#DIV/0!</v>
      </c>
      <c r="K20" s="22" t="e">
        <f>IF(K8="","",第7期!CS$5)</f>
        <v>#DIV/0!</v>
      </c>
      <c r="L20" s="22" t="e">
        <f>IF(L8="","",第7期!CT$5)</f>
        <v>#DIV/0!</v>
      </c>
      <c r="M20" s="22" t="e">
        <f>IF(M8="","",第7期!CU$5)</f>
        <v>#DIV/0!</v>
      </c>
      <c r="N20" s="22" t="e">
        <f>IF(N8="","",第7期!CV$5)</f>
        <v>#DIV/0!</v>
      </c>
      <c r="O20" s="22" t="e">
        <f>IF(O8="","",第7期!CW$5)</f>
        <v>#DIV/0!</v>
      </c>
      <c r="P20" s="22" t="e">
        <f>IF(P8="","",第7期!CX$5)</f>
        <v>#DIV/0!</v>
      </c>
      <c r="Q20" s="33" t="e">
        <f>IF(Q8="","",第7期!CY$5)</f>
        <v>#DIV/0!</v>
      </c>
      <c r="U20" s="26" t="str">
        <f>$A$10</f>
        <v>第九期</v>
      </c>
      <c r="V20" s="27" t="e">
        <f t="shared" si="4"/>
        <v>#REF!</v>
      </c>
      <c r="W20" s="27" t="e">
        <f t="shared" si="5"/>
        <v>#REF!</v>
      </c>
      <c r="X20" s="34" t="e">
        <f t="shared" si="6"/>
        <v>#REF!</v>
      </c>
      <c r="Y20" s="27" t="e">
        <f t="shared" si="7"/>
        <v>#REF!</v>
      </c>
      <c r="Z20" s="44" t="e">
        <f t="shared" si="8"/>
        <v>#REF!</v>
      </c>
      <c r="AA20" s="27" t="e">
        <f t="shared" si="9"/>
        <v>#REF!</v>
      </c>
      <c r="AB20" s="27" t="e">
        <f t="shared" si="10"/>
        <v>#REF!</v>
      </c>
      <c r="AC20" s="22" t="e">
        <f>IF(X20=0,NA(),#REF!)</f>
        <v>#REF!</v>
      </c>
      <c r="AD20" s="27"/>
      <c r="AE20" s="27"/>
      <c r="AF20" s="35"/>
      <c r="AG20" s="47"/>
    </row>
    <row r="21" spans="1:33">
      <c r="A21" s="25" t="str">
        <f t="shared" si="11"/>
        <v>第八期</v>
      </c>
      <c r="B21" s="22" t="e">
        <f>IF(B9="","",第8期!CI$5)</f>
        <v>#DIV/0!</v>
      </c>
      <c r="C21" s="22" t="e">
        <f>IF(C9="","",第8期!CJ$5)</f>
        <v>#DIV/0!</v>
      </c>
      <c r="D21" s="22" t="e">
        <f>IF(D9="","",第8期!CK$5)</f>
        <v>#DIV/0!</v>
      </c>
      <c r="E21" s="22" t="e">
        <f>IF(E9="","",第8期!CL$5)</f>
        <v>#DIV/0!</v>
      </c>
      <c r="F21" s="22" t="e">
        <f>IF(F9="","",第8期!CM$5)</f>
        <v>#DIV/0!</v>
      </c>
      <c r="G21" s="22" t="e">
        <f>IF(G9="","",第8期!CN$5)</f>
        <v>#DIV/0!</v>
      </c>
      <c r="H21" s="22" t="e">
        <f>IF(H9="","",第8期!CO$5)</f>
        <v>#DIV/0!</v>
      </c>
      <c r="I21" s="22" t="e">
        <f>IF(I9="","",第8期!CP$5)</f>
        <v>#DIV/0!</v>
      </c>
      <c r="J21" s="22" t="e">
        <f>IF(J9="","",第8期!CQ$5)</f>
        <v>#DIV/0!</v>
      </c>
      <c r="K21" s="22" t="e">
        <f>IF(K9="","",第8期!CR$5)</f>
        <v>#DIV/0!</v>
      </c>
      <c r="L21" s="22" t="e">
        <f>IF(L9="","",第8期!CS$5)</f>
        <v>#DIV/0!</v>
      </c>
      <c r="M21" s="22" t="e">
        <f>IF(M9="","",第8期!CT$5)</f>
        <v>#DIV/0!</v>
      </c>
      <c r="N21" s="22" t="e">
        <f>IF(N9="","",第8期!CU$5)</f>
        <v>#DIV/0!</v>
      </c>
      <c r="O21" s="22" t="e">
        <f>IF(O9="","",第8期!CV$5)</f>
        <v>#DIV/0!</v>
      </c>
      <c r="P21" s="22" t="e">
        <f>IF(P9="","",第8期!CW$5)</f>
        <v>#DIV/0!</v>
      </c>
      <c r="Q21" s="33" t="e">
        <f>IF(Q9="","",第8期!CX$5)</f>
        <v>#DIV/0!</v>
      </c>
      <c r="U21" s="23" t="s">
        <v>842</v>
      </c>
      <c r="V21" s="24" t="s">
        <v>825</v>
      </c>
      <c r="W21" s="24" t="s">
        <v>826</v>
      </c>
      <c r="X21" s="24" t="s">
        <v>827</v>
      </c>
      <c r="Y21" s="24" t="s">
        <v>828</v>
      </c>
      <c r="Z21" s="24" t="s">
        <v>829</v>
      </c>
      <c r="AA21" s="24" t="s">
        <v>67</v>
      </c>
      <c r="AB21" s="24" t="s">
        <v>436</v>
      </c>
      <c r="AC21" s="24" t="s">
        <v>577</v>
      </c>
      <c r="AD21" s="24" t="s">
        <v>830</v>
      </c>
      <c r="AE21" s="24"/>
      <c r="AF21" s="32"/>
      <c r="AG21" s="47"/>
    </row>
    <row r="22" ht="14.25" spans="1:33">
      <c r="A22" s="26" t="str">
        <f t="shared" si="11"/>
        <v>第九期</v>
      </c>
      <c r="B22" s="27" t="e">
        <f>IF(B10="","",第1期!CK$5)</f>
        <v>#REF!</v>
      </c>
      <c r="C22" s="27" t="e">
        <f>IF(C10="","",第1期!CL$5)</f>
        <v>#REF!</v>
      </c>
      <c r="D22" s="27" t="e">
        <f>IF(D10="","",第1期!CM$5)</f>
        <v>#REF!</v>
      </c>
      <c r="E22" s="27" t="e">
        <f>IF(E10="","",第1期!CN$5)</f>
        <v>#REF!</v>
      </c>
      <c r="F22" s="27" t="e">
        <f>IF(F10="","",第1期!CO$5)</f>
        <v>#REF!</v>
      </c>
      <c r="G22" s="27" t="e">
        <f>IF(G10="","",第1期!CP$5)</f>
        <v>#REF!</v>
      </c>
      <c r="H22" s="27" t="e">
        <f>IF(H10="","",第1期!CQ$5)</f>
        <v>#REF!</v>
      </c>
      <c r="I22" s="27" t="e">
        <f>IF(I10="","",第1期!CR$5)</f>
        <v>#REF!</v>
      </c>
      <c r="J22" s="27" t="e">
        <f>IF(J10="","",第1期!CS$5)</f>
        <v>#REF!</v>
      </c>
      <c r="K22" s="27" t="e">
        <f>IF(K10="","",第1期!CT$5)</f>
        <v>#REF!</v>
      </c>
      <c r="L22" s="27" t="e">
        <f>IF(L10="","",第1期!CU$5)</f>
        <v>#REF!</v>
      </c>
      <c r="M22" s="27" t="e">
        <f>IF(M10="","",第1期!CV$5)</f>
        <v>#REF!</v>
      </c>
      <c r="N22" s="27" t="e">
        <f>IF(N10="","",第1期!CW$5)</f>
        <v>#REF!</v>
      </c>
      <c r="O22" s="27" t="e">
        <f>IF(O10="","",第1期!CX$5)</f>
        <v>#REF!</v>
      </c>
      <c r="P22" s="27" t="e">
        <f>IF(P10="","",第1期!CY$5)</f>
        <v>#REF!</v>
      </c>
      <c r="Q22" s="35" t="e">
        <f>IF(Q10="","",第1期!CZ$5)</f>
        <v>#REF!</v>
      </c>
      <c r="U22" s="25" t="str">
        <f>$A$2</f>
        <v>第一期</v>
      </c>
      <c r="V22" s="22" t="e">
        <f>IF(B2="","",D2)</f>
        <v>#DIV/0!</v>
      </c>
      <c r="W22" s="22" t="e">
        <f>IF(C2="","",D14)</f>
        <v>#DIV/0!</v>
      </c>
      <c r="X22" s="34" t="e">
        <f>IF(D2="",0,D26)</f>
        <v>#DIV/0!</v>
      </c>
      <c r="Y22" s="22" t="e">
        <f>IF(E2="","",D38)</f>
        <v>#DIV/0!</v>
      </c>
      <c r="Z22" s="41" t="e">
        <f>IF(F2="","",D50)</f>
        <v>#DIV/0!</v>
      </c>
      <c r="AA22" s="22" t="e">
        <f>IF(G2="","",D62)</f>
        <v>#DIV/0!</v>
      </c>
      <c r="AB22" s="22" t="e">
        <f>IF(H2="","",D74)</f>
        <v>#DIV/0!</v>
      </c>
      <c r="AC22" s="22" t="e">
        <f>IF(X22=0,NA(),第1期!$BD$27)</f>
        <v>#DIV/0!</v>
      </c>
      <c r="AD22" s="42"/>
      <c r="AE22" s="42"/>
      <c r="AF22" s="43"/>
      <c r="AG22" s="47"/>
    </row>
    <row r="23" spans="21:33">
      <c r="U23" s="25" t="str">
        <f>$A$3</f>
        <v>第二期</v>
      </c>
      <c r="V23" s="22" t="e">
        <f t="shared" ref="V23:V30" si="12">IF(B3="","",D3)</f>
        <v>#DIV/0!</v>
      </c>
      <c r="W23" s="22" t="e">
        <f t="shared" ref="W23:W30" si="13">IF(C3="","",D15)</f>
        <v>#DIV/0!</v>
      </c>
      <c r="X23" s="34" t="e">
        <f t="shared" ref="X23:X30" si="14">IF(D3="",0,D27)</f>
        <v>#DIV/0!</v>
      </c>
      <c r="Y23" s="22" t="e">
        <f t="shared" ref="Y23:Y30" si="15">IF(E3="","",D39)</f>
        <v>#DIV/0!</v>
      </c>
      <c r="Z23" s="41" t="e">
        <f t="shared" ref="Z23:Z30" si="16">IF(F3="","",D51)</f>
        <v>#DIV/0!</v>
      </c>
      <c r="AA23" s="22" t="e">
        <f t="shared" ref="AA23:AA30" si="17">IF(G3="","",D63)</f>
        <v>#DIV/0!</v>
      </c>
      <c r="AB23" s="22" t="e">
        <f t="shared" ref="AB23:AB30" si="18">IF(H3="","",D75)</f>
        <v>#DIV/0!</v>
      </c>
      <c r="AC23" s="22" t="e">
        <f>IF(X23=0,NA(),第2期!$BD$27)</f>
        <v>#DIV/0!</v>
      </c>
      <c r="AD23" s="42"/>
      <c r="AE23" s="42"/>
      <c r="AF23" s="43"/>
      <c r="AG23" s="47"/>
    </row>
    <row r="24" ht="14.25" spans="21:33">
      <c r="U24" s="25" t="str">
        <f>$A$4</f>
        <v>第三期</v>
      </c>
      <c r="V24" s="22" t="e">
        <f t="shared" si="12"/>
        <v>#DIV/0!</v>
      </c>
      <c r="W24" s="22" t="e">
        <f t="shared" si="13"/>
        <v>#DIV/0!</v>
      </c>
      <c r="X24" s="34" t="e">
        <f t="shared" si="14"/>
        <v>#DIV/0!</v>
      </c>
      <c r="Y24" s="22" t="e">
        <f t="shared" si="15"/>
        <v>#DIV/0!</v>
      </c>
      <c r="Z24" s="41" t="e">
        <f t="shared" si="16"/>
        <v>#DIV/0!</v>
      </c>
      <c r="AA24" s="22" t="e">
        <f t="shared" si="17"/>
        <v>#DIV/0!</v>
      </c>
      <c r="AB24" s="22" t="e">
        <f t="shared" si="18"/>
        <v>#DIV/0!</v>
      </c>
      <c r="AC24" s="22" t="e">
        <f>IF(X24=0,NA(),第3期!$BD$27)</f>
        <v>#DIV/0!</v>
      </c>
      <c r="AD24" s="42"/>
      <c r="AE24" s="42"/>
      <c r="AF24" s="43"/>
      <c r="AG24" s="47"/>
    </row>
    <row r="25" spans="1:33">
      <c r="A25" s="23" t="s">
        <v>827</v>
      </c>
      <c r="B25" s="24" t="str">
        <f>B13</f>
        <v>A1</v>
      </c>
      <c r="C25" s="24" t="str">
        <f t="shared" ref="C25:Q25" si="19">C13</f>
        <v>A2</v>
      </c>
      <c r="D25" s="24" t="str">
        <f t="shared" si="19"/>
        <v>A3</v>
      </c>
      <c r="E25" s="24" t="str">
        <f t="shared" si="19"/>
        <v>A4</v>
      </c>
      <c r="F25" s="24" t="str">
        <f t="shared" si="19"/>
        <v>B1</v>
      </c>
      <c r="G25" s="24" t="str">
        <f t="shared" si="19"/>
        <v>B2</v>
      </c>
      <c r="H25" s="24" t="str">
        <f t="shared" si="19"/>
        <v>B3</v>
      </c>
      <c r="I25" s="24" t="str">
        <f t="shared" si="19"/>
        <v>B4</v>
      </c>
      <c r="J25" s="24" t="str">
        <f t="shared" si="19"/>
        <v>C1</v>
      </c>
      <c r="K25" s="24" t="str">
        <f t="shared" si="19"/>
        <v>C2</v>
      </c>
      <c r="L25" s="24" t="str">
        <f t="shared" si="19"/>
        <v>C3</v>
      </c>
      <c r="M25" s="24" t="str">
        <f t="shared" si="19"/>
        <v>C4</v>
      </c>
      <c r="N25" s="24" t="str">
        <f t="shared" si="19"/>
        <v>D1</v>
      </c>
      <c r="O25" s="24" t="str">
        <f t="shared" si="19"/>
        <v>D2</v>
      </c>
      <c r="P25" s="24" t="str">
        <f t="shared" si="19"/>
        <v>D3</v>
      </c>
      <c r="Q25" s="32" t="str">
        <f t="shared" si="19"/>
        <v>D4</v>
      </c>
      <c r="U25" s="25" t="str">
        <f>$A$5</f>
        <v>第四期</v>
      </c>
      <c r="V25" s="22" t="e">
        <f t="shared" si="12"/>
        <v>#DIV/0!</v>
      </c>
      <c r="W25" s="22" t="e">
        <f t="shared" si="13"/>
        <v>#DIV/0!</v>
      </c>
      <c r="X25" s="34" t="e">
        <f t="shared" si="14"/>
        <v>#DIV/0!</v>
      </c>
      <c r="Y25" s="22" t="e">
        <f t="shared" si="15"/>
        <v>#DIV/0!</v>
      </c>
      <c r="Z25" s="41" t="e">
        <f t="shared" si="16"/>
        <v>#DIV/0!</v>
      </c>
      <c r="AA25" s="22" t="e">
        <f t="shared" si="17"/>
        <v>#DIV/0!</v>
      </c>
      <c r="AB25" s="22" t="e">
        <f t="shared" si="18"/>
        <v>#DIV/0!</v>
      </c>
      <c r="AC25" s="22" t="e">
        <f>IF(X25=0,NA(),第4期!$BD$27)</f>
        <v>#DIV/0!</v>
      </c>
      <c r="AD25" s="42"/>
      <c r="AE25" s="42"/>
      <c r="AF25" s="43"/>
      <c r="AG25" s="47"/>
    </row>
    <row r="26" spans="1:33">
      <c r="A26" s="25" t="str">
        <f>A14</f>
        <v>第一期</v>
      </c>
      <c r="B26" s="28" t="e">
        <f>IF(B2="","",第1期!BB$28)</f>
        <v>#DIV/0!</v>
      </c>
      <c r="C26" s="28" t="e">
        <f>IF(C2="","",第1期!BC$28)</f>
        <v>#DIV/0!</v>
      </c>
      <c r="D26" s="28" t="e">
        <f>IF(D2="","",第1期!BD$28)</f>
        <v>#DIV/0!</v>
      </c>
      <c r="E26" s="28" t="e">
        <f>IF(E2="","",第1期!BE$28)</f>
        <v>#DIV/0!</v>
      </c>
      <c r="F26" s="28" t="e">
        <f>IF(F2="","",第1期!BF$28)</f>
        <v>#DIV/0!</v>
      </c>
      <c r="G26" s="28" t="e">
        <f>IF(G2="","",第1期!BG$28)</f>
        <v>#DIV/0!</v>
      </c>
      <c r="H26" s="28" t="e">
        <f>IF(H2="","",第1期!BH$28)</f>
        <v>#DIV/0!</v>
      </c>
      <c r="I26" s="28" t="e">
        <f>IF(I2="","",第1期!BI$28)</f>
        <v>#DIV/0!</v>
      </c>
      <c r="J26" s="28" t="e">
        <f>IF(J2="","",第1期!BJ$28)</f>
        <v>#DIV/0!</v>
      </c>
      <c r="K26" s="28" t="e">
        <f>IF(K2="","",第1期!BK$28)</f>
        <v>#DIV/0!</v>
      </c>
      <c r="L26" s="28" t="e">
        <f>IF(L2="","",第1期!BL$28)</f>
        <v>#DIV/0!</v>
      </c>
      <c r="M26" s="28" t="e">
        <f>IF(M2="","",第1期!BM$28)</f>
        <v>#DIV/0!</v>
      </c>
      <c r="N26" s="28" t="e">
        <f>IF(N2="","",第1期!BN$28)</f>
        <v>#DIV/0!</v>
      </c>
      <c r="O26" s="28" t="e">
        <f>IF(O2="","",第1期!BO$28)</f>
        <v>#DIV/0!</v>
      </c>
      <c r="P26" s="28" t="e">
        <f>IF(P2="","",第1期!BP$28)</f>
        <v>#DIV/0!</v>
      </c>
      <c r="Q26" s="37" t="e">
        <f>IF(Q2="","",第1期!BQ$28)</f>
        <v>#DIV/0!</v>
      </c>
      <c r="U26" s="25" t="str">
        <f>$A$6</f>
        <v>第五期</v>
      </c>
      <c r="V26" s="22" t="e">
        <f t="shared" si="12"/>
        <v>#DIV/0!</v>
      </c>
      <c r="W26" s="22" t="e">
        <f t="shared" si="13"/>
        <v>#DIV/0!</v>
      </c>
      <c r="X26" s="34" t="e">
        <f t="shared" si="14"/>
        <v>#DIV/0!</v>
      </c>
      <c r="Y26" s="22" t="e">
        <f t="shared" si="15"/>
        <v>#DIV/0!</v>
      </c>
      <c r="Z26" s="41" t="e">
        <f t="shared" si="16"/>
        <v>#DIV/0!</v>
      </c>
      <c r="AA26" s="22" t="e">
        <f t="shared" si="17"/>
        <v>#DIV/0!</v>
      </c>
      <c r="AB26" s="22" t="e">
        <f t="shared" si="18"/>
        <v>#DIV/0!</v>
      </c>
      <c r="AC26" s="22" t="e">
        <f>IF(X26=0,NA(),第5期!$BD$27)</f>
        <v>#DIV/0!</v>
      </c>
      <c r="AD26" s="42"/>
      <c r="AE26" s="42"/>
      <c r="AF26" s="43"/>
      <c r="AG26" s="47"/>
    </row>
    <row r="27" spans="1:33">
      <c r="A27" s="25" t="str">
        <f t="shared" ref="A27:A34" si="20">A15</f>
        <v>第二期</v>
      </c>
      <c r="B27" s="28" t="e">
        <f>IF(B3="","",第2期!BB$28)</f>
        <v>#DIV/0!</v>
      </c>
      <c r="C27" s="28" t="e">
        <f>IF(C3="","",第2期!BC$28)</f>
        <v>#DIV/0!</v>
      </c>
      <c r="D27" s="28" t="e">
        <f>IF(D3="","",第2期!BD$28)</f>
        <v>#DIV/0!</v>
      </c>
      <c r="E27" s="28" t="e">
        <f>IF(E3="","",第2期!BE$28)</f>
        <v>#DIV/0!</v>
      </c>
      <c r="F27" s="28" t="e">
        <f>IF(F3="","",第2期!BF$28)</f>
        <v>#DIV/0!</v>
      </c>
      <c r="G27" s="28" t="e">
        <f>IF(G3="","",第2期!BG$28)</f>
        <v>#DIV/0!</v>
      </c>
      <c r="H27" s="28" t="e">
        <f>IF(H3="","",第2期!BH$28)</f>
        <v>#DIV/0!</v>
      </c>
      <c r="I27" s="28" t="e">
        <f>IF(I3="","",第2期!BI$28)</f>
        <v>#DIV/0!</v>
      </c>
      <c r="J27" s="28" t="e">
        <f>IF(J3="","",第2期!BJ$28)</f>
        <v>#DIV/0!</v>
      </c>
      <c r="K27" s="28" t="e">
        <f>IF(K3="","",第2期!BK$28)</f>
        <v>#DIV/0!</v>
      </c>
      <c r="L27" s="28" t="e">
        <f>IF(L3="","",第2期!BL$28)</f>
        <v>#DIV/0!</v>
      </c>
      <c r="M27" s="28" t="e">
        <f>IF(M3="","",第2期!BM$28)</f>
        <v>#DIV/0!</v>
      </c>
      <c r="N27" s="28" t="e">
        <f>IF(N3="","",第2期!BN$28)</f>
        <v>#DIV/0!</v>
      </c>
      <c r="O27" s="28" t="e">
        <f>IF(O3="","",第2期!BO$28)</f>
        <v>#DIV/0!</v>
      </c>
      <c r="P27" s="28" t="e">
        <f>IF(P3="","",第2期!BP$28)</f>
        <v>#DIV/0!</v>
      </c>
      <c r="Q27" s="37" t="e">
        <f>IF(Q3="","",第2期!BQ$28)</f>
        <v>#DIV/0!</v>
      </c>
      <c r="U27" s="25" t="str">
        <f>$A$7</f>
        <v>第六期</v>
      </c>
      <c r="V27" s="22" t="e">
        <f t="shared" si="12"/>
        <v>#DIV/0!</v>
      </c>
      <c r="W27" s="22" t="e">
        <f t="shared" si="13"/>
        <v>#DIV/0!</v>
      </c>
      <c r="X27" s="34" t="e">
        <f t="shared" si="14"/>
        <v>#DIV/0!</v>
      </c>
      <c r="Y27" s="22" t="e">
        <f t="shared" si="15"/>
        <v>#DIV/0!</v>
      </c>
      <c r="Z27" s="41" t="e">
        <f t="shared" si="16"/>
        <v>#DIV/0!</v>
      </c>
      <c r="AA27" s="22" t="e">
        <f t="shared" si="17"/>
        <v>#DIV/0!</v>
      </c>
      <c r="AB27" s="22" t="e">
        <f t="shared" si="18"/>
        <v>#DIV/0!</v>
      </c>
      <c r="AC27" s="22" t="e">
        <f>IF(X27=0,NA(),第6期!$BD$27)</f>
        <v>#DIV/0!</v>
      </c>
      <c r="AD27" s="22" t="s">
        <v>837</v>
      </c>
      <c r="AF27" s="33"/>
      <c r="AG27" s="47"/>
    </row>
    <row r="28" spans="1:33">
      <c r="A28" s="25" t="str">
        <f t="shared" si="20"/>
        <v>第三期</v>
      </c>
      <c r="B28" s="28" t="e">
        <f>IF(B4="","",第3期!BB$28)</f>
        <v>#DIV/0!</v>
      </c>
      <c r="C28" s="28" t="e">
        <f>IF(C4="","",第3期!BC$28)</f>
        <v>#DIV/0!</v>
      </c>
      <c r="D28" s="28" t="e">
        <f>IF(D4="","",第3期!BD$28)</f>
        <v>#DIV/0!</v>
      </c>
      <c r="E28" s="28" t="e">
        <f>IF(E4="","",第3期!BE$28)</f>
        <v>#DIV/0!</v>
      </c>
      <c r="F28" s="28" t="e">
        <f>IF(F4="","",第3期!BF$28)</f>
        <v>#DIV/0!</v>
      </c>
      <c r="G28" s="28" t="e">
        <f>IF(G4="","",第3期!BG$28)</f>
        <v>#DIV/0!</v>
      </c>
      <c r="H28" s="28" t="e">
        <f>IF(H4="","",第3期!BH$28)</f>
        <v>#DIV/0!</v>
      </c>
      <c r="I28" s="28" t="e">
        <f>IF(I4="","",第3期!BI$28)</f>
        <v>#DIV/0!</v>
      </c>
      <c r="J28" s="28" t="e">
        <f>IF(J4="","",第3期!BJ$28)</f>
        <v>#DIV/0!</v>
      </c>
      <c r="K28" s="28" t="e">
        <f>IF(K4="","",第3期!BK$28)</f>
        <v>#DIV/0!</v>
      </c>
      <c r="L28" s="28" t="e">
        <f>IF(L4="","",第3期!BL$28)</f>
        <v>#DIV/0!</v>
      </c>
      <c r="M28" s="28" t="e">
        <f>IF(M4="","",第3期!BM$28)</f>
        <v>#DIV/0!</v>
      </c>
      <c r="N28" s="28" t="e">
        <f>IF(N4="","",第3期!BN$28)</f>
        <v>#DIV/0!</v>
      </c>
      <c r="O28" s="28" t="e">
        <f>IF(O4="","",第3期!BO$28)</f>
        <v>#DIV/0!</v>
      </c>
      <c r="P28" s="28" t="e">
        <f>IF(P4="","",第3期!BP$28)</f>
        <v>#DIV/0!</v>
      </c>
      <c r="Q28" s="37" t="e">
        <f>IF(Q4="","",第3期!BQ$28)</f>
        <v>#DIV/0!</v>
      </c>
      <c r="U28" s="25" t="str">
        <f>$A$8</f>
        <v>第七期</v>
      </c>
      <c r="V28" s="22" t="e">
        <f t="shared" si="12"/>
        <v>#DIV/0!</v>
      </c>
      <c r="W28" s="22" t="e">
        <f t="shared" si="13"/>
        <v>#DIV/0!</v>
      </c>
      <c r="X28" s="34" t="e">
        <f t="shared" si="14"/>
        <v>#DIV/0!</v>
      </c>
      <c r="Y28" s="22" t="e">
        <f t="shared" si="15"/>
        <v>#DIV/0!</v>
      </c>
      <c r="Z28" s="41" t="e">
        <f t="shared" si="16"/>
        <v>#DIV/0!</v>
      </c>
      <c r="AA28" s="22" t="e">
        <f t="shared" si="17"/>
        <v>#DIV/0!</v>
      </c>
      <c r="AB28" s="22" t="e">
        <f t="shared" si="18"/>
        <v>#DIV/0!</v>
      </c>
      <c r="AC28" s="22" t="e">
        <f>IF(X28=0,NA(),第7期!$BD$27)</f>
        <v>#DIV/0!</v>
      </c>
      <c r="AD28" s="22" t="s">
        <v>681</v>
      </c>
      <c r="AF28" s="33"/>
      <c r="AG28" s="47"/>
    </row>
    <row r="29" spans="1:33">
      <c r="A29" s="25" t="str">
        <f t="shared" si="20"/>
        <v>第四期</v>
      </c>
      <c r="B29" s="28" t="e">
        <f>IF(B5="","",第4期!BB$28)</f>
        <v>#DIV/0!</v>
      </c>
      <c r="C29" s="28" t="e">
        <f>IF(C5="","",第4期!BC$28)</f>
        <v>#DIV/0!</v>
      </c>
      <c r="D29" s="28" t="e">
        <f>IF(D5="","",第4期!BD$28)</f>
        <v>#DIV/0!</v>
      </c>
      <c r="E29" s="28" t="e">
        <f>IF(E5="","",第4期!BE$28)</f>
        <v>#DIV/0!</v>
      </c>
      <c r="F29" s="28" t="e">
        <f>IF(F5="","",第4期!BF$28)</f>
        <v>#DIV/0!</v>
      </c>
      <c r="G29" s="28" t="e">
        <f>IF(G5="","",第4期!BG$28)</f>
        <v>#DIV/0!</v>
      </c>
      <c r="H29" s="28" t="e">
        <f>IF(H5="","",第4期!BH$28)</f>
        <v>#DIV/0!</v>
      </c>
      <c r="I29" s="28" t="e">
        <f>IF(I5="","",第4期!BI$28)</f>
        <v>#DIV/0!</v>
      </c>
      <c r="J29" s="28" t="e">
        <f>IF(J5="","",第4期!BJ$28)</f>
        <v>#DIV/0!</v>
      </c>
      <c r="K29" s="28" t="e">
        <f>IF(K5="","",第4期!BK$28)</f>
        <v>#DIV/0!</v>
      </c>
      <c r="L29" s="28" t="e">
        <f>IF(L5="","",第4期!BL$28)</f>
        <v>#DIV/0!</v>
      </c>
      <c r="M29" s="28" t="e">
        <f>IF(M5="","",第4期!BM$28)</f>
        <v>#DIV/0!</v>
      </c>
      <c r="N29" s="28" t="e">
        <f>IF(N5="","",第4期!BN$28)</f>
        <v>#DIV/0!</v>
      </c>
      <c r="O29" s="28" t="e">
        <f>IF(O5="","",第4期!BO$28)</f>
        <v>#DIV/0!</v>
      </c>
      <c r="P29" s="28" t="e">
        <f>IF(P5="","",第4期!BP$28)</f>
        <v>#DIV/0!</v>
      </c>
      <c r="Q29" s="37" t="e">
        <f>IF(Q5="","",第4期!BQ$28)</f>
        <v>#DIV/0!</v>
      </c>
      <c r="U29" s="25" t="str">
        <f>$A$9</f>
        <v>第八期</v>
      </c>
      <c r="V29" s="22" t="e">
        <f t="shared" si="12"/>
        <v>#DIV/0!</v>
      </c>
      <c r="W29" s="22" t="e">
        <f t="shared" si="13"/>
        <v>#DIV/0!</v>
      </c>
      <c r="X29" s="34" t="e">
        <f t="shared" si="14"/>
        <v>#DIV/0!</v>
      </c>
      <c r="Y29" s="22" t="e">
        <f t="shared" si="15"/>
        <v>#DIV/0!</v>
      </c>
      <c r="Z29" s="41" t="e">
        <f t="shared" si="16"/>
        <v>#DIV/0!</v>
      </c>
      <c r="AA29" s="22" t="e">
        <f t="shared" si="17"/>
        <v>#DIV/0!</v>
      </c>
      <c r="AB29" s="22" t="e">
        <f t="shared" si="18"/>
        <v>#DIV/0!</v>
      </c>
      <c r="AC29" s="22" t="e">
        <f>IF(X29=0,NA(),第8期!$BD$27)</f>
        <v>#DIV/0!</v>
      </c>
      <c r="AF29" s="33"/>
      <c r="AG29" s="47"/>
    </row>
    <row r="30" ht="14.25" spans="1:33">
      <c r="A30" s="25" t="str">
        <f t="shared" si="20"/>
        <v>第五期</v>
      </c>
      <c r="B30" s="28" t="e">
        <f>IF(B6="","",第5期!BB$28)</f>
        <v>#DIV/0!</v>
      </c>
      <c r="C30" s="28" t="e">
        <f>IF(C6="","",第5期!BC$28)</f>
        <v>#DIV/0!</v>
      </c>
      <c r="D30" s="28" t="e">
        <f>IF(D6="","",第5期!BD$28)</f>
        <v>#DIV/0!</v>
      </c>
      <c r="E30" s="28" t="e">
        <f>IF(E6="","",第5期!BE$28)</f>
        <v>#DIV/0!</v>
      </c>
      <c r="F30" s="28" t="e">
        <f>IF(F6="","",第5期!BF$28)</f>
        <v>#DIV/0!</v>
      </c>
      <c r="G30" s="28" t="e">
        <f>IF(G6="","",第5期!BG$28)</f>
        <v>#DIV/0!</v>
      </c>
      <c r="H30" s="28" t="e">
        <f>IF(H6="","",第5期!BH$28)</f>
        <v>#DIV/0!</v>
      </c>
      <c r="I30" s="28" t="e">
        <f>IF(I6="","",第5期!BI$28)</f>
        <v>#DIV/0!</v>
      </c>
      <c r="J30" s="28" t="e">
        <f>IF(J6="","",第5期!BJ$28)</f>
        <v>#DIV/0!</v>
      </c>
      <c r="K30" s="28" t="e">
        <f>IF(K6="","",第5期!BK$28)</f>
        <v>#DIV/0!</v>
      </c>
      <c r="L30" s="28" t="e">
        <f>IF(L6="","",第5期!BL$28)</f>
        <v>#DIV/0!</v>
      </c>
      <c r="M30" s="28" t="e">
        <f>IF(M6="","",第5期!BM$28)</f>
        <v>#DIV/0!</v>
      </c>
      <c r="N30" s="28" t="e">
        <f>IF(N6="","",第5期!BN$28)</f>
        <v>#DIV/0!</v>
      </c>
      <c r="O30" s="28" t="e">
        <f>IF(O6="","",第5期!BO$28)</f>
        <v>#DIV/0!</v>
      </c>
      <c r="P30" s="28" t="e">
        <f>IF(P6="","",第5期!BP$28)</f>
        <v>#DIV/0!</v>
      </c>
      <c r="Q30" s="37" t="e">
        <f>IF(Q6="","",第5期!BQ$28)</f>
        <v>#DIV/0!</v>
      </c>
      <c r="U30" s="26" t="str">
        <f>$A$10</f>
        <v>第九期</v>
      </c>
      <c r="V30" s="27" t="e">
        <f t="shared" si="12"/>
        <v>#REF!</v>
      </c>
      <c r="W30" s="27" t="e">
        <f t="shared" si="13"/>
        <v>#REF!</v>
      </c>
      <c r="X30" s="34" t="e">
        <f t="shared" si="14"/>
        <v>#REF!</v>
      </c>
      <c r="Y30" s="27" t="e">
        <f t="shared" si="15"/>
        <v>#REF!</v>
      </c>
      <c r="Z30" s="44" t="e">
        <f t="shared" si="16"/>
        <v>#REF!</v>
      </c>
      <c r="AA30" s="27" t="e">
        <f t="shared" si="17"/>
        <v>#REF!</v>
      </c>
      <c r="AB30" s="27" t="e">
        <f t="shared" si="18"/>
        <v>#REF!</v>
      </c>
      <c r="AC30" s="22" t="e">
        <f>IF(X30=0,NA(),#REF!)</f>
        <v>#REF!</v>
      </c>
      <c r="AD30" s="27"/>
      <c r="AE30" s="27"/>
      <c r="AF30" s="35"/>
      <c r="AG30" s="47"/>
    </row>
    <row r="31" spans="1:33">
      <c r="A31" s="25" t="str">
        <f t="shared" si="20"/>
        <v>第六期</v>
      </c>
      <c r="B31" s="28" t="e">
        <f>IF(B7="","",第6期!BB$28)</f>
        <v>#DIV/0!</v>
      </c>
      <c r="C31" s="28" t="e">
        <f>IF(C7="","",第6期!BC$28)</f>
        <v>#DIV/0!</v>
      </c>
      <c r="D31" s="28" t="e">
        <f>IF(D7="","",第6期!BD$28)</f>
        <v>#DIV/0!</v>
      </c>
      <c r="E31" s="28" t="e">
        <f>IF(E7="","",第6期!BE$28)</f>
        <v>#DIV/0!</v>
      </c>
      <c r="F31" s="28" t="e">
        <f>IF(F7="","",第6期!BF$28)</f>
        <v>#DIV/0!</v>
      </c>
      <c r="G31" s="28" t="e">
        <f>IF(G7="","",第6期!BG$28)</f>
        <v>#DIV/0!</v>
      </c>
      <c r="H31" s="28" t="e">
        <f>IF(H7="","",第6期!BH$28)</f>
        <v>#DIV/0!</v>
      </c>
      <c r="I31" s="28" t="e">
        <f>IF(I7="","",第6期!BI$28)</f>
        <v>#DIV/0!</v>
      </c>
      <c r="J31" s="28" t="e">
        <f>IF(J7="","",第6期!BJ$28)</f>
        <v>#DIV/0!</v>
      </c>
      <c r="K31" s="28" t="e">
        <f>IF(K7="","",第6期!BK$28)</f>
        <v>#DIV/0!</v>
      </c>
      <c r="L31" s="28" t="e">
        <f>IF(L7="","",第6期!BL$28)</f>
        <v>#DIV/0!</v>
      </c>
      <c r="M31" s="28" t="e">
        <f>IF(M7="","",第6期!BM$28)</f>
        <v>#DIV/0!</v>
      </c>
      <c r="N31" s="28" t="e">
        <f>IF(N7="","",第6期!BN$28)</f>
        <v>#DIV/0!</v>
      </c>
      <c r="O31" s="28" t="e">
        <f>IF(O7="","",第6期!BO$28)</f>
        <v>#DIV/0!</v>
      </c>
      <c r="P31" s="28" t="e">
        <f>IF(P7="","",第6期!BP$28)</f>
        <v>#DIV/0!</v>
      </c>
      <c r="Q31" s="37" t="e">
        <f>IF(Q7="","",第6期!BQ$28)</f>
        <v>#DIV/0!</v>
      </c>
      <c r="U31" s="23" t="s">
        <v>843</v>
      </c>
      <c r="V31" s="24" t="s">
        <v>825</v>
      </c>
      <c r="W31" s="24" t="s">
        <v>826</v>
      </c>
      <c r="X31" s="24" t="s">
        <v>827</v>
      </c>
      <c r="Y31" s="24" t="s">
        <v>828</v>
      </c>
      <c r="Z31" s="24" t="s">
        <v>829</v>
      </c>
      <c r="AA31" s="24" t="s">
        <v>67</v>
      </c>
      <c r="AB31" s="24" t="s">
        <v>436</v>
      </c>
      <c r="AC31" s="24" t="s">
        <v>577</v>
      </c>
      <c r="AD31" s="24" t="s">
        <v>830</v>
      </c>
      <c r="AE31" s="24"/>
      <c r="AF31" s="32"/>
      <c r="AG31" s="47"/>
    </row>
    <row r="32" spans="1:33">
      <c r="A32" s="25" t="str">
        <f t="shared" si="20"/>
        <v>第七期</v>
      </c>
      <c r="B32" s="28" t="e">
        <f>IF(B8="","",第7期!BB$28)</f>
        <v>#DIV/0!</v>
      </c>
      <c r="C32" s="28" t="e">
        <f>IF(C8="","",第7期!BC$28)</f>
        <v>#DIV/0!</v>
      </c>
      <c r="D32" s="28" t="e">
        <f>IF(D8="","",第7期!BD$28)</f>
        <v>#DIV/0!</v>
      </c>
      <c r="E32" s="28" t="e">
        <f>IF(E8="","",第7期!BE$28)</f>
        <v>#DIV/0!</v>
      </c>
      <c r="F32" s="28" t="e">
        <f>IF(F8="","",第7期!BF$28)</f>
        <v>#DIV/0!</v>
      </c>
      <c r="G32" s="28" t="e">
        <f>IF(G8="","",第7期!BG$28)</f>
        <v>#DIV/0!</v>
      </c>
      <c r="H32" s="28" t="e">
        <f>IF(H8="","",第7期!BH$28)</f>
        <v>#DIV/0!</v>
      </c>
      <c r="I32" s="28" t="e">
        <f>IF(I8="","",第7期!BI$28)</f>
        <v>#DIV/0!</v>
      </c>
      <c r="J32" s="28" t="e">
        <f>IF(J8="","",第7期!BJ$28)</f>
        <v>#DIV/0!</v>
      </c>
      <c r="K32" s="28" t="e">
        <f>IF(K8="","",第7期!BK$28)</f>
        <v>#DIV/0!</v>
      </c>
      <c r="L32" s="28" t="e">
        <f>IF(L8="","",第7期!BL$28)</f>
        <v>#DIV/0!</v>
      </c>
      <c r="M32" s="28" t="e">
        <f>IF(M8="","",第7期!BM$28)</f>
        <v>#DIV/0!</v>
      </c>
      <c r="N32" s="28" t="e">
        <f>IF(N8="","",第7期!BN$28)</f>
        <v>#DIV/0!</v>
      </c>
      <c r="O32" s="28" t="e">
        <f>IF(O8="","",第7期!BO$28)</f>
        <v>#DIV/0!</v>
      </c>
      <c r="P32" s="28" t="e">
        <f>IF(P8="","",第7期!BP$28)</f>
        <v>#DIV/0!</v>
      </c>
      <c r="Q32" s="37" t="e">
        <f>IF(Q8="","",第7期!BQ$28)</f>
        <v>#DIV/0!</v>
      </c>
      <c r="U32" s="25" t="str">
        <f>$A$2</f>
        <v>第一期</v>
      </c>
      <c r="V32" s="22" t="e">
        <f>IF(B2="","",E2)</f>
        <v>#DIV/0!</v>
      </c>
      <c r="W32" s="22" t="e">
        <f>IF(C2="","",E14)</f>
        <v>#DIV/0!</v>
      </c>
      <c r="X32" s="34" t="e">
        <f>IF(D2="",0,E26)</f>
        <v>#DIV/0!</v>
      </c>
      <c r="Y32" s="22" t="e">
        <f>IF(E2="","",E38)</f>
        <v>#DIV/0!</v>
      </c>
      <c r="Z32" s="41" t="e">
        <f>IF(F2="","",E50)</f>
        <v>#DIV/0!</v>
      </c>
      <c r="AA32" s="22" t="e">
        <f>IF(G2="","",E62)</f>
        <v>#DIV/0!</v>
      </c>
      <c r="AB32" s="22" t="e">
        <f>IF(H2="","",E74)</f>
        <v>#DIV/0!</v>
      </c>
      <c r="AC32" s="22" t="e">
        <f>IF(X32=0,NA(),第1期!$BE$27)</f>
        <v>#DIV/0!</v>
      </c>
      <c r="AD32" s="42"/>
      <c r="AE32" s="42"/>
      <c r="AF32" s="43"/>
      <c r="AG32" s="47"/>
    </row>
    <row r="33" spans="1:33">
      <c r="A33" s="25" t="str">
        <f t="shared" si="20"/>
        <v>第八期</v>
      </c>
      <c r="B33" s="28" t="e">
        <f>IF(B9="","",第8期!BB$28)</f>
        <v>#DIV/0!</v>
      </c>
      <c r="C33" s="28" t="e">
        <f>IF(C9="","",第8期!BC$28)</f>
        <v>#DIV/0!</v>
      </c>
      <c r="D33" s="28" t="e">
        <f>IF(D9="","",第8期!BD$28)</f>
        <v>#DIV/0!</v>
      </c>
      <c r="E33" s="28" t="e">
        <f>IF(E9="","",第8期!BE$28)</f>
        <v>#DIV/0!</v>
      </c>
      <c r="F33" s="28" t="e">
        <f>IF(F9="","",第8期!BF$28)</f>
        <v>#DIV/0!</v>
      </c>
      <c r="G33" s="28" t="e">
        <f>IF(G9="","",第8期!BG$28)</f>
        <v>#DIV/0!</v>
      </c>
      <c r="H33" s="28" t="e">
        <f>IF(H9="","",第8期!BH$28)</f>
        <v>#DIV/0!</v>
      </c>
      <c r="I33" s="28" t="e">
        <f>IF(I9="","",第8期!BI$28)</f>
        <v>#DIV/0!</v>
      </c>
      <c r="J33" s="28" t="e">
        <f>IF(J9="","",第8期!BJ$28)</f>
        <v>#DIV/0!</v>
      </c>
      <c r="K33" s="28" t="e">
        <f>IF(K9="","",第8期!BK$28)</f>
        <v>#DIV/0!</v>
      </c>
      <c r="L33" s="28" t="e">
        <f>IF(L9="","",第8期!BL$28)</f>
        <v>#DIV/0!</v>
      </c>
      <c r="M33" s="28" t="e">
        <f>IF(M9="","",第8期!BM$28)</f>
        <v>#DIV/0!</v>
      </c>
      <c r="N33" s="28" t="e">
        <f>IF(N9="","",第8期!BN$28)</f>
        <v>#DIV/0!</v>
      </c>
      <c r="O33" s="28" t="e">
        <f>IF(O9="","",第8期!BO$28)</f>
        <v>#DIV/0!</v>
      </c>
      <c r="P33" s="28" t="e">
        <f>IF(P9="","",第8期!BP$28)</f>
        <v>#DIV/0!</v>
      </c>
      <c r="Q33" s="37" t="e">
        <f>IF(Q9="","",第8期!BQ$28)</f>
        <v>#DIV/0!</v>
      </c>
      <c r="U33" s="25" t="str">
        <f>$A$3</f>
        <v>第二期</v>
      </c>
      <c r="V33" s="22" t="e">
        <f t="shared" ref="V33:V40" si="21">IF(B3="","",E3)</f>
        <v>#DIV/0!</v>
      </c>
      <c r="W33" s="22" t="e">
        <f t="shared" ref="W33:W40" si="22">IF(C3="","",E15)</f>
        <v>#DIV/0!</v>
      </c>
      <c r="X33" s="34" t="e">
        <f t="shared" ref="X33:X40" si="23">IF(D3="",0,E27)</f>
        <v>#DIV/0!</v>
      </c>
      <c r="Y33" s="22" t="e">
        <f t="shared" ref="Y33:Y40" si="24">IF(E3="","",E39)</f>
        <v>#DIV/0!</v>
      </c>
      <c r="Z33" s="41" t="e">
        <f t="shared" ref="Z33:Z40" si="25">IF(F3="","",E51)</f>
        <v>#DIV/0!</v>
      </c>
      <c r="AA33" s="22" t="e">
        <f t="shared" ref="AA33:AA40" si="26">IF(G3="","",E63)</f>
        <v>#DIV/0!</v>
      </c>
      <c r="AB33" s="22" t="e">
        <f t="shared" ref="AB33:AB40" si="27">IF(H3="","",E75)</f>
        <v>#DIV/0!</v>
      </c>
      <c r="AC33" s="22" t="e">
        <f>IF(X33=0,NA(),第2期!$BE$27)</f>
        <v>#DIV/0!</v>
      </c>
      <c r="AD33" s="42"/>
      <c r="AE33" s="42"/>
      <c r="AF33" s="43"/>
      <c r="AG33" s="47"/>
    </row>
    <row r="34" ht="14.25" spans="1:33">
      <c r="A34" s="26" t="str">
        <f t="shared" si="20"/>
        <v>第九期</v>
      </c>
      <c r="B34" s="29" t="e">
        <f>IF(B10="","",#REF!)</f>
        <v>#REF!</v>
      </c>
      <c r="C34" s="29" t="e">
        <f>IF(C10="","",#REF!)</f>
        <v>#REF!</v>
      </c>
      <c r="D34" s="29" t="e">
        <f>IF(D10="","",#REF!)</f>
        <v>#REF!</v>
      </c>
      <c r="E34" s="29" t="e">
        <f>IF(E10="","",#REF!)</f>
        <v>#REF!</v>
      </c>
      <c r="F34" s="29" t="e">
        <f>IF(F10="","",#REF!)</f>
        <v>#REF!</v>
      </c>
      <c r="G34" s="29" t="e">
        <f>IF(G10="","",#REF!)</f>
        <v>#REF!</v>
      </c>
      <c r="H34" s="29" t="e">
        <f>IF(H10="","",#REF!)</f>
        <v>#REF!</v>
      </c>
      <c r="I34" s="29" t="e">
        <f>IF(I10="","",#REF!)</f>
        <v>#REF!</v>
      </c>
      <c r="J34" s="29" t="e">
        <f>IF(J10="","",#REF!)</f>
        <v>#REF!</v>
      </c>
      <c r="K34" s="29" t="e">
        <f>IF(K10="","",#REF!)</f>
        <v>#REF!</v>
      </c>
      <c r="L34" s="29" t="e">
        <f>IF(L10="","",#REF!)</f>
        <v>#REF!</v>
      </c>
      <c r="M34" s="29" t="e">
        <f>IF(M10="","",#REF!)</f>
        <v>#REF!</v>
      </c>
      <c r="N34" s="29" t="e">
        <f>IF(N10="","",#REF!)</f>
        <v>#REF!</v>
      </c>
      <c r="O34" s="29" t="e">
        <f>IF(O10="","",#REF!)</f>
        <v>#REF!</v>
      </c>
      <c r="P34" s="29" t="e">
        <f>IF(P10="","",#REF!)</f>
        <v>#REF!</v>
      </c>
      <c r="Q34" s="38" t="e">
        <f>IF(Q10="","",#REF!)</f>
        <v>#REF!</v>
      </c>
      <c r="U34" s="25" t="str">
        <f>$A$4</f>
        <v>第三期</v>
      </c>
      <c r="V34" s="22" t="e">
        <f t="shared" si="21"/>
        <v>#DIV/0!</v>
      </c>
      <c r="W34" s="22" t="e">
        <f t="shared" si="22"/>
        <v>#DIV/0!</v>
      </c>
      <c r="X34" s="34" t="e">
        <f t="shared" si="23"/>
        <v>#DIV/0!</v>
      </c>
      <c r="Y34" s="22" t="e">
        <f t="shared" si="24"/>
        <v>#DIV/0!</v>
      </c>
      <c r="Z34" s="41" t="e">
        <f t="shared" si="25"/>
        <v>#DIV/0!</v>
      </c>
      <c r="AA34" s="22" t="e">
        <f t="shared" si="26"/>
        <v>#DIV/0!</v>
      </c>
      <c r="AB34" s="22" t="e">
        <f t="shared" si="27"/>
        <v>#DIV/0!</v>
      </c>
      <c r="AC34" s="22" t="e">
        <f>IF(X34=0,NA(),第3期!$BE$27)</f>
        <v>#DIV/0!</v>
      </c>
      <c r="AD34" s="42"/>
      <c r="AE34" s="42"/>
      <c r="AF34" s="43"/>
      <c r="AG34" s="47"/>
    </row>
    <row r="35" spans="21:33">
      <c r="U35" s="25" t="str">
        <f>$A$5</f>
        <v>第四期</v>
      </c>
      <c r="V35" s="22" t="e">
        <f t="shared" si="21"/>
        <v>#DIV/0!</v>
      </c>
      <c r="W35" s="22" t="e">
        <f t="shared" si="22"/>
        <v>#DIV/0!</v>
      </c>
      <c r="X35" s="34" t="e">
        <f t="shared" si="23"/>
        <v>#DIV/0!</v>
      </c>
      <c r="Y35" s="22" t="e">
        <f t="shared" si="24"/>
        <v>#DIV/0!</v>
      </c>
      <c r="Z35" s="41" t="e">
        <f t="shared" si="25"/>
        <v>#DIV/0!</v>
      </c>
      <c r="AA35" s="22" t="e">
        <f t="shared" si="26"/>
        <v>#DIV/0!</v>
      </c>
      <c r="AB35" s="22" t="e">
        <f t="shared" si="27"/>
        <v>#DIV/0!</v>
      </c>
      <c r="AC35" s="22" t="e">
        <f>IF(X35=0,NA(),第4期!$BE$27)</f>
        <v>#DIV/0!</v>
      </c>
      <c r="AD35" s="42"/>
      <c r="AE35" s="42"/>
      <c r="AF35" s="43"/>
      <c r="AG35" s="47"/>
    </row>
    <row r="36" ht="14.25" spans="21:33">
      <c r="U36" s="25" t="str">
        <f>$A$6</f>
        <v>第五期</v>
      </c>
      <c r="V36" s="22" t="e">
        <f t="shared" si="21"/>
        <v>#DIV/0!</v>
      </c>
      <c r="W36" s="22" t="e">
        <f t="shared" si="22"/>
        <v>#DIV/0!</v>
      </c>
      <c r="X36" s="34" t="e">
        <f t="shared" si="23"/>
        <v>#DIV/0!</v>
      </c>
      <c r="Y36" s="22" t="e">
        <f t="shared" si="24"/>
        <v>#DIV/0!</v>
      </c>
      <c r="Z36" s="41" t="e">
        <f t="shared" si="25"/>
        <v>#DIV/0!</v>
      </c>
      <c r="AA36" s="22" t="e">
        <f t="shared" si="26"/>
        <v>#DIV/0!</v>
      </c>
      <c r="AB36" s="22" t="e">
        <f t="shared" si="27"/>
        <v>#DIV/0!</v>
      </c>
      <c r="AC36" s="22" t="e">
        <f>IF(X36=0,NA(),第5期!$BE$27)</f>
        <v>#DIV/0!</v>
      </c>
      <c r="AD36" s="42"/>
      <c r="AE36" s="42"/>
      <c r="AF36" s="43"/>
      <c r="AG36" s="47"/>
    </row>
    <row r="37" spans="1:33">
      <c r="A37" s="23" t="s">
        <v>844</v>
      </c>
      <c r="B37" s="24" t="str">
        <f>B25</f>
        <v>A1</v>
      </c>
      <c r="C37" s="24" t="str">
        <f t="shared" ref="C37:Q37" si="28">C25</f>
        <v>A2</v>
      </c>
      <c r="D37" s="24" t="str">
        <f t="shared" si="28"/>
        <v>A3</v>
      </c>
      <c r="E37" s="24" t="str">
        <f t="shared" si="28"/>
        <v>A4</v>
      </c>
      <c r="F37" s="24" t="str">
        <f t="shared" si="28"/>
        <v>B1</v>
      </c>
      <c r="G37" s="24" t="str">
        <f t="shared" si="28"/>
        <v>B2</v>
      </c>
      <c r="H37" s="24" t="str">
        <f t="shared" si="28"/>
        <v>B3</v>
      </c>
      <c r="I37" s="24" t="str">
        <f t="shared" si="28"/>
        <v>B4</v>
      </c>
      <c r="J37" s="24" t="str">
        <f t="shared" si="28"/>
        <v>C1</v>
      </c>
      <c r="K37" s="24" t="str">
        <f t="shared" si="28"/>
        <v>C2</v>
      </c>
      <c r="L37" s="24" t="str">
        <f t="shared" si="28"/>
        <v>C3</v>
      </c>
      <c r="M37" s="24" t="str">
        <f t="shared" si="28"/>
        <v>C4</v>
      </c>
      <c r="N37" s="24" t="str">
        <f t="shared" si="28"/>
        <v>D1</v>
      </c>
      <c r="O37" s="24" t="str">
        <f t="shared" si="28"/>
        <v>D2</v>
      </c>
      <c r="P37" s="24" t="str">
        <f t="shared" si="28"/>
        <v>D3</v>
      </c>
      <c r="Q37" s="32" t="str">
        <f t="shared" si="28"/>
        <v>D4</v>
      </c>
      <c r="U37" s="25" t="str">
        <f>$A$7</f>
        <v>第六期</v>
      </c>
      <c r="V37" s="22" t="e">
        <f t="shared" si="21"/>
        <v>#DIV/0!</v>
      </c>
      <c r="W37" s="22" t="e">
        <f t="shared" si="22"/>
        <v>#DIV/0!</v>
      </c>
      <c r="X37" s="34" t="e">
        <f t="shared" si="23"/>
        <v>#DIV/0!</v>
      </c>
      <c r="Y37" s="22" t="e">
        <f t="shared" si="24"/>
        <v>#DIV/0!</v>
      </c>
      <c r="Z37" s="41" t="e">
        <f t="shared" si="25"/>
        <v>#DIV/0!</v>
      </c>
      <c r="AA37" s="22" t="e">
        <f t="shared" si="26"/>
        <v>#DIV/0!</v>
      </c>
      <c r="AB37" s="22" t="e">
        <f t="shared" si="27"/>
        <v>#DIV/0!</v>
      </c>
      <c r="AC37" s="22" t="e">
        <f>IF(X37=0,NA(),第6期!$BE$27)</f>
        <v>#DIV/0!</v>
      </c>
      <c r="AD37" s="22" t="s">
        <v>837</v>
      </c>
      <c r="AF37" s="33"/>
      <c r="AG37" s="47"/>
    </row>
    <row r="38" spans="1:33">
      <c r="A38" s="25" t="str">
        <f>A26</f>
        <v>第一期</v>
      </c>
      <c r="B38" s="22" t="e">
        <f>IF(B2="","",第1期!CK$7)</f>
        <v>#DIV/0!</v>
      </c>
      <c r="C38" s="22" t="e">
        <f>IF(C2="","",第1期!CL$7)</f>
        <v>#DIV/0!</v>
      </c>
      <c r="D38" s="22" t="e">
        <f>IF(D2="","",第1期!CM$7)</f>
        <v>#DIV/0!</v>
      </c>
      <c r="E38" s="22" t="e">
        <f>IF(E2="","",第1期!CN$7)</f>
        <v>#DIV/0!</v>
      </c>
      <c r="F38" s="22" t="e">
        <f>IF(F2="","",第1期!CO$7)</f>
        <v>#DIV/0!</v>
      </c>
      <c r="G38" s="22" t="e">
        <f>IF(G2="","",第1期!CP$7)</f>
        <v>#DIV/0!</v>
      </c>
      <c r="H38" s="22" t="e">
        <f>IF(H2="","",第1期!CQ$7)</f>
        <v>#DIV/0!</v>
      </c>
      <c r="I38" s="22" t="e">
        <f>IF(I2="","",第1期!CR$7)</f>
        <v>#DIV/0!</v>
      </c>
      <c r="J38" s="22" t="e">
        <f>IF(J2="","",第1期!CS$7)</f>
        <v>#DIV/0!</v>
      </c>
      <c r="K38" s="22" t="e">
        <f>IF(K2="","",第1期!CT$7)</f>
        <v>#DIV/0!</v>
      </c>
      <c r="L38" s="22" t="e">
        <f>IF(L2="","",第1期!CU$7)</f>
        <v>#DIV/0!</v>
      </c>
      <c r="M38" s="22" t="e">
        <f>IF(M2="","",第1期!CV$7)</f>
        <v>#DIV/0!</v>
      </c>
      <c r="N38" s="22" t="e">
        <f>IF(N2="","",第1期!CW$7)</f>
        <v>#DIV/0!</v>
      </c>
      <c r="O38" s="22" t="e">
        <f>IF(O2="","",第1期!CX$7)</f>
        <v>#DIV/0!</v>
      </c>
      <c r="P38" s="22" t="e">
        <f>IF(P2="","",第1期!CY$7)</f>
        <v>#DIV/0!</v>
      </c>
      <c r="Q38" s="33" t="e">
        <f>IF(Q2="","",第1期!CZ$7)</f>
        <v>#DIV/0!</v>
      </c>
      <c r="U38" s="25" t="str">
        <f>$A$8</f>
        <v>第七期</v>
      </c>
      <c r="V38" s="22" t="e">
        <f t="shared" si="21"/>
        <v>#DIV/0!</v>
      </c>
      <c r="W38" s="22" t="e">
        <f t="shared" si="22"/>
        <v>#DIV/0!</v>
      </c>
      <c r="X38" s="34" t="e">
        <f t="shared" si="23"/>
        <v>#DIV/0!</v>
      </c>
      <c r="Y38" s="22" t="e">
        <f t="shared" si="24"/>
        <v>#DIV/0!</v>
      </c>
      <c r="Z38" s="41" t="e">
        <f t="shared" si="25"/>
        <v>#DIV/0!</v>
      </c>
      <c r="AA38" s="22" t="e">
        <f t="shared" si="26"/>
        <v>#DIV/0!</v>
      </c>
      <c r="AB38" s="22" t="e">
        <f t="shared" si="27"/>
        <v>#DIV/0!</v>
      </c>
      <c r="AC38" s="22" t="e">
        <f>IF(X38=0,NA(),第7期!$BE$27)</f>
        <v>#DIV/0!</v>
      </c>
      <c r="AD38" s="22" t="s">
        <v>681</v>
      </c>
      <c r="AF38" s="33"/>
      <c r="AG38" s="47"/>
    </row>
    <row r="39" spans="1:33">
      <c r="A39" s="25" t="str">
        <f t="shared" ref="A39:A46" si="29">A27</f>
        <v>第二期</v>
      </c>
      <c r="B39" s="22" t="e">
        <f>IF(B3="","",第2期!CK$7)</f>
        <v>#DIV/0!</v>
      </c>
      <c r="C39" s="22" t="e">
        <f>IF(C3="","",第2期!CL$7)</f>
        <v>#DIV/0!</v>
      </c>
      <c r="D39" s="22" t="e">
        <f>IF(D3="","",第2期!CM$7)</f>
        <v>#DIV/0!</v>
      </c>
      <c r="E39" s="22" t="e">
        <f>IF(E3="","",第2期!CN$7)</f>
        <v>#DIV/0!</v>
      </c>
      <c r="F39" s="22" t="e">
        <f>IF(F3="","",第2期!CO$7)</f>
        <v>#DIV/0!</v>
      </c>
      <c r="G39" s="22" t="e">
        <f>IF(G3="","",第2期!CP$7)</f>
        <v>#DIV/0!</v>
      </c>
      <c r="H39" s="22" t="e">
        <f>IF(H3="","",第2期!CQ$7)</f>
        <v>#DIV/0!</v>
      </c>
      <c r="I39" s="22" t="e">
        <f>IF(I3="","",第2期!CR$7)</f>
        <v>#DIV/0!</v>
      </c>
      <c r="J39" s="22" t="e">
        <f>IF(J3="","",第2期!CS$7)</f>
        <v>#DIV/0!</v>
      </c>
      <c r="K39" s="22" t="e">
        <f>IF(K3="","",第2期!CT$7)</f>
        <v>#DIV/0!</v>
      </c>
      <c r="L39" s="22" t="e">
        <f>IF(L3="","",第2期!CU$7)</f>
        <v>#DIV/0!</v>
      </c>
      <c r="M39" s="22" t="e">
        <f>IF(M3="","",第2期!CV$7)</f>
        <v>#DIV/0!</v>
      </c>
      <c r="N39" s="22" t="e">
        <f>IF(N3="","",第2期!CW$7)</f>
        <v>#DIV/0!</v>
      </c>
      <c r="O39" s="22" t="e">
        <f>IF(O3="","",第2期!CX$7)</f>
        <v>#DIV/0!</v>
      </c>
      <c r="P39" s="22" t="e">
        <f>IF(P3="","",第2期!CY$7)</f>
        <v>#DIV/0!</v>
      </c>
      <c r="Q39" s="33" t="e">
        <f>IF(Q3="","",第2期!CZ$7)</f>
        <v>#DIV/0!</v>
      </c>
      <c r="U39" s="25" t="str">
        <f>$A$9</f>
        <v>第八期</v>
      </c>
      <c r="V39" s="22" t="e">
        <f t="shared" si="21"/>
        <v>#DIV/0!</v>
      </c>
      <c r="W39" s="22" t="e">
        <f t="shared" si="22"/>
        <v>#DIV/0!</v>
      </c>
      <c r="X39" s="34" t="e">
        <f t="shared" si="23"/>
        <v>#DIV/0!</v>
      </c>
      <c r="Y39" s="22" t="e">
        <f t="shared" si="24"/>
        <v>#DIV/0!</v>
      </c>
      <c r="Z39" s="41" t="e">
        <f t="shared" si="25"/>
        <v>#DIV/0!</v>
      </c>
      <c r="AA39" s="22" t="e">
        <f t="shared" si="26"/>
        <v>#DIV/0!</v>
      </c>
      <c r="AB39" s="22" t="e">
        <f t="shared" si="27"/>
        <v>#DIV/0!</v>
      </c>
      <c r="AC39" s="22" t="e">
        <f>IF(X39=0,NA(),第8期!$BE$27)</f>
        <v>#DIV/0!</v>
      </c>
      <c r="AF39" s="33"/>
      <c r="AG39" s="47"/>
    </row>
    <row r="40" ht="14.25" spans="1:33">
      <c r="A40" s="25" t="str">
        <f t="shared" si="29"/>
        <v>第三期</v>
      </c>
      <c r="B40" s="22" t="e">
        <f>IF(B4="","",第3期!CK$7)</f>
        <v>#DIV/0!</v>
      </c>
      <c r="C40" s="22" t="e">
        <f>IF(C4="","",第3期!CL$7)</f>
        <v>#DIV/0!</v>
      </c>
      <c r="D40" s="22" t="e">
        <f>IF(D4="","",第3期!CM$7)</f>
        <v>#DIV/0!</v>
      </c>
      <c r="E40" s="22" t="e">
        <f>IF(E4="","",第3期!CN$7)</f>
        <v>#DIV/0!</v>
      </c>
      <c r="F40" s="22" t="e">
        <f>IF(F4="","",第3期!CO$7)</f>
        <v>#DIV/0!</v>
      </c>
      <c r="G40" s="22" t="e">
        <f>IF(G4="","",第3期!CP$7)</f>
        <v>#DIV/0!</v>
      </c>
      <c r="H40" s="22" t="e">
        <f>IF(H4="","",第3期!CQ$7)</f>
        <v>#DIV/0!</v>
      </c>
      <c r="I40" s="22" t="e">
        <f>IF(I4="","",第3期!CR$7)</f>
        <v>#DIV/0!</v>
      </c>
      <c r="J40" s="22" t="e">
        <f>IF(J4="","",第3期!CS$7)</f>
        <v>#DIV/0!</v>
      </c>
      <c r="K40" s="22" t="e">
        <f>IF(K4="","",第3期!CT$7)</f>
        <v>#DIV/0!</v>
      </c>
      <c r="L40" s="22" t="e">
        <f>IF(L4="","",第3期!CU$7)</f>
        <v>#DIV/0!</v>
      </c>
      <c r="M40" s="22" t="e">
        <f>IF(M4="","",第3期!CV$7)</f>
        <v>#DIV/0!</v>
      </c>
      <c r="N40" s="22" t="e">
        <f>IF(N4="","",第3期!CW$7)</f>
        <v>#DIV/0!</v>
      </c>
      <c r="O40" s="22" t="e">
        <f>IF(O4="","",第3期!CX$7)</f>
        <v>#DIV/0!</v>
      </c>
      <c r="P40" s="22" t="e">
        <f>IF(P4="","",第3期!CY$7)</f>
        <v>#DIV/0!</v>
      </c>
      <c r="Q40" s="33" t="e">
        <f>IF(Q4="","",第3期!CZ$7)</f>
        <v>#DIV/0!</v>
      </c>
      <c r="U40" s="26" t="str">
        <f>$A$10</f>
        <v>第九期</v>
      </c>
      <c r="V40" s="27" t="e">
        <f t="shared" si="21"/>
        <v>#REF!</v>
      </c>
      <c r="W40" s="27" t="e">
        <f t="shared" si="22"/>
        <v>#REF!</v>
      </c>
      <c r="X40" s="34" t="e">
        <f t="shared" si="23"/>
        <v>#REF!</v>
      </c>
      <c r="Y40" s="27" t="e">
        <f t="shared" si="24"/>
        <v>#REF!</v>
      </c>
      <c r="Z40" s="44" t="e">
        <f t="shared" si="25"/>
        <v>#REF!</v>
      </c>
      <c r="AA40" s="27" t="e">
        <f t="shared" si="26"/>
        <v>#REF!</v>
      </c>
      <c r="AB40" s="27" t="e">
        <f t="shared" si="27"/>
        <v>#REF!</v>
      </c>
      <c r="AC40" s="22" t="e">
        <f>IF(X40=0,NA(),#REF!)</f>
        <v>#REF!</v>
      </c>
      <c r="AD40" s="27"/>
      <c r="AE40" s="27"/>
      <c r="AF40" s="35"/>
      <c r="AG40" s="47"/>
    </row>
    <row r="41" spans="1:33">
      <c r="A41" s="25" t="str">
        <f t="shared" si="29"/>
        <v>第四期</v>
      </c>
      <c r="B41" s="22" t="e">
        <f>IF(B5="","",第4期!CK$7)</f>
        <v>#DIV/0!</v>
      </c>
      <c r="C41" s="22" t="e">
        <f>IF(C5="","",第4期!CL$7)</f>
        <v>#DIV/0!</v>
      </c>
      <c r="D41" s="22" t="e">
        <f>IF(D5="","",第4期!CM$7)</f>
        <v>#DIV/0!</v>
      </c>
      <c r="E41" s="22" t="e">
        <f>IF(E5="","",第4期!CN$7)</f>
        <v>#DIV/0!</v>
      </c>
      <c r="F41" s="22" t="e">
        <f>IF(F5="","",第4期!CO$7)</f>
        <v>#DIV/0!</v>
      </c>
      <c r="G41" s="22" t="e">
        <f>IF(G5="","",第4期!CP$7)</f>
        <v>#DIV/0!</v>
      </c>
      <c r="H41" s="22" t="e">
        <f>IF(H5="","",第4期!CQ$7)</f>
        <v>#DIV/0!</v>
      </c>
      <c r="I41" s="22" t="e">
        <f>IF(I5="","",第4期!CR$7)</f>
        <v>#DIV/0!</v>
      </c>
      <c r="J41" s="22" t="e">
        <f>IF(J5="","",第4期!CS$7)</f>
        <v>#DIV/0!</v>
      </c>
      <c r="K41" s="22" t="e">
        <f>IF(K5="","",第4期!CT$7)</f>
        <v>#DIV/0!</v>
      </c>
      <c r="L41" s="22" t="e">
        <f>IF(L5="","",第4期!CU$7)</f>
        <v>#DIV/0!</v>
      </c>
      <c r="M41" s="22" t="e">
        <f>IF(M5="","",第4期!CV$7)</f>
        <v>#DIV/0!</v>
      </c>
      <c r="N41" s="22" t="e">
        <f>IF(N5="","",第4期!CW$7)</f>
        <v>#DIV/0!</v>
      </c>
      <c r="O41" s="22" t="e">
        <f>IF(O5="","",第4期!CX$7)</f>
        <v>#DIV/0!</v>
      </c>
      <c r="P41" s="22" t="e">
        <f>IF(P5="","",第4期!CY$7)</f>
        <v>#DIV/0!</v>
      </c>
      <c r="Q41" s="33" t="e">
        <f>IF(Q5="","",第4期!CZ$7)</f>
        <v>#DIV/0!</v>
      </c>
      <c r="U41" s="23" t="s">
        <v>845</v>
      </c>
      <c r="V41" s="24" t="s">
        <v>825</v>
      </c>
      <c r="W41" s="24" t="s">
        <v>826</v>
      </c>
      <c r="X41" s="24" t="s">
        <v>827</v>
      </c>
      <c r="Y41" s="24" t="s">
        <v>828</v>
      </c>
      <c r="Z41" s="24" t="s">
        <v>829</v>
      </c>
      <c r="AA41" s="24" t="s">
        <v>67</v>
      </c>
      <c r="AB41" s="24" t="s">
        <v>436</v>
      </c>
      <c r="AC41" s="24" t="s">
        <v>577</v>
      </c>
      <c r="AD41" s="24" t="s">
        <v>830</v>
      </c>
      <c r="AE41" s="24"/>
      <c r="AF41" s="32"/>
      <c r="AG41" s="47"/>
    </row>
    <row r="42" spans="1:33">
      <c r="A42" s="25" t="str">
        <f t="shared" si="29"/>
        <v>第五期</v>
      </c>
      <c r="B42" s="22" t="e">
        <f>IF(B6="","",第5期!CK$7)</f>
        <v>#DIV/0!</v>
      </c>
      <c r="C42" s="22" t="e">
        <f>IF(C6="","",第5期!CL$7)</f>
        <v>#DIV/0!</v>
      </c>
      <c r="D42" s="22" t="e">
        <f>IF(D6="","",第5期!CM$7)</f>
        <v>#DIV/0!</v>
      </c>
      <c r="E42" s="22" t="e">
        <f>IF(E6="","",第5期!CN$7)</f>
        <v>#DIV/0!</v>
      </c>
      <c r="F42" s="22" t="e">
        <f>IF(F6="","",第5期!CO$7)</f>
        <v>#DIV/0!</v>
      </c>
      <c r="G42" s="22" t="e">
        <f>IF(G6="","",第5期!CP$7)</f>
        <v>#DIV/0!</v>
      </c>
      <c r="H42" s="22" t="e">
        <f>IF(H6="","",第5期!CQ$7)</f>
        <v>#DIV/0!</v>
      </c>
      <c r="I42" s="22" t="e">
        <f>IF(I6="","",第5期!CR$7)</f>
        <v>#DIV/0!</v>
      </c>
      <c r="J42" s="22" t="e">
        <f>IF(J6="","",第5期!CS$7)</f>
        <v>#DIV/0!</v>
      </c>
      <c r="K42" s="22" t="e">
        <f>IF(K6="","",第5期!CT$7)</f>
        <v>#DIV/0!</v>
      </c>
      <c r="L42" s="22" t="e">
        <f>IF(L6="","",第5期!CU$7)</f>
        <v>#DIV/0!</v>
      </c>
      <c r="M42" s="22" t="e">
        <f>IF(M6="","",第5期!CV$7)</f>
        <v>#DIV/0!</v>
      </c>
      <c r="N42" s="22" t="e">
        <f>IF(N6="","",第5期!CW$7)</f>
        <v>#DIV/0!</v>
      </c>
      <c r="O42" s="22" t="e">
        <f>IF(O6="","",第5期!CX$7)</f>
        <v>#DIV/0!</v>
      </c>
      <c r="P42" s="22" t="e">
        <f>IF(P6="","",第5期!CY$7)</f>
        <v>#DIV/0!</v>
      </c>
      <c r="Q42" s="33" t="e">
        <f>IF(Q6="","",第5期!CZ$7)</f>
        <v>#DIV/0!</v>
      </c>
      <c r="U42" s="25" t="str">
        <f>$A$2</f>
        <v>第一期</v>
      </c>
      <c r="V42" s="22" t="e">
        <f>IF(B2="","",F2)</f>
        <v>#DIV/0!</v>
      </c>
      <c r="W42" s="22" t="e">
        <f>IF(C2="","",F14)</f>
        <v>#DIV/0!</v>
      </c>
      <c r="X42" s="34" t="e">
        <f>IF(D2="",0,F26)</f>
        <v>#DIV/0!</v>
      </c>
      <c r="Y42" s="22" t="e">
        <f>IF(E2="","",F38)</f>
        <v>#DIV/0!</v>
      </c>
      <c r="Z42" s="41" t="e">
        <f>IF(F2="","",F50)</f>
        <v>#DIV/0!</v>
      </c>
      <c r="AA42" s="22" t="e">
        <f>IF(G2="","",F62)</f>
        <v>#DIV/0!</v>
      </c>
      <c r="AB42" s="22" t="e">
        <f>IF(H2="","",F74)</f>
        <v>#DIV/0!</v>
      </c>
      <c r="AC42" s="22" t="e">
        <f>IF(X42=0,NA(),第1期!$BF$27)</f>
        <v>#DIV/0!</v>
      </c>
      <c r="AD42" s="42"/>
      <c r="AE42" s="42"/>
      <c r="AF42" s="43"/>
      <c r="AG42" s="47"/>
    </row>
    <row r="43" spans="1:33">
      <c r="A43" s="25" t="str">
        <f t="shared" si="29"/>
        <v>第六期</v>
      </c>
      <c r="B43" s="22" t="e">
        <f>IF(B7="","",第6期!CK$7)</f>
        <v>#DIV/0!</v>
      </c>
      <c r="C43" s="22" t="e">
        <f>IF(C7="","",第6期!CL$7)</f>
        <v>#DIV/0!</v>
      </c>
      <c r="D43" s="22" t="e">
        <f>IF(D7="","",第6期!CM$7)</f>
        <v>#DIV/0!</v>
      </c>
      <c r="E43" s="22" t="e">
        <f>IF(E7="","",第6期!CN$7)</f>
        <v>#DIV/0!</v>
      </c>
      <c r="F43" s="22" t="e">
        <f>IF(F7="","",第6期!CO$7)</f>
        <v>#DIV/0!</v>
      </c>
      <c r="G43" s="22" t="e">
        <f>IF(G7="","",第6期!CP$7)</f>
        <v>#DIV/0!</v>
      </c>
      <c r="H43" s="22" t="e">
        <f>IF(H7="","",第6期!CQ$7)</f>
        <v>#DIV/0!</v>
      </c>
      <c r="I43" s="22" t="e">
        <f>IF(I7="","",第6期!CR$7)</f>
        <v>#DIV/0!</v>
      </c>
      <c r="J43" s="22" t="e">
        <f>IF(J7="","",第6期!CS$7)</f>
        <v>#DIV/0!</v>
      </c>
      <c r="K43" s="22" t="e">
        <f>IF(K7="","",第6期!CT$7)</f>
        <v>#DIV/0!</v>
      </c>
      <c r="L43" s="22" t="e">
        <f>IF(L7="","",第6期!CU$7)</f>
        <v>#DIV/0!</v>
      </c>
      <c r="M43" s="22" t="e">
        <f>IF(M7="","",第6期!CV$7)</f>
        <v>#DIV/0!</v>
      </c>
      <c r="N43" s="22" t="e">
        <f>IF(N7="","",第6期!CW$7)</f>
        <v>#DIV/0!</v>
      </c>
      <c r="O43" s="22" t="e">
        <f>IF(O7="","",第6期!CX$7)</f>
        <v>#DIV/0!</v>
      </c>
      <c r="P43" s="22" t="e">
        <f>IF(P7="","",第6期!CY$7)</f>
        <v>#DIV/0!</v>
      </c>
      <c r="Q43" s="33" t="e">
        <f>IF(Q7="","",第6期!CZ$7)</f>
        <v>#DIV/0!</v>
      </c>
      <c r="U43" s="25" t="str">
        <f>$A$3</f>
        <v>第二期</v>
      </c>
      <c r="V43" s="22" t="e">
        <f t="shared" ref="V43:V50" si="30">IF(B3="","",F3)</f>
        <v>#DIV/0!</v>
      </c>
      <c r="W43" s="22" t="e">
        <f t="shared" ref="W43:W50" si="31">IF(C3="","",F15)</f>
        <v>#DIV/0!</v>
      </c>
      <c r="X43" s="34" t="e">
        <f t="shared" ref="X43:X50" si="32">IF(D3="",0,F27)</f>
        <v>#DIV/0!</v>
      </c>
      <c r="Y43" s="22" t="e">
        <f t="shared" ref="Y43:Y50" si="33">IF(E3="","",F39)</f>
        <v>#DIV/0!</v>
      </c>
      <c r="Z43" s="41" t="e">
        <f t="shared" ref="Z43:Z50" si="34">IF(F3="","",F51)</f>
        <v>#DIV/0!</v>
      </c>
      <c r="AA43" s="22" t="e">
        <f t="shared" ref="AA43:AA50" si="35">IF(G3="","",F63)</f>
        <v>#DIV/0!</v>
      </c>
      <c r="AB43" s="22" t="e">
        <f t="shared" ref="AB43:AB50" si="36">IF(H3="","",F75)</f>
        <v>#DIV/0!</v>
      </c>
      <c r="AC43" s="22" t="e">
        <f>IF(X43=0,NA(),第2期!$BF$27)</f>
        <v>#DIV/0!</v>
      </c>
      <c r="AD43" s="42"/>
      <c r="AE43" s="42"/>
      <c r="AF43" s="43"/>
      <c r="AG43" s="47"/>
    </row>
    <row r="44" spans="1:33">
      <c r="A44" s="25" t="str">
        <f t="shared" si="29"/>
        <v>第七期</v>
      </c>
      <c r="B44" s="22" t="e">
        <f>IF(B8="","",第7期!CJ$7)</f>
        <v>#DIV/0!</v>
      </c>
      <c r="C44" s="22" t="e">
        <f>IF(C8="","",第7期!CK$7)</f>
        <v>#DIV/0!</v>
      </c>
      <c r="D44" s="22" t="e">
        <f>IF(D8="","",第7期!CL$7)</f>
        <v>#DIV/0!</v>
      </c>
      <c r="E44" s="22" t="e">
        <f>IF(E8="","",第7期!CM$7)</f>
        <v>#DIV/0!</v>
      </c>
      <c r="F44" s="22" t="e">
        <f>IF(F8="","",第7期!CN$7)</f>
        <v>#DIV/0!</v>
      </c>
      <c r="G44" s="22" t="e">
        <f>IF(G8="","",第7期!CO$7)</f>
        <v>#DIV/0!</v>
      </c>
      <c r="H44" s="22" t="e">
        <f>IF(H8="","",第7期!CP$7)</f>
        <v>#DIV/0!</v>
      </c>
      <c r="I44" s="22" t="e">
        <f>IF(I8="","",第7期!CQ$7)</f>
        <v>#DIV/0!</v>
      </c>
      <c r="J44" s="22" t="e">
        <f>IF(J8="","",第7期!CR$7)</f>
        <v>#DIV/0!</v>
      </c>
      <c r="K44" s="22" t="e">
        <f>IF(K8="","",第7期!CS$7)</f>
        <v>#DIV/0!</v>
      </c>
      <c r="L44" s="22" t="e">
        <f>IF(L8="","",第7期!CT$7)</f>
        <v>#DIV/0!</v>
      </c>
      <c r="M44" s="22" t="e">
        <f>IF(M8="","",第7期!CU$7)</f>
        <v>#DIV/0!</v>
      </c>
      <c r="N44" s="22" t="e">
        <f>IF(N8="","",第7期!CV$7)</f>
        <v>#DIV/0!</v>
      </c>
      <c r="O44" s="22" t="e">
        <f>IF(O8="","",第7期!CW$7)</f>
        <v>#DIV/0!</v>
      </c>
      <c r="P44" s="22" t="e">
        <f>IF(P8="","",第7期!CX$7)</f>
        <v>#DIV/0!</v>
      </c>
      <c r="Q44" s="33" t="e">
        <f>IF(Q8="","",第7期!CY$7)</f>
        <v>#DIV/0!</v>
      </c>
      <c r="U44" s="25" t="str">
        <f>$A$4</f>
        <v>第三期</v>
      </c>
      <c r="V44" s="22" t="e">
        <f t="shared" si="30"/>
        <v>#DIV/0!</v>
      </c>
      <c r="W44" s="22" t="e">
        <f t="shared" si="31"/>
        <v>#DIV/0!</v>
      </c>
      <c r="X44" s="34" t="e">
        <f t="shared" si="32"/>
        <v>#DIV/0!</v>
      </c>
      <c r="Y44" s="22" t="e">
        <f t="shared" si="33"/>
        <v>#DIV/0!</v>
      </c>
      <c r="Z44" s="41" t="e">
        <f t="shared" si="34"/>
        <v>#DIV/0!</v>
      </c>
      <c r="AA44" s="22" t="e">
        <f t="shared" si="35"/>
        <v>#DIV/0!</v>
      </c>
      <c r="AB44" s="22" t="e">
        <f t="shared" si="36"/>
        <v>#DIV/0!</v>
      </c>
      <c r="AC44" s="22" t="e">
        <f>IF(X44=0,NA(),第3期!$BF$27)</f>
        <v>#DIV/0!</v>
      </c>
      <c r="AD44" s="42"/>
      <c r="AE44" s="42"/>
      <c r="AF44" s="43"/>
      <c r="AG44" s="47"/>
    </row>
    <row r="45" spans="1:33">
      <c r="A45" s="25" t="str">
        <f t="shared" si="29"/>
        <v>第八期</v>
      </c>
      <c r="B45" s="22" t="e">
        <f>IF(B9="","",第8期!CI$7)</f>
        <v>#DIV/0!</v>
      </c>
      <c r="C45" s="22" t="e">
        <f>IF(C9="","",第8期!CJ$7)</f>
        <v>#DIV/0!</v>
      </c>
      <c r="D45" s="22" t="e">
        <f>IF(D9="","",第8期!CK$7)</f>
        <v>#DIV/0!</v>
      </c>
      <c r="E45" s="22" t="e">
        <f>IF(E9="","",第8期!CL$7)</f>
        <v>#DIV/0!</v>
      </c>
      <c r="F45" s="22" t="e">
        <f>IF(F9="","",第8期!CM$7)</f>
        <v>#DIV/0!</v>
      </c>
      <c r="G45" s="22" t="e">
        <f>IF(G9="","",第8期!CN$7)</f>
        <v>#DIV/0!</v>
      </c>
      <c r="H45" s="22" t="e">
        <f>IF(H9="","",第8期!CO$7)</f>
        <v>#DIV/0!</v>
      </c>
      <c r="I45" s="22" t="e">
        <f>IF(I9="","",第8期!CP$7)</f>
        <v>#DIV/0!</v>
      </c>
      <c r="J45" s="22" t="e">
        <f>IF(J9="","",第8期!CQ$7)</f>
        <v>#DIV/0!</v>
      </c>
      <c r="K45" s="22" t="e">
        <f>IF(K9="","",第8期!CR$7)</f>
        <v>#DIV/0!</v>
      </c>
      <c r="L45" s="22" t="e">
        <f>IF(L9="","",第8期!CS$7)</f>
        <v>#DIV/0!</v>
      </c>
      <c r="M45" s="22" t="e">
        <f>IF(M9="","",第8期!CT$7)</f>
        <v>#DIV/0!</v>
      </c>
      <c r="N45" s="22" t="e">
        <f>IF(N9="","",第8期!CU$7)</f>
        <v>#DIV/0!</v>
      </c>
      <c r="O45" s="22" t="e">
        <f>IF(O9="","",第8期!CV$7)</f>
        <v>#DIV/0!</v>
      </c>
      <c r="P45" s="22" t="e">
        <f>IF(P9="","",第8期!CW$7)</f>
        <v>#DIV/0!</v>
      </c>
      <c r="Q45" s="33" t="e">
        <f>IF(Q9="","",第8期!CX$7)</f>
        <v>#DIV/0!</v>
      </c>
      <c r="U45" s="25" t="str">
        <f>$A$5</f>
        <v>第四期</v>
      </c>
      <c r="V45" s="22" t="e">
        <f t="shared" si="30"/>
        <v>#DIV/0!</v>
      </c>
      <c r="W45" s="22" t="e">
        <f t="shared" si="31"/>
        <v>#DIV/0!</v>
      </c>
      <c r="X45" s="34" t="e">
        <f t="shared" si="32"/>
        <v>#DIV/0!</v>
      </c>
      <c r="Y45" s="22" t="e">
        <f t="shared" si="33"/>
        <v>#DIV/0!</v>
      </c>
      <c r="Z45" s="41" t="e">
        <f t="shared" si="34"/>
        <v>#DIV/0!</v>
      </c>
      <c r="AA45" s="22" t="e">
        <f t="shared" si="35"/>
        <v>#DIV/0!</v>
      </c>
      <c r="AB45" s="22" t="e">
        <f t="shared" si="36"/>
        <v>#DIV/0!</v>
      </c>
      <c r="AC45" s="22" t="e">
        <f>IF(X45=0,NA(),第4期!$BF$27)</f>
        <v>#DIV/0!</v>
      </c>
      <c r="AD45" s="42"/>
      <c r="AE45" s="42"/>
      <c r="AF45" s="43"/>
      <c r="AG45" s="47"/>
    </row>
    <row r="46" ht="14.25" spans="1:33">
      <c r="A46" s="26" t="str">
        <f t="shared" si="29"/>
        <v>第九期</v>
      </c>
      <c r="B46" s="27" t="e">
        <f>IF(B10="","",#REF!)</f>
        <v>#REF!</v>
      </c>
      <c r="C46" s="27" t="e">
        <f>IF(C10="","",#REF!)</f>
        <v>#REF!</v>
      </c>
      <c r="D46" s="27" t="e">
        <f>IF(D10="","",#REF!)</f>
        <v>#REF!</v>
      </c>
      <c r="E46" s="27" t="e">
        <f>IF(E10="","",#REF!)</f>
        <v>#REF!</v>
      </c>
      <c r="F46" s="27" t="e">
        <f>IF(F10="","",#REF!)</f>
        <v>#REF!</v>
      </c>
      <c r="G46" s="27" t="e">
        <f>IF(G10="","",#REF!)</f>
        <v>#REF!</v>
      </c>
      <c r="H46" s="27" t="e">
        <f>IF(H10="","",#REF!)</f>
        <v>#REF!</v>
      </c>
      <c r="I46" s="27" t="e">
        <f>IF(I10="","",#REF!)</f>
        <v>#REF!</v>
      </c>
      <c r="J46" s="27" t="e">
        <f>IF(J10="","",#REF!)</f>
        <v>#REF!</v>
      </c>
      <c r="K46" s="27" t="e">
        <f>IF(K10="","",#REF!)</f>
        <v>#REF!</v>
      </c>
      <c r="L46" s="27" t="e">
        <f>IF(L10="","",#REF!)</f>
        <v>#REF!</v>
      </c>
      <c r="M46" s="27" t="e">
        <f>IF(M10="","",#REF!)</f>
        <v>#REF!</v>
      </c>
      <c r="N46" s="27" t="e">
        <f>IF(N10="","",#REF!)</f>
        <v>#REF!</v>
      </c>
      <c r="O46" s="27" t="e">
        <f>IF(O10="","",#REF!)</f>
        <v>#REF!</v>
      </c>
      <c r="P46" s="27" t="e">
        <f>IF(P10="","",#REF!)</f>
        <v>#REF!</v>
      </c>
      <c r="Q46" s="35" t="e">
        <f>IF(Q10="","",#REF!)</f>
        <v>#REF!</v>
      </c>
      <c r="U46" s="25" t="str">
        <f>$A$6</f>
        <v>第五期</v>
      </c>
      <c r="V46" s="22" t="e">
        <f t="shared" si="30"/>
        <v>#DIV/0!</v>
      </c>
      <c r="W46" s="22" t="e">
        <f t="shared" si="31"/>
        <v>#DIV/0!</v>
      </c>
      <c r="X46" s="34" t="e">
        <f t="shared" si="32"/>
        <v>#DIV/0!</v>
      </c>
      <c r="Y46" s="22" t="e">
        <f t="shared" si="33"/>
        <v>#DIV/0!</v>
      </c>
      <c r="Z46" s="41" t="e">
        <f t="shared" si="34"/>
        <v>#DIV/0!</v>
      </c>
      <c r="AA46" s="22" t="e">
        <f t="shared" si="35"/>
        <v>#DIV/0!</v>
      </c>
      <c r="AB46" s="22" t="e">
        <f t="shared" si="36"/>
        <v>#DIV/0!</v>
      </c>
      <c r="AC46" s="22" t="e">
        <f>IF(X46=0,NA(),第5期!$BF$27)</f>
        <v>#DIV/0!</v>
      </c>
      <c r="AD46" s="42"/>
      <c r="AE46" s="42"/>
      <c r="AF46" s="43"/>
      <c r="AG46" s="47"/>
    </row>
    <row r="47" spans="21:33">
      <c r="U47" s="25" t="str">
        <f>$A$7</f>
        <v>第六期</v>
      </c>
      <c r="V47" s="22" t="e">
        <f t="shared" si="30"/>
        <v>#DIV/0!</v>
      </c>
      <c r="W47" s="22" t="e">
        <f t="shared" si="31"/>
        <v>#DIV/0!</v>
      </c>
      <c r="X47" s="34" t="e">
        <f t="shared" si="32"/>
        <v>#DIV/0!</v>
      </c>
      <c r="Y47" s="22" t="e">
        <f t="shared" si="33"/>
        <v>#DIV/0!</v>
      </c>
      <c r="Z47" s="41" t="e">
        <f t="shared" si="34"/>
        <v>#DIV/0!</v>
      </c>
      <c r="AA47" s="22" t="e">
        <f t="shared" si="35"/>
        <v>#DIV/0!</v>
      </c>
      <c r="AB47" s="22" t="e">
        <f t="shared" si="36"/>
        <v>#DIV/0!</v>
      </c>
      <c r="AC47" s="22" t="e">
        <f>IF(X47=0,NA(),第6期!$BF$27)</f>
        <v>#DIV/0!</v>
      </c>
      <c r="AD47" s="22" t="s">
        <v>837</v>
      </c>
      <c r="AF47" s="33"/>
      <c r="AG47" s="47"/>
    </row>
    <row r="48" ht="14.25" spans="21:33">
      <c r="U48" s="25" t="str">
        <f>$A$8</f>
        <v>第七期</v>
      </c>
      <c r="V48" s="22" t="e">
        <f t="shared" si="30"/>
        <v>#DIV/0!</v>
      </c>
      <c r="W48" s="22" t="e">
        <f t="shared" si="31"/>
        <v>#DIV/0!</v>
      </c>
      <c r="X48" s="34" t="e">
        <f t="shared" si="32"/>
        <v>#DIV/0!</v>
      </c>
      <c r="Y48" s="22" t="e">
        <f t="shared" si="33"/>
        <v>#DIV/0!</v>
      </c>
      <c r="Z48" s="41" t="e">
        <f t="shared" si="34"/>
        <v>#DIV/0!</v>
      </c>
      <c r="AA48" s="22" t="e">
        <f t="shared" si="35"/>
        <v>#DIV/0!</v>
      </c>
      <c r="AB48" s="22" t="e">
        <f t="shared" si="36"/>
        <v>#DIV/0!</v>
      </c>
      <c r="AC48" s="22" t="e">
        <f>IF(X48=0,NA(),第7期!$BF$27)</f>
        <v>#DIV/0!</v>
      </c>
      <c r="AD48" s="22" t="s">
        <v>681</v>
      </c>
      <c r="AF48" s="33"/>
      <c r="AG48" s="47"/>
    </row>
    <row r="49" spans="1:33">
      <c r="A49" s="23" t="s">
        <v>829</v>
      </c>
      <c r="B49" s="24" t="str">
        <f>B37</f>
        <v>A1</v>
      </c>
      <c r="C49" s="24" t="str">
        <f t="shared" ref="C49:Q49" si="37">C37</f>
        <v>A2</v>
      </c>
      <c r="D49" s="24" t="str">
        <f t="shared" si="37"/>
        <v>A3</v>
      </c>
      <c r="E49" s="24" t="str">
        <f t="shared" si="37"/>
        <v>A4</v>
      </c>
      <c r="F49" s="24" t="str">
        <f t="shared" si="37"/>
        <v>B1</v>
      </c>
      <c r="G49" s="24" t="str">
        <f t="shared" si="37"/>
        <v>B2</v>
      </c>
      <c r="H49" s="24" t="str">
        <f t="shared" si="37"/>
        <v>B3</v>
      </c>
      <c r="I49" s="24" t="str">
        <f t="shared" si="37"/>
        <v>B4</v>
      </c>
      <c r="J49" s="24" t="str">
        <f t="shared" si="37"/>
        <v>C1</v>
      </c>
      <c r="K49" s="24" t="str">
        <f t="shared" si="37"/>
        <v>C2</v>
      </c>
      <c r="L49" s="24" t="str">
        <f t="shared" si="37"/>
        <v>C3</v>
      </c>
      <c r="M49" s="24" t="str">
        <f t="shared" si="37"/>
        <v>C4</v>
      </c>
      <c r="N49" s="24" t="str">
        <f t="shared" si="37"/>
        <v>D1</v>
      </c>
      <c r="O49" s="24" t="str">
        <f t="shared" si="37"/>
        <v>D2</v>
      </c>
      <c r="P49" s="24" t="str">
        <f t="shared" si="37"/>
        <v>D3</v>
      </c>
      <c r="Q49" s="32" t="str">
        <f t="shared" si="37"/>
        <v>D4</v>
      </c>
      <c r="U49" s="25" t="str">
        <f>$A$9</f>
        <v>第八期</v>
      </c>
      <c r="V49" s="22" t="e">
        <f t="shared" si="30"/>
        <v>#DIV/0!</v>
      </c>
      <c r="W49" s="22" t="e">
        <f t="shared" si="31"/>
        <v>#DIV/0!</v>
      </c>
      <c r="X49" s="34" t="e">
        <f t="shared" si="32"/>
        <v>#DIV/0!</v>
      </c>
      <c r="Y49" s="22" t="e">
        <f t="shared" si="33"/>
        <v>#DIV/0!</v>
      </c>
      <c r="Z49" s="41" t="e">
        <f t="shared" si="34"/>
        <v>#DIV/0!</v>
      </c>
      <c r="AA49" s="22" t="e">
        <f t="shared" si="35"/>
        <v>#DIV/0!</v>
      </c>
      <c r="AB49" s="22" t="e">
        <f t="shared" si="36"/>
        <v>#DIV/0!</v>
      </c>
      <c r="AC49" s="22" t="e">
        <f>IF(X49=0,NA(),第8期!$BF$27)</f>
        <v>#DIV/0!</v>
      </c>
      <c r="AF49" s="33"/>
      <c r="AG49" s="47"/>
    </row>
    <row r="50" ht="14.25" spans="1:33">
      <c r="A50" s="25" t="str">
        <f>A38</f>
        <v>第一期</v>
      </c>
      <c r="B50" s="30" t="e">
        <f>IF(B2="","",第1期!CK$12)</f>
        <v>#DIV/0!</v>
      </c>
      <c r="C50" s="30" t="e">
        <f>IF(C2="","",第1期!CL$12)</f>
        <v>#DIV/0!</v>
      </c>
      <c r="D50" s="30" t="e">
        <f>IF(D2="","",第1期!CM$12)</f>
        <v>#DIV/0!</v>
      </c>
      <c r="E50" s="30" t="e">
        <f>IF(E2="","",第1期!CN$12)</f>
        <v>#DIV/0!</v>
      </c>
      <c r="F50" s="30" t="e">
        <f>IF(F2="","",第1期!CO$12)</f>
        <v>#DIV/0!</v>
      </c>
      <c r="G50" s="30" t="e">
        <f>IF(G2="","",第1期!CP$12)</f>
        <v>#DIV/0!</v>
      </c>
      <c r="H50" s="30" t="e">
        <f>IF(H2="","",第1期!CQ$12)</f>
        <v>#DIV/0!</v>
      </c>
      <c r="I50" s="30" t="e">
        <f>IF(I2="","",第1期!CR$12)</f>
        <v>#DIV/0!</v>
      </c>
      <c r="J50" s="30" t="e">
        <f>IF(J2="","",第1期!CS$12)</f>
        <v>#DIV/0!</v>
      </c>
      <c r="K50" s="30" t="e">
        <f>IF(K2="","",第1期!CT$12)</f>
        <v>#DIV/0!</v>
      </c>
      <c r="L50" s="30" t="e">
        <f>IF(L2="","",第1期!CU$12)</f>
        <v>#DIV/0!</v>
      </c>
      <c r="M50" s="30" t="e">
        <f>IF(M2="","",第1期!CV$12)</f>
        <v>#DIV/0!</v>
      </c>
      <c r="N50" s="30" t="e">
        <f>IF(N2="","",第1期!CW$12)</f>
        <v>#DIV/0!</v>
      </c>
      <c r="O50" s="30" t="e">
        <f>IF(O2="","",第1期!CX$12)</f>
        <v>#DIV/0!</v>
      </c>
      <c r="P50" s="30" t="e">
        <f>IF(P2="","",第1期!CY$12)</f>
        <v>#DIV/0!</v>
      </c>
      <c r="Q50" s="39" t="e">
        <f>IF(Q2="","",第1期!CZ$12)</f>
        <v>#DIV/0!</v>
      </c>
      <c r="U50" s="26" t="str">
        <f>$A$10</f>
        <v>第九期</v>
      </c>
      <c r="V50" s="27" t="e">
        <f t="shared" si="30"/>
        <v>#REF!</v>
      </c>
      <c r="W50" s="27" t="e">
        <f t="shared" si="31"/>
        <v>#REF!</v>
      </c>
      <c r="X50" s="34" t="e">
        <f t="shared" si="32"/>
        <v>#REF!</v>
      </c>
      <c r="Y50" s="27" t="e">
        <f t="shared" si="33"/>
        <v>#REF!</v>
      </c>
      <c r="Z50" s="44" t="e">
        <f t="shared" si="34"/>
        <v>#REF!</v>
      </c>
      <c r="AA50" s="27" t="e">
        <f t="shared" si="35"/>
        <v>#REF!</v>
      </c>
      <c r="AB50" s="27" t="e">
        <f t="shared" si="36"/>
        <v>#REF!</v>
      </c>
      <c r="AC50" s="22" t="e">
        <f>IF(X50=0,NA(),#REF!)</f>
        <v>#REF!</v>
      </c>
      <c r="AD50" s="27"/>
      <c r="AE50" s="27"/>
      <c r="AF50" s="35"/>
      <c r="AG50" s="47"/>
    </row>
    <row r="51" spans="1:33">
      <c r="A51" s="25" t="str">
        <f t="shared" ref="A51:A58" si="38">A39</f>
        <v>第二期</v>
      </c>
      <c r="B51" s="30" t="e">
        <f>IF(B3="","",第2期!CK$12)</f>
        <v>#DIV/0!</v>
      </c>
      <c r="C51" s="30" t="e">
        <f>IF(C3="","",第2期!CL$12)</f>
        <v>#DIV/0!</v>
      </c>
      <c r="D51" s="30" t="e">
        <f>IF(D3="","",第2期!CM$12)</f>
        <v>#DIV/0!</v>
      </c>
      <c r="E51" s="30" t="e">
        <f>IF(E3="","",第2期!CN$12)</f>
        <v>#DIV/0!</v>
      </c>
      <c r="F51" s="30" t="e">
        <f>IF(F3="","",第2期!CO$12)</f>
        <v>#DIV/0!</v>
      </c>
      <c r="G51" s="30" t="e">
        <f>IF(G3="","",第2期!CP$12)</f>
        <v>#DIV/0!</v>
      </c>
      <c r="H51" s="30" t="e">
        <f>IF(H3="","",第2期!CQ$12)</f>
        <v>#DIV/0!</v>
      </c>
      <c r="I51" s="30" t="e">
        <f>IF(I3="","",第2期!CR$12)</f>
        <v>#DIV/0!</v>
      </c>
      <c r="J51" s="30" t="e">
        <f>IF(J3="","",第2期!CS$12)</f>
        <v>#DIV/0!</v>
      </c>
      <c r="K51" s="30" t="e">
        <f>IF(K3="","",第2期!CT$12)</f>
        <v>#DIV/0!</v>
      </c>
      <c r="L51" s="30" t="e">
        <f>IF(L3="","",第2期!CU$12)</f>
        <v>#DIV/0!</v>
      </c>
      <c r="M51" s="30" t="e">
        <f>IF(M3="","",第2期!CV$12)</f>
        <v>#DIV/0!</v>
      </c>
      <c r="N51" s="30" t="e">
        <f>IF(N3="","",第2期!CW$12)</f>
        <v>#DIV/0!</v>
      </c>
      <c r="O51" s="30" t="e">
        <f>IF(O3="","",第2期!CX$12)</f>
        <v>#DIV/0!</v>
      </c>
      <c r="P51" s="30" t="e">
        <f>IF(P3="","",第2期!CY$12)</f>
        <v>#DIV/0!</v>
      </c>
      <c r="Q51" s="39" t="e">
        <f>IF(Q3="","",第2期!CZ$12)</f>
        <v>#DIV/0!</v>
      </c>
      <c r="U51" s="23" t="s">
        <v>846</v>
      </c>
      <c r="V51" s="24" t="s">
        <v>825</v>
      </c>
      <c r="W51" s="24" t="s">
        <v>826</v>
      </c>
      <c r="X51" s="24" t="s">
        <v>827</v>
      </c>
      <c r="Y51" s="24" t="s">
        <v>828</v>
      </c>
      <c r="Z51" s="24" t="s">
        <v>829</v>
      </c>
      <c r="AA51" s="24" t="s">
        <v>67</v>
      </c>
      <c r="AB51" s="24" t="s">
        <v>436</v>
      </c>
      <c r="AC51" s="24" t="s">
        <v>577</v>
      </c>
      <c r="AD51" s="24" t="s">
        <v>830</v>
      </c>
      <c r="AE51" s="24"/>
      <c r="AF51" s="32"/>
      <c r="AG51" s="47"/>
    </row>
    <row r="52" spans="1:33">
      <c r="A52" s="25" t="str">
        <f t="shared" si="38"/>
        <v>第三期</v>
      </c>
      <c r="B52" s="30" t="e">
        <f>IF(B4="","",第3期!CK$12)</f>
        <v>#DIV/0!</v>
      </c>
      <c r="C52" s="30" t="e">
        <f>IF(C4="","",第3期!CL$12)</f>
        <v>#DIV/0!</v>
      </c>
      <c r="D52" s="30" t="e">
        <f>IF(D4="","",第3期!CM$12)</f>
        <v>#DIV/0!</v>
      </c>
      <c r="E52" s="30" t="e">
        <f>IF(E4="","",第3期!CN$12)</f>
        <v>#DIV/0!</v>
      </c>
      <c r="F52" s="30" t="e">
        <f>IF(F4="","",第3期!CO$12)</f>
        <v>#DIV/0!</v>
      </c>
      <c r="G52" s="30" t="e">
        <f>IF(G4="","",第3期!CP$12)</f>
        <v>#DIV/0!</v>
      </c>
      <c r="H52" s="30" t="e">
        <f>IF(H4="","",第3期!CQ$12)</f>
        <v>#DIV/0!</v>
      </c>
      <c r="I52" s="30" t="e">
        <f>IF(I4="","",第3期!CR$12)</f>
        <v>#DIV/0!</v>
      </c>
      <c r="J52" s="30" t="e">
        <f>IF(J4="","",第3期!CS$12)</f>
        <v>#DIV/0!</v>
      </c>
      <c r="K52" s="30" t="e">
        <f>IF(K4="","",第3期!CT$12)</f>
        <v>#DIV/0!</v>
      </c>
      <c r="L52" s="30" t="e">
        <f>IF(L4="","",第3期!CU$12)</f>
        <v>#DIV/0!</v>
      </c>
      <c r="M52" s="30" t="e">
        <f>IF(M4="","",第3期!CV$12)</f>
        <v>#DIV/0!</v>
      </c>
      <c r="N52" s="30" t="e">
        <f>IF(N4="","",第3期!CW$12)</f>
        <v>#DIV/0!</v>
      </c>
      <c r="O52" s="30" t="e">
        <f>IF(O4="","",第3期!CX$12)</f>
        <v>#DIV/0!</v>
      </c>
      <c r="P52" s="30" t="e">
        <f>IF(P4="","",第3期!CY$12)</f>
        <v>#DIV/0!</v>
      </c>
      <c r="Q52" s="39" t="e">
        <f>IF(Q4="","",第3期!CZ$12)</f>
        <v>#DIV/0!</v>
      </c>
      <c r="U52" s="25" t="str">
        <f>$A$2</f>
        <v>第一期</v>
      </c>
      <c r="V52" s="22" t="e">
        <f>IF(B2="","",G2)</f>
        <v>#DIV/0!</v>
      </c>
      <c r="W52" s="22" t="e">
        <f>IF(C2="","",G14)</f>
        <v>#DIV/0!</v>
      </c>
      <c r="X52" s="34" t="e">
        <f>IF(D2="",0,G26)</f>
        <v>#DIV/0!</v>
      </c>
      <c r="Y52" s="22" t="e">
        <f>IF(E2="","",G38)</f>
        <v>#DIV/0!</v>
      </c>
      <c r="Z52" s="41" t="e">
        <f>IF(F2="","",G50)</f>
        <v>#DIV/0!</v>
      </c>
      <c r="AA52" s="22" t="e">
        <f>IF(G2="","",G62)</f>
        <v>#DIV/0!</v>
      </c>
      <c r="AB52" s="22" t="e">
        <f>IF(H2="","",G74)</f>
        <v>#DIV/0!</v>
      </c>
      <c r="AC52" s="22" t="e">
        <f>IF(X52=0,NA(),第1期!$BG$27)</f>
        <v>#DIV/0!</v>
      </c>
      <c r="AD52" s="42"/>
      <c r="AE52" s="42"/>
      <c r="AF52" s="43"/>
      <c r="AG52" s="47"/>
    </row>
    <row r="53" spans="1:33">
      <c r="A53" s="25" t="str">
        <f t="shared" si="38"/>
        <v>第四期</v>
      </c>
      <c r="B53" s="30" t="e">
        <f>IF(B5="","",第4期!CK$12)</f>
        <v>#DIV/0!</v>
      </c>
      <c r="C53" s="30" t="e">
        <f>IF(C5="","",第4期!CL$12)</f>
        <v>#DIV/0!</v>
      </c>
      <c r="D53" s="30" t="e">
        <f>IF(D5="","",第4期!CM$12)</f>
        <v>#DIV/0!</v>
      </c>
      <c r="E53" s="30" t="e">
        <f>IF(E5="","",第4期!CN$12)</f>
        <v>#DIV/0!</v>
      </c>
      <c r="F53" s="30" t="e">
        <f>IF(F5="","",第4期!CO$12)</f>
        <v>#DIV/0!</v>
      </c>
      <c r="G53" s="30" t="e">
        <f>IF(G5="","",第4期!CP$12)</f>
        <v>#DIV/0!</v>
      </c>
      <c r="H53" s="30" t="e">
        <f>IF(H5="","",第4期!CQ$12)</f>
        <v>#DIV/0!</v>
      </c>
      <c r="I53" s="30" t="e">
        <f>IF(I5="","",第4期!CR$12)</f>
        <v>#DIV/0!</v>
      </c>
      <c r="J53" s="30" t="e">
        <f>IF(J5="","",第4期!CS$12)</f>
        <v>#DIV/0!</v>
      </c>
      <c r="K53" s="30" t="e">
        <f>IF(K5="","",第4期!CT$12)</f>
        <v>#DIV/0!</v>
      </c>
      <c r="L53" s="30" t="e">
        <f>IF(L5="","",第4期!CU$12)</f>
        <v>#DIV/0!</v>
      </c>
      <c r="M53" s="30" t="e">
        <f>IF(M5="","",第4期!CV$12)</f>
        <v>#DIV/0!</v>
      </c>
      <c r="N53" s="30" t="e">
        <f>IF(N5="","",第4期!CW$12)</f>
        <v>#DIV/0!</v>
      </c>
      <c r="O53" s="30" t="e">
        <f>IF(O5="","",第4期!CX$12)</f>
        <v>#DIV/0!</v>
      </c>
      <c r="P53" s="30" t="e">
        <f>IF(P5="","",第4期!CY$12)</f>
        <v>#DIV/0!</v>
      </c>
      <c r="Q53" s="39" t="e">
        <f>IF(Q5="","",第4期!CZ$12)</f>
        <v>#DIV/0!</v>
      </c>
      <c r="U53" s="25" t="str">
        <f>$A$3</f>
        <v>第二期</v>
      </c>
      <c r="V53" s="22" t="e">
        <f t="shared" ref="V53:V60" si="39">IF(B3="","",G3)</f>
        <v>#DIV/0!</v>
      </c>
      <c r="W53" s="22" t="e">
        <f t="shared" ref="W53:W60" si="40">IF(C3="","",G15)</f>
        <v>#DIV/0!</v>
      </c>
      <c r="X53" s="34" t="e">
        <f t="shared" ref="X53:X60" si="41">IF(D3="",0,G27)</f>
        <v>#DIV/0!</v>
      </c>
      <c r="Y53" s="22" t="e">
        <f t="shared" ref="Y53:Y60" si="42">IF(E3="","",G39)</f>
        <v>#DIV/0!</v>
      </c>
      <c r="Z53" s="41" t="e">
        <f t="shared" ref="Z53:Z60" si="43">IF(F3="","",G51)</f>
        <v>#DIV/0!</v>
      </c>
      <c r="AA53" s="22" t="e">
        <f t="shared" ref="AA53:AA60" si="44">IF(G3="","",G63)</f>
        <v>#DIV/0!</v>
      </c>
      <c r="AB53" s="22" t="e">
        <f t="shared" ref="AB53:AB60" si="45">IF(H3="","",G75)</f>
        <v>#DIV/0!</v>
      </c>
      <c r="AC53" s="22" t="e">
        <f>IF(X53=0,NA(),第2期!$BG$27)</f>
        <v>#DIV/0!</v>
      </c>
      <c r="AD53" s="42"/>
      <c r="AE53" s="42"/>
      <c r="AF53" s="43"/>
      <c r="AG53" s="47"/>
    </row>
    <row r="54" spans="1:33">
      <c r="A54" s="25" t="str">
        <f t="shared" si="38"/>
        <v>第五期</v>
      </c>
      <c r="B54" s="30" t="e">
        <f>IF(B6="","",第5期!CK$12)</f>
        <v>#DIV/0!</v>
      </c>
      <c r="C54" s="30" t="e">
        <f>IF(C6="","",第5期!CL$12)</f>
        <v>#DIV/0!</v>
      </c>
      <c r="D54" s="30" t="e">
        <f>IF(D6="","",第5期!CM$12)</f>
        <v>#DIV/0!</v>
      </c>
      <c r="E54" s="30" t="e">
        <f>IF(E6="","",第5期!CN$12)</f>
        <v>#DIV/0!</v>
      </c>
      <c r="F54" s="30" t="e">
        <f>IF(F6="","",第5期!CO$12)</f>
        <v>#DIV/0!</v>
      </c>
      <c r="G54" s="30" t="e">
        <f>IF(G6="","",第5期!CP$12)</f>
        <v>#DIV/0!</v>
      </c>
      <c r="H54" s="30" t="e">
        <f>IF(H6="","",第5期!CQ$12)</f>
        <v>#DIV/0!</v>
      </c>
      <c r="I54" s="30" t="e">
        <f>IF(I6="","",第5期!CR$12)</f>
        <v>#DIV/0!</v>
      </c>
      <c r="J54" s="30" t="e">
        <f>IF(J6="","",第5期!CS$12)</f>
        <v>#DIV/0!</v>
      </c>
      <c r="K54" s="30" t="e">
        <f>IF(K6="","",第5期!CT$12)</f>
        <v>#DIV/0!</v>
      </c>
      <c r="L54" s="30" t="e">
        <f>IF(L6="","",第5期!CU$12)</f>
        <v>#DIV/0!</v>
      </c>
      <c r="M54" s="30" t="e">
        <f>IF(M6="","",第5期!CV$12)</f>
        <v>#DIV/0!</v>
      </c>
      <c r="N54" s="30" t="e">
        <f>IF(N6="","",第5期!CW$12)</f>
        <v>#DIV/0!</v>
      </c>
      <c r="O54" s="30" t="e">
        <f>IF(O6="","",第5期!CX$12)</f>
        <v>#DIV/0!</v>
      </c>
      <c r="P54" s="30" t="e">
        <f>IF(P6="","",第5期!CY$12)</f>
        <v>#DIV/0!</v>
      </c>
      <c r="Q54" s="39" t="e">
        <f>IF(Q6="","",第5期!CZ$12)</f>
        <v>#DIV/0!</v>
      </c>
      <c r="U54" s="25" t="str">
        <f>$A$4</f>
        <v>第三期</v>
      </c>
      <c r="V54" s="22" t="e">
        <f t="shared" si="39"/>
        <v>#DIV/0!</v>
      </c>
      <c r="W54" s="22" t="e">
        <f t="shared" si="40"/>
        <v>#DIV/0!</v>
      </c>
      <c r="X54" s="34" t="e">
        <f t="shared" si="41"/>
        <v>#DIV/0!</v>
      </c>
      <c r="Y54" s="22" t="e">
        <f t="shared" si="42"/>
        <v>#DIV/0!</v>
      </c>
      <c r="Z54" s="41" t="e">
        <f t="shared" si="43"/>
        <v>#DIV/0!</v>
      </c>
      <c r="AA54" s="22" t="e">
        <f t="shared" si="44"/>
        <v>#DIV/0!</v>
      </c>
      <c r="AB54" s="22" t="e">
        <f t="shared" si="45"/>
        <v>#DIV/0!</v>
      </c>
      <c r="AC54" s="22" t="e">
        <f>IF(X54=0,NA(),第3期!$BG$27)</f>
        <v>#DIV/0!</v>
      </c>
      <c r="AD54" s="42"/>
      <c r="AE54" s="42"/>
      <c r="AF54" s="43"/>
      <c r="AG54" s="47"/>
    </row>
    <row r="55" spans="1:33">
      <c r="A55" s="25" t="str">
        <f t="shared" si="38"/>
        <v>第六期</v>
      </c>
      <c r="B55" s="30" t="e">
        <f>IF(B7="","",第6期!CK$12)</f>
        <v>#DIV/0!</v>
      </c>
      <c r="C55" s="30" t="e">
        <f>IF(C7="","",第6期!CL$12)</f>
        <v>#DIV/0!</v>
      </c>
      <c r="D55" s="30" t="e">
        <f>IF(D7="","",第6期!CM$12)</f>
        <v>#DIV/0!</v>
      </c>
      <c r="E55" s="30" t="e">
        <f>IF(E7="","",第6期!CN$12)</f>
        <v>#DIV/0!</v>
      </c>
      <c r="F55" s="30" t="e">
        <f>IF(F7="","",第6期!CO$12)</f>
        <v>#DIV/0!</v>
      </c>
      <c r="G55" s="30" t="e">
        <f>IF(G7="","",第6期!CP$12)</f>
        <v>#DIV/0!</v>
      </c>
      <c r="H55" s="30" t="e">
        <f>IF(H7="","",第6期!CQ$12)</f>
        <v>#DIV/0!</v>
      </c>
      <c r="I55" s="30" t="e">
        <f>IF(I7="","",第6期!CR$12)</f>
        <v>#DIV/0!</v>
      </c>
      <c r="J55" s="30" t="e">
        <f>IF(J7="","",第6期!CS$12)</f>
        <v>#DIV/0!</v>
      </c>
      <c r="K55" s="30" t="e">
        <f>IF(K7="","",第6期!CT$12)</f>
        <v>#DIV/0!</v>
      </c>
      <c r="L55" s="30" t="e">
        <f>IF(L7="","",第6期!CU$12)</f>
        <v>#DIV/0!</v>
      </c>
      <c r="M55" s="30" t="e">
        <f>IF(M7="","",第6期!CV$12)</f>
        <v>#DIV/0!</v>
      </c>
      <c r="N55" s="30" t="e">
        <f>IF(N7="","",第6期!CW$12)</f>
        <v>#DIV/0!</v>
      </c>
      <c r="O55" s="30" t="e">
        <f>IF(O7="","",第6期!CX$12)</f>
        <v>#DIV/0!</v>
      </c>
      <c r="P55" s="30" t="e">
        <f>IF(P7="","",第6期!CY$12)</f>
        <v>#DIV/0!</v>
      </c>
      <c r="Q55" s="39" t="e">
        <f>IF(Q7="","",第6期!CZ$12)</f>
        <v>#DIV/0!</v>
      </c>
      <c r="U55" s="25" t="str">
        <f>$A$5</f>
        <v>第四期</v>
      </c>
      <c r="V55" s="22" t="e">
        <f t="shared" si="39"/>
        <v>#DIV/0!</v>
      </c>
      <c r="W55" s="22" t="e">
        <f t="shared" si="40"/>
        <v>#DIV/0!</v>
      </c>
      <c r="X55" s="34" t="e">
        <f t="shared" si="41"/>
        <v>#DIV/0!</v>
      </c>
      <c r="Y55" s="22" t="e">
        <f t="shared" si="42"/>
        <v>#DIV/0!</v>
      </c>
      <c r="Z55" s="41" t="e">
        <f t="shared" si="43"/>
        <v>#DIV/0!</v>
      </c>
      <c r="AA55" s="22" t="e">
        <f t="shared" si="44"/>
        <v>#DIV/0!</v>
      </c>
      <c r="AB55" s="22" t="e">
        <f t="shared" si="45"/>
        <v>#DIV/0!</v>
      </c>
      <c r="AC55" s="22" t="e">
        <f>IF(X55=0,NA(),第4期!$BG$27)</f>
        <v>#DIV/0!</v>
      </c>
      <c r="AD55" s="42"/>
      <c r="AE55" s="42"/>
      <c r="AF55" s="43"/>
      <c r="AG55" s="47"/>
    </row>
    <row r="56" spans="1:33">
      <c r="A56" s="25" t="str">
        <f t="shared" si="38"/>
        <v>第七期</v>
      </c>
      <c r="B56" s="30" t="e">
        <f>IF(B8="","",第7期!CJ$12)</f>
        <v>#DIV/0!</v>
      </c>
      <c r="C56" s="30" t="e">
        <f>IF(C8="","",第7期!CK$12)</f>
        <v>#DIV/0!</v>
      </c>
      <c r="D56" s="30" t="e">
        <f>IF(D8="","",第7期!CL$12)</f>
        <v>#DIV/0!</v>
      </c>
      <c r="E56" s="30" t="e">
        <f>IF(E8="","",第7期!CM$12)</f>
        <v>#DIV/0!</v>
      </c>
      <c r="F56" s="30" t="e">
        <f>IF(F8="","",第7期!CN$12)</f>
        <v>#DIV/0!</v>
      </c>
      <c r="G56" s="30" t="e">
        <f>IF(G8="","",第7期!CO$12)</f>
        <v>#DIV/0!</v>
      </c>
      <c r="H56" s="30" t="e">
        <f>IF(H8="","",第7期!CP$12)</f>
        <v>#DIV/0!</v>
      </c>
      <c r="I56" s="30" t="e">
        <f>IF(I8="","",第7期!CQ$12)</f>
        <v>#DIV/0!</v>
      </c>
      <c r="J56" s="30" t="e">
        <f>IF(J8="","",第7期!CR$12)</f>
        <v>#DIV/0!</v>
      </c>
      <c r="K56" s="30" t="e">
        <f>IF(K8="","",第7期!CS$12)</f>
        <v>#DIV/0!</v>
      </c>
      <c r="L56" s="30" t="e">
        <f>IF(L8="","",第7期!CT$12)</f>
        <v>#DIV/0!</v>
      </c>
      <c r="M56" s="30" t="e">
        <f>IF(M8="","",第7期!CU$12)</f>
        <v>#DIV/0!</v>
      </c>
      <c r="N56" s="30" t="e">
        <f>IF(N8="","",第7期!CV$12)</f>
        <v>#DIV/0!</v>
      </c>
      <c r="O56" s="30" t="e">
        <f>IF(O8="","",第7期!CW$12)</f>
        <v>#DIV/0!</v>
      </c>
      <c r="P56" s="30" t="e">
        <f>IF(P8="","",第7期!CX$12)</f>
        <v>#DIV/0!</v>
      </c>
      <c r="Q56" s="39" t="e">
        <f>IF(Q8="","",第7期!CY$12)</f>
        <v>#DIV/0!</v>
      </c>
      <c r="U56" s="25" t="str">
        <f>$A$6</f>
        <v>第五期</v>
      </c>
      <c r="V56" s="22" t="e">
        <f t="shared" si="39"/>
        <v>#DIV/0!</v>
      </c>
      <c r="W56" s="22" t="e">
        <f t="shared" si="40"/>
        <v>#DIV/0!</v>
      </c>
      <c r="X56" s="34" t="e">
        <f t="shared" si="41"/>
        <v>#DIV/0!</v>
      </c>
      <c r="Y56" s="22" t="e">
        <f t="shared" si="42"/>
        <v>#DIV/0!</v>
      </c>
      <c r="Z56" s="41" t="e">
        <f t="shared" si="43"/>
        <v>#DIV/0!</v>
      </c>
      <c r="AA56" s="22" t="e">
        <f t="shared" si="44"/>
        <v>#DIV/0!</v>
      </c>
      <c r="AB56" s="22" t="e">
        <f t="shared" si="45"/>
        <v>#DIV/0!</v>
      </c>
      <c r="AC56" s="22" t="e">
        <f>IF(X56=0,NA(),第5期!$BG$27)</f>
        <v>#DIV/0!</v>
      </c>
      <c r="AD56" s="42"/>
      <c r="AE56" s="42"/>
      <c r="AF56" s="43"/>
      <c r="AG56" s="47"/>
    </row>
    <row r="57" spans="1:33">
      <c r="A57" s="25" t="str">
        <f t="shared" si="38"/>
        <v>第八期</v>
      </c>
      <c r="B57" s="30" t="e">
        <f>IF(B9="","",第8期!CI$12)</f>
        <v>#DIV/0!</v>
      </c>
      <c r="C57" s="30" t="e">
        <f>IF(C9="","",第8期!CJ$12)</f>
        <v>#DIV/0!</v>
      </c>
      <c r="D57" s="30" t="e">
        <f>IF(D9="","",第8期!CK$12)</f>
        <v>#DIV/0!</v>
      </c>
      <c r="E57" s="30" t="e">
        <f>IF(E9="","",第8期!CL$12)</f>
        <v>#DIV/0!</v>
      </c>
      <c r="F57" s="30" t="e">
        <f>IF(F9="","",第8期!CM$12)</f>
        <v>#DIV/0!</v>
      </c>
      <c r="G57" s="30" t="e">
        <f>IF(G9="","",第8期!CN$12)</f>
        <v>#DIV/0!</v>
      </c>
      <c r="H57" s="30" t="e">
        <f>IF(H9="","",第8期!CO$12)</f>
        <v>#DIV/0!</v>
      </c>
      <c r="I57" s="30" t="e">
        <f>IF(I9="","",第8期!CP$12)</f>
        <v>#DIV/0!</v>
      </c>
      <c r="J57" s="30" t="e">
        <f>IF(J9="","",第8期!CQ$12)</f>
        <v>#DIV/0!</v>
      </c>
      <c r="K57" s="30" t="e">
        <f>IF(K9="","",第8期!CR$12)</f>
        <v>#DIV/0!</v>
      </c>
      <c r="L57" s="30" t="e">
        <f>IF(L9="","",第8期!CS$12)</f>
        <v>#DIV/0!</v>
      </c>
      <c r="M57" s="30" t="e">
        <f>IF(M9="","",第8期!CT$12)</f>
        <v>#DIV/0!</v>
      </c>
      <c r="N57" s="30" t="e">
        <f>IF(N9="","",第8期!CU$12)</f>
        <v>#DIV/0!</v>
      </c>
      <c r="O57" s="30" t="e">
        <f>IF(O9="","",第8期!CV$12)</f>
        <v>#DIV/0!</v>
      </c>
      <c r="P57" s="30" t="e">
        <f>IF(P9="","",第8期!CW$12)</f>
        <v>#DIV/0!</v>
      </c>
      <c r="Q57" s="39" t="e">
        <f>IF(Q9="","",第8期!CX$12)</f>
        <v>#DIV/0!</v>
      </c>
      <c r="U57" s="25" t="str">
        <f>$A$7</f>
        <v>第六期</v>
      </c>
      <c r="V57" s="22" t="e">
        <f t="shared" si="39"/>
        <v>#DIV/0!</v>
      </c>
      <c r="W57" s="22" t="e">
        <f t="shared" si="40"/>
        <v>#DIV/0!</v>
      </c>
      <c r="X57" s="34" t="e">
        <f t="shared" si="41"/>
        <v>#DIV/0!</v>
      </c>
      <c r="Y57" s="22" t="e">
        <f t="shared" si="42"/>
        <v>#DIV/0!</v>
      </c>
      <c r="Z57" s="41" t="e">
        <f t="shared" si="43"/>
        <v>#DIV/0!</v>
      </c>
      <c r="AA57" s="22" t="e">
        <f t="shared" si="44"/>
        <v>#DIV/0!</v>
      </c>
      <c r="AB57" s="22" t="e">
        <f t="shared" si="45"/>
        <v>#DIV/0!</v>
      </c>
      <c r="AC57" s="22" t="e">
        <f>IF(X57=0,NA(),第6期!$BG$27)</f>
        <v>#DIV/0!</v>
      </c>
      <c r="AD57" s="22" t="s">
        <v>837</v>
      </c>
      <c r="AF57" s="33"/>
      <c r="AG57" s="47"/>
    </row>
    <row r="58" ht="14.25" spans="1:33">
      <c r="A58" s="26" t="str">
        <f t="shared" si="38"/>
        <v>第九期</v>
      </c>
      <c r="B58" s="31" t="e">
        <f>IF(B10="","",#REF!)</f>
        <v>#REF!</v>
      </c>
      <c r="C58" s="31" t="e">
        <f>IF(C10="","",#REF!)</f>
        <v>#REF!</v>
      </c>
      <c r="D58" s="31" t="e">
        <f>IF(D10="","",#REF!)</f>
        <v>#REF!</v>
      </c>
      <c r="E58" s="31" t="e">
        <f>IF(E10="","",#REF!)</f>
        <v>#REF!</v>
      </c>
      <c r="F58" s="31" t="e">
        <f>IF(F10="","",#REF!)</f>
        <v>#REF!</v>
      </c>
      <c r="G58" s="31" t="e">
        <f>IF(G10="","",#REF!)</f>
        <v>#REF!</v>
      </c>
      <c r="H58" s="31" t="e">
        <f>IF(H10="","",#REF!)</f>
        <v>#REF!</v>
      </c>
      <c r="I58" s="31" t="e">
        <f>IF(I10="","",#REF!)</f>
        <v>#REF!</v>
      </c>
      <c r="J58" s="31" t="e">
        <f>IF(J10="","",#REF!)</f>
        <v>#REF!</v>
      </c>
      <c r="K58" s="31" t="e">
        <f>IF(K10="","",#REF!)</f>
        <v>#REF!</v>
      </c>
      <c r="L58" s="31" t="e">
        <f>IF(L10="","",#REF!)</f>
        <v>#REF!</v>
      </c>
      <c r="M58" s="31" t="e">
        <f>IF(M10="","",#REF!)</f>
        <v>#REF!</v>
      </c>
      <c r="N58" s="31" t="e">
        <f>IF(N10="","",#REF!)</f>
        <v>#REF!</v>
      </c>
      <c r="O58" s="31" t="e">
        <f>IF(O10="","",#REF!)</f>
        <v>#REF!</v>
      </c>
      <c r="P58" s="31" t="e">
        <f>IF(P10="","",#REF!)</f>
        <v>#REF!</v>
      </c>
      <c r="Q58" s="40" t="e">
        <f>IF(Q10="","",#REF!)</f>
        <v>#REF!</v>
      </c>
      <c r="U58" s="25" t="str">
        <f>$A$8</f>
        <v>第七期</v>
      </c>
      <c r="V58" s="22" t="e">
        <f t="shared" si="39"/>
        <v>#DIV/0!</v>
      </c>
      <c r="W58" s="22" t="e">
        <f t="shared" si="40"/>
        <v>#DIV/0!</v>
      </c>
      <c r="X58" s="34" t="e">
        <f t="shared" si="41"/>
        <v>#DIV/0!</v>
      </c>
      <c r="Y58" s="22" t="e">
        <f t="shared" si="42"/>
        <v>#DIV/0!</v>
      </c>
      <c r="Z58" s="41" t="e">
        <f t="shared" si="43"/>
        <v>#DIV/0!</v>
      </c>
      <c r="AA58" s="22" t="e">
        <f t="shared" si="44"/>
        <v>#DIV/0!</v>
      </c>
      <c r="AB58" s="22" t="e">
        <f t="shared" si="45"/>
        <v>#DIV/0!</v>
      </c>
      <c r="AC58" s="22" t="e">
        <f>IF(X58=0,NA(),第7期!$BG$27)</f>
        <v>#DIV/0!</v>
      </c>
      <c r="AD58" s="22" t="s">
        <v>681</v>
      </c>
      <c r="AF58" s="33"/>
      <c r="AG58" s="47"/>
    </row>
    <row r="59" spans="21:33">
      <c r="U59" s="25" t="str">
        <f>$A$9</f>
        <v>第八期</v>
      </c>
      <c r="V59" s="22" t="e">
        <f t="shared" si="39"/>
        <v>#DIV/0!</v>
      </c>
      <c r="W59" s="22" t="e">
        <f t="shared" si="40"/>
        <v>#DIV/0!</v>
      </c>
      <c r="X59" s="34" t="e">
        <f t="shared" si="41"/>
        <v>#DIV/0!</v>
      </c>
      <c r="Y59" s="22" t="e">
        <f t="shared" si="42"/>
        <v>#DIV/0!</v>
      </c>
      <c r="Z59" s="41" t="e">
        <f t="shared" si="43"/>
        <v>#DIV/0!</v>
      </c>
      <c r="AA59" s="22" t="e">
        <f t="shared" si="44"/>
        <v>#DIV/0!</v>
      </c>
      <c r="AB59" s="22" t="e">
        <f t="shared" si="45"/>
        <v>#DIV/0!</v>
      </c>
      <c r="AC59" s="22" t="e">
        <f>IF(X59=0,NA(),第8期!$BG$27)</f>
        <v>#DIV/0!</v>
      </c>
      <c r="AF59" s="33"/>
      <c r="AG59" s="47"/>
    </row>
    <row r="60" ht="14.25" spans="21:33">
      <c r="U60" s="26" t="str">
        <f>$A$10</f>
        <v>第九期</v>
      </c>
      <c r="V60" s="27" t="e">
        <f t="shared" si="39"/>
        <v>#REF!</v>
      </c>
      <c r="W60" s="27" t="e">
        <f t="shared" si="40"/>
        <v>#REF!</v>
      </c>
      <c r="X60" s="34" t="e">
        <f t="shared" si="41"/>
        <v>#REF!</v>
      </c>
      <c r="Y60" s="27" t="e">
        <f t="shared" si="42"/>
        <v>#REF!</v>
      </c>
      <c r="Z60" s="44" t="e">
        <f t="shared" si="43"/>
        <v>#REF!</v>
      </c>
      <c r="AA60" s="27" t="e">
        <f t="shared" si="44"/>
        <v>#REF!</v>
      </c>
      <c r="AB60" s="27" t="e">
        <f t="shared" si="45"/>
        <v>#REF!</v>
      </c>
      <c r="AC60" s="22" t="e">
        <f>IF(X60=0,NA(),#REF!)</f>
        <v>#REF!</v>
      </c>
      <c r="AD60" s="27"/>
      <c r="AE60" s="27"/>
      <c r="AF60" s="35"/>
      <c r="AG60" s="47"/>
    </row>
    <row r="61" spans="1:33">
      <c r="A61" s="23" t="s">
        <v>67</v>
      </c>
      <c r="B61" s="24" t="str">
        <f>B49</f>
        <v>A1</v>
      </c>
      <c r="C61" s="24" t="str">
        <f t="shared" ref="C61:Q61" si="46">C49</f>
        <v>A2</v>
      </c>
      <c r="D61" s="24" t="str">
        <f t="shared" si="46"/>
        <v>A3</v>
      </c>
      <c r="E61" s="24" t="str">
        <f t="shared" si="46"/>
        <v>A4</v>
      </c>
      <c r="F61" s="24" t="str">
        <f t="shared" si="46"/>
        <v>B1</v>
      </c>
      <c r="G61" s="24" t="str">
        <f t="shared" si="46"/>
        <v>B2</v>
      </c>
      <c r="H61" s="24" t="str">
        <f t="shared" si="46"/>
        <v>B3</v>
      </c>
      <c r="I61" s="24" t="str">
        <f t="shared" si="46"/>
        <v>B4</v>
      </c>
      <c r="J61" s="24" t="str">
        <f t="shared" si="46"/>
        <v>C1</v>
      </c>
      <c r="K61" s="24" t="str">
        <f t="shared" si="46"/>
        <v>C2</v>
      </c>
      <c r="L61" s="24" t="str">
        <f t="shared" si="46"/>
        <v>C3</v>
      </c>
      <c r="M61" s="24" t="str">
        <f t="shared" si="46"/>
        <v>C4</v>
      </c>
      <c r="N61" s="24" t="str">
        <f t="shared" si="46"/>
        <v>D1</v>
      </c>
      <c r="O61" s="24" t="str">
        <f t="shared" si="46"/>
        <v>D2</v>
      </c>
      <c r="P61" s="24" t="str">
        <f t="shared" si="46"/>
        <v>D3</v>
      </c>
      <c r="Q61" s="32" t="str">
        <f t="shared" si="46"/>
        <v>D4</v>
      </c>
      <c r="U61" s="23" t="s">
        <v>847</v>
      </c>
      <c r="V61" s="24" t="s">
        <v>825</v>
      </c>
      <c r="W61" s="24" t="s">
        <v>826</v>
      </c>
      <c r="X61" s="24" t="s">
        <v>827</v>
      </c>
      <c r="Y61" s="24" t="s">
        <v>828</v>
      </c>
      <c r="Z61" s="24" t="s">
        <v>829</v>
      </c>
      <c r="AA61" s="24" t="s">
        <v>67</v>
      </c>
      <c r="AB61" s="24" t="s">
        <v>436</v>
      </c>
      <c r="AC61" s="24" t="s">
        <v>577</v>
      </c>
      <c r="AD61" s="24" t="s">
        <v>830</v>
      </c>
      <c r="AE61" s="24"/>
      <c r="AF61" s="32"/>
      <c r="AG61" s="47"/>
    </row>
    <row r="62" spans="1:33">
      <c r="A62" s="25" t="str">
        <f>A50</f>
        <v>第一期</v>
      </c>
      <c r="B62" s="22" t="e">
        <f>IF(B2="","",第1期!CK$17)</f>
        <v>#DIV/0!</v>
      </c>
      <c r="C62" s="22" t="e">
        <f>IF(C2="","",第1期!CL$17)</f>
        <v>#DIV/0!</v>
      </c>
      <c r="D62" s="22" t="e">
        <f>IF(D2="","",第1期!CM$17)</f>
        <v>#DIV/0!</v>
      </c>
      <c r="E62" s="22" t="e">
        <f>IF(E2="","",第1期!CN$17)</f>
        <v>#DIV/0!</v>
      </c>
      <c r="F62" s="22" t="e">
        <f>IF(F2="","",第1期!CO$17)</f>
        <v>#DIV/0!</v>
      </c>
      <c r="G62" s="22" t="e">
        <f>IF(G2="","",第1期!CP$17)</f>
        <v>#DIV/0!</v>
      </c>
      <c r="H62" s="22" t="e">
        <f>IF(H2="","",第1期!CQ$17)</f>
        <v>#DIV/0!</v>
      </c>
      <c r="I62" s="22" t="e">
        <f>IF(I2="","",第1期!CR$17)</f>
        <v>#DIV/0!</v>
      </c>
      <c r="J62" s="22" t="e">
        <f>IF(J2="","",第1期!CS$17)</f>
        <v>#DIV/0!</v>
      </c>
      <c r="K62" s="22" t="e">
        <f>IF(K2="","",第1期!CT$17)</f>
        <v>#DIV/0!</v>
      </c>
      <c r="L62" s="22" t="e">
        <f>IF(L2="","",第1期!CU$17)</f>
        <v>#DIV/0!</v>
      </c>
      <c r="M62" s="22" t="e">
        <f>IF(M2="","",第1期!CV$17)</f>
        <v>#DIV/0!</v>
      </c>
      <c r="N62" s="22" t="e">
        <f>IF(N2="","",第1期!CW$17)</f>
        <v>#DIV/0!</v>
      </c>
      <c r="O62" s="22" t="e">
        <f>IF(O2="","",第1期!CX$17)</f>
        <v>#DIV/0!</v>
      </c>
      <c r="P62" s="22" t="e">
        <f>IF(P2="","",第1期!CY$17)</f>
        <v>#DIV/0!</v>
      </c>
      <c r="Q62" s="33" t="e">
        <f>IF(Q2="","",第1期!CZ$17)</f>
        <v>#DIV/0!</v>
      </c>
      <c r="U62" s="25" t="str">
        <f>$A$2</f>
        <v>第一期</v>
      </c>
      <c r="V62" s="22" t="e">
        <f>IF(B2="","",H2)</f>
        <v>#DIV/0!</v>
      </c>
      <c r="W62" s="22" t="e">
        <f>IF(C2="","",H14)</f>
        <v>#DIV/0!</v>
      </c>
      <c r="X62" s="34" t="e">
        <f>IF(D2="",0,H26)</f>
        <v>#DIV/0!</v>
      </c>
      <c r="Y62" s="22" t="e">
        <f>IF(E2="","",H38)</f>
        <v>#DIV/0!</v>
      </c>
      <c r="Z62" s="41" t="e">
        <f>IF(F2="","",H50)</f>
        <v>#DIV/0!</v>
      </c>
      <c r="AA62" s="22" t="e">
        <f>IF(G2="","",H62)</f>
        <v>#DIV/0!</v>
      </c>
      <c r="AB62" s="22" t="e">
        <f>IF(H2="","",H74)</f>
        <v>#DIV/0!</v>
      </c>
      <c r="AC62" s="22" t="e">
        <f>IF(X62=0,NA(),第1期!$BH$27)</f>
        <v>#DIV/0!</v>
      </c>
      <c r="AD62" s="42"/>
      <c r="AE62" s="42"/>
      <c r="AF62" s="43"/>
      <c r="AG62" s="47"/>
    </row>
    <row r="63" spans="1:33">
      <c r="A63" s="25" t="str">
        <f t="shared" ref="A63:A70" si="47">A51</f>
        <v>第二期</v>
      </c>
      <c r="B63" s="22" t="e">
        <f>IF(B3="","",第2期!CK$17)</f>
        <v>#DIV/0!</v>
      </c>
      <c r="C63" s="22" t="e">
        <f>IF(C3="","",第2期!CL$17)</f>
        <v>#DIV/0!</v>
      </c>
      <c r="D63" s="22" t="e">
        <f>IF(D3="","",第2期!CM$17)</f>
        <v>#DIV/0!</v>
      </c>
      <c r="E63" s="22" t="e">
        <f>IF(E3="","",第2期!CN$17)</f>
        <v>#DIV/0!</v>
      </c>
      <c r="F63" s="22" t="e">
        <f>IF(F3="","",第2期!CO$17)</f>
        <v>#DIV/0!</v>
      </c>
      <c r="G63" s="22" t="e">
        <f>IF(G3="","",第2期!CP$17)</f>
        <v>#DIV/0!</v>
      </c>
      <c r="H63" s="22" t="e">
        <f>IF(H3="","",第2期!CQ$17)</f>
        <v>#DIV/0!</v>
      </c>
      <c r="I63" s="22" t="e">
        <f>IF(I3="","",第2期!CR$17)</f>
        <v>#DIV/0!</v>
      </c>
      <c r="J63" s="22" t="e">
        <f>IF(J3="","",第2期!CS$17)</f>
        <v>#DIV/0!</v>
      </c>
      <c r="K63" s="22" t="e">
        <f>IF(K3="","",第2期!CT$17)</f>
        <v>#DIV/0!</v>
      </c>
      <c r="L63" s="22" t="e">
        <f>IF(L3="","",第2期!CU$17)</f>
        <v>#DIV/0!</v>
      </c>
      <c r="M63" s="22" t="e">
        <f>IF(M3="","",第2期!CV$17)</f>
        <v>#DIV/0!</v>
      </c>
      <c r="N63" s="22" t="e">
        <f>IF(N3="","",第2期!CW$17)</f>
        <v>#DIV/0!</v>
      </c>
      <c r="O63" s="22" t="e">
        <f>IF(O3="","",第2期!CX$17)</f>
        <v>#DIV/0!</v>
      </c>
      <c r="P63" s="22" t="e">
        <f>IF(P3="","",第2期!CY$17)</f>
        <v>#DIV/0!</v>
      </c>
      <c r="Q63" s="33" t="e">
        <f>IF(Q3="","",第2期!CZ$17)</f>
        <v>#DIV/0!</v>
      </c>
      <c r="U63" s="25" t="str">
        <f>$A$3</f>
        <v>第二期</v>
      </c>
      <c r="V63" s="22" t="e">
        <f t="shared" ref="V63:V70" si="48">IF(B3="","",H3)</f>
        <v>#DIV/0!</v>
      </c>
      <c r="W63" s="22" t="e">
        <f t="shared" ref="W63:W70" si="49">IF(C3="","",H15)</f>
        <v>#DIV/0!</v>
      </c>
      <c r="X63" s="34" t="e">
        <f t="shared" ref="X63:X70" si="50">IF(D3="",0,H27)</f>
        <v>#DIV/0!</v>
      </c>
      <c r="Y63" s="22" t="e">
        <f t="shared" ref="Y63:Y70" si="51">IF(E3="","",H39)</f>
        <v>#DIV/0!</v>
      </c>
      <c r="Z63" s="41" t="e">
        <f t="shared" ref="Z63:Z70" si="52">IF(F3="","",H51)</f>
        <v>#DIV/0!</v>
      </c>
      <c r="AA63" s="22" t="e">
        <f t="shared" ref="AA63:AA70" si="53">IF(G3="","",H63)</f>
        <v>#DIV/0!</v>
      </c>
      <c r="AB63" s="22" t="e">
        <f t="shared" ref="AB63:AB70" si="54">IF(H3="","",H75)</f>
        <v>#DIV/0!</v>
      </c>
      <c r="AC63" s="22" t="e">
        <f>IF(X63=0,NA(),第2期!$BH$27)</f>
        <v>#DIV/0!</v>
      </c>
      <c r="AD63" s="42"/>
      <c r="AE63" s="42"/>
      <c r="AF63" s="43"/>
      <c r="AG63" s="47"/>
    </row>
    <row r="64" spans="1:33">
      <c r="A64" s="25" t="str">
        <f t="shared" si="47"/>
        <v>第三期</v>
      </c>
      <c r="B64" s="22" t="e">
        <f>IF(B4="","",第3期!CK$17)</f>
        <v>#DIV/0!</v>
      </c>
      <c r="C64" s="22" t="e">
        <f>IF(C4="","",第3期!CL$17)</f>
        <v>#DIV/0!</v>
      </c>
      <c r="D64" s="22" t="e">
        <f>IF(D4="","",第3期!CM$17)</f>
        <v>#DIV/0!</v>
      </c>
      <c r="E64" s="22" t="e">
        <f>IF(E4="","",第3期!CN$17)</f>
        <v>#DIV/0!</v>
      </c>
      <c r="F64" s="22" t="e">
        <f>IF(F4="","",第3期!CO$17)</f>
        <v>#DIV/0!</v>
      </c>
      <c r="G64" s="22" t="e">
        <f>IF(G4="","",第3期!CP$17)</f>
        <v>#DIV/0!</v>
      </c>
      <c r="H64" s="22" t="e">
        <f>IF(H4="","",第3期!CQ$17)</f>
        <v>#DIV/0!</v>
      </c>
      <c r="I64" s="22" t="e">
        <f>IF(I4="","",第3期!CR$17)</f>
        <v>#DIV/0!</v>
      </c>
      <c r="J64" s="22" t="e">
        <f>IF(J4="","",第3期!CS$17)</f>
        <v>#DIV/0!</v>
      </c>
      <c r="K64" s="22" t="e">
        <f>IF(K4="","",第3期!CT$17)</f>
        <v>#DIV/0!</v>
      </c>
      <c r="L64" s="22" t="e">
        <f>IF(L4="","",第3期!CU$17)</f>
        <v>#DIV/0!</v>
      </c>
      <c r="M64" s="22" t="e">
        <f>IF(M4="","",第3期!CV$17)</f>
        <v>#DIV/0!</v>
      </c>
      <c r="N64" s="22" t="e">
        <f>IF(N4="","",第3期!CW$17)</f>
        <v>#DIV/0!</v>
      </c>
      <c r="O64" s="22" t="e">
        <f>IF(O4="","",第3期!CX$17)</f>
        <v>#DIV/0!</v>
      </c>
      <c r="P64" s="22" t="e">
        <f>IF(P4="","",第3期!CY$17)</f>
        <v>#DIV/0!</v>
      </c>
      <c r="Q64" s="33" t="e">
        <f>IF(Q4="","",第3期!CZ$17)</f>
        <v>#DIV/0!</v>
      </c>
      <c r="U64" s="25" t="str">
        <f>$A$4</f>
        <v>第三期</v>
      </c>
      <c r="V64" s="22" t="e">
        <f t="shared" si="48"/>
        <v>#DIV/0!</v>
      </c>
      <c r="W64" s="22" t="e">
        <f t="shared" si="49"/>
        <v>#DIV/0!</v>
      </c>
      <c r="X64" s="34" t="e">
        <f t="shared" si="50"/>
        <v>#DIV/0!</v>
      </c>
      <c r="Y64" s="22" t="e">
        <f t="shared" si="51"/>
        <v>#DIV/0!</v>
      </c>
      <c r="Z64" s="41" t="e">
        <f t="shared" si="52"/>
        <v>#DIV/0!</v>
      </c>
      <c r="AA64" s="22" t="e">
        <f t="shared" si="53"/>
        <v>#DIV/0!</v>
      </c>
      <c r="AB64" s="22" t="e">
        <f t="shared" si="54"/>
        <v>#DIV/0!</v>
      </c>
      <c r="AC64" s="22" t="e">
        <f>IF(X64=0,NA(),第3期!$BH$27)</f>
        <v>#DIV/0!</v>
      </c>
      <c r="AD64" s="42"/>
      <c r="AE64" s="42"/>
      <c r="AF64" s="43"/>
      <c r="AG64" s="47"/>
    </row>
    <row r="65" spans="1:33">
      <c r="A65" s="25" t="str">
        <f t="shared" si="47"/>
        <v>第四期</v>
      </c>
      <c r="B65" s="22" t="e">
        <f>IF(B5="","",第4期!CK$17)</f>
        <v>#DIV/0!</v>
      </c>
      <c r="C65" s="22" t="e">
        <f>IF(C5="","",第4期!CL$17)</f>
        <v>#DIV/0!</v>
      </c>
      <c r="D65" s="22" t="e">
        <f>IF(D5="","",第4期!CM$17)</f>
        <v>#DIV/0!</v>
      </c>
      <c r="E65" s="22" t="e">
        <f>IF(E5="","",第4期!CN$17)</f>
        <v>#DIV/0!</v>
      </c>
      <c r="F65" s="22" t="e">
        <f>IF(F5="","",第4期!CO$17)</f>
        <v>#DIV/0!</v>
      </c>
      <c r="G65" s="22" t="e">
        <f>IF(G5="","",第4期!CP$17)</f>
        <v>#DIV/0!</v>
      </c>
      <c r="H65" s="22" t="e">
        <f>IF(H5="","",第4期!CQ$17)</f>
        <v>#DIV/0!</v>
      </c>
      <c r="I65" s="22" t="e">
        <f>IF(I5="","",第4期!CR$17)</f>
        <v>#DIV/0!</v>
      </c>
      <c r="J65" s="22" t="e">
        <f>IF(J5="","",第4期!CS$17)</f>
        <v>#DIV/0!</v>
      </c>
      <c r="K65" s="22" t="e">
        <f>IF(K5="","",第4期!CT$17)</f>
        <v>#DIV/0!</v>
      </c>
      <c r="L65" s="22" t="e">
        <f>IF(L5="","",第4期!CU$17)</f>
        <v>#DIV/0!</v>
      </c>
      <c r="M65" s="22" t="e">
        <f>IF(M5="","",第4期!CV$17)</f>
        <v>#DIV/0!</v>
      </c>
      <c r="N65" s="22" t="e">
        <f>IF(N5="","",第4期!CW$17)</f>
        <v>#DIV/0!</v>
      </c>
      <c r="O65" s="22" t="e">
        <f>IF(O5="","",第4期!CX$17)</f>
        <v>#DIV/0!</v>
      </c>
      <c r="P65" s="22" t="e">
        <f>IF(P5="","",第4期!CY$17)</f>
        <v>#DIV/0!</v>
      </c>
      <c r="Q65" s="33" t="e">
        <f>IF(Q5="","",第4期!CZ$17)</f>
        <v>#DIV/0!</v>
      </c>
      <c r="U65" s="25" t="str">
        <f>$A$5</f>
        <v>第四期</v>
      </c>
      <c r="V65" s="22" t="e">
        <f t="shared" si="48"/>
        <v>#DIV/0!</v>
      </c>
      <c r="W65" s="22" t="e">
        <f t="shared" si="49"/>
        <v>#DIV/0!</v>
      </c>
      <c r="X65" s="34" t="e">
        <f t="shared" si="50"/>
        <v>#DIV/0!</v>
      </c>
      <c r="Y65" s="22" t="e">
        <f t="shared" si="51"/>
        <v>#DIV/0!</v>
      </c>
      <c r="Z65" s="41" t="e">
        <f t="shared" si="52"/>
        <v>#DIV/0!</v>
      </c>
      <c r="AA65" s="22" t="e">
        <f t="shared" si="53"/>
        <v>#DIV/0!</v>
      </c>
      <c r="AB65" s="22" t="e">
        <f t="shared" si="54"/>
        <v>#DIV/0!</v>
      </c>
      <c r="AC65" s="22" t="e">
        <f>IF(X65=0,NA(),第4期!$BH$27)</f>
        <v>#DIV/0!</v>
      </c>
      <c r="AD65" s="42"/>
      <c r="AE65" s="42"/>
      <c r="AF65" s="43"/>
      <c r="AG65" s="47"/>
    </row>
    <row r="66" spans="1:33">
      <c r="A66" s="25" t="str">
        <f t="shared" si="47"/>
        <v>第五期</v>
      </c>
      <c r="B66" s="22" t="e">
        <f>IF(B6="","",第5期!CK$17)</f>
        <v>#DIV/0!</v>
      </c>
      <c r="C66" s="22" t="e">
        <f>IF(C6="","",第5期!CL$17)</f>
        <v>#DIV/0!</v>
      </c>
      <c r="D66" s="22" t="e">
        <f>IF(D6="","",第5期!CM$17)</f>
        <v>#DIV/0!</v>
      </c>
      <c r="E66" s="22" t="e">
        <f>IF(E6="","",第5期!CN$17)</f>
        <v>#DIV/0!</v>
      </c>
      <c r="F66" s="22" t="e">
        <f>IF(F6="","",第5期!CO$17)</f>
        <v>#DIV/0!</v>
      </c>
      <c r="G66" s="22" t="e">
        <f>IF(G6="","",第5期!CP$17)</f>
        <v>#DIV/0!</v>
      </c>
      <c r="H66" s="22" t="e">
        <f>IF(H6="","",第5期!CQ$17)</f>
        <v>#DIV/0!</v>
      </c>
      <c r="I66" s="22" t="e">
        <f>IF(I6="","",第5期!CR$17)</f>
        <v>#DIV/0!</v>
      </c>
      <c r="J66" s="22" t="e">
        <f>IF(J6="","",第5期!CS$17)</f>
        <v>#DIV/0!</v>
      </c>
      <c r="K66" s="22" t="e">
        <f>IF(K6="","",第5期!CT$17)</f>
        <v>#DIV/0!</v>
      </c>
      <c r="L66" s="22" t="e">
        <f>IF(L6="","",第5期!CU$17)</f>
        <v>#DIV/0!</v>
      </c>
      <c r="M66" s="22" t="e">
        <f>IF(M6="","",第5期!CV$17)</f>
        <v>#DIV/0!</v>
      </c>
      <c r="N66" s="22" t="e">
        <f>IF(N6="","",第5期!CW$17)</f>
        <v>#DIV/0!</v>
      </c>
      <c r="O66" s="22" t="e">
        <f>IF(O6="","",第5期!CX$17)</f>
        <v>#DIV/0!</v>
      </c>
      <c r="P66" s="22" t="e">
        <f>IF(P6="","",第5期!CY$17)</f>
        <v>#DIV/0!</v>
      </c>
      <c r="Q66" s="33" t="e">
        <f>IF(Q6="","",第5期!CZ$17)</f>
        <v>#DIV/0!</v>
      </c>
      <c r="U66" s="25" t="str">
        <f>$A$6</f>
        <v>第五期</v>
      </c>
      <c r="V66" s="22" t="e">
        <f t="shared" si="48"/>
        <v>#DIV/0!</v>
      </c>
      <c r="W66" s="22" t="e">
        <f t="shared" si="49"/>
        <v>#DIV/0!</v>
      </c>
      <c r="X66" s="34" t="e">
        <f t="shared" si="50"/>
        <v>#DIV/0!</v>
      </c>
      <c r="Y66" s="22" t="e">
        <f t="shared" si="51"/>
        <v>#DIV/0!</v>
      </c>
      <c r="Z66" s="41" t="e">
        <f t="shared" si="52"/>
        <v>#DIV/0!</v>
      </c>
      <c r="AA66" s="22" t="e">
        <f t="shared" si="53"/>
        <v>#DIV/0!</v>
      </c>
      <c r="AB66" s="22" t="e">
        <f t="shared" si="54"/>
        <v>#DIV/0!</v>
      </c>
      <c r="AC66" s="22" t="e">
        <f>IF(X66=0,NA(),第5期!$BH$27)</f>
        <v>#DIV/0!</v>
      </c>
      <c r="AD66" s="42"/>
      <c r="AE66" s="42"/>
      <c r="AF66" s="43"/>
      <c r="AG66" s="47"/>
    </row>
    <row r="67" spans="1:33">
      <c r="A67" s="25" t="str">
        <f t="shared" si="47"/>
        <v>第六期</v>
      </c>
      <c r="B67" s="22" t="e">
        <f>IF(B7="","",第6期!CK$17)</f>
        <v>#DIV/0!</v>
      </c>
      <c r="C67" s="22" t="e">
        <f>IF(C7="","",第6期!CL$17)</f>
        <v>#DIV/0!</v>
      </c>
      <c r="D67" s="22" t="e">
        <f>IF(D7="","",第6期!CM$17)</f>
        <v>#DIV/0!</v>
      </c>
      <c r="E67" s="22" t="e">
        <f>IF(E7="","",第6期!CN$17)</f>
        <v>#DIV/0!</v>
      </c>
      <c r="F67" s="22" t="e">
        <f>IF(F7="","",第6期!CO$17)</f>
        <v>#DIV/0!</v>
      </c>
      <c r="G67" s="22" t="e">
        <f>IF(G7="","",第6期!CP$17)</f>
        <v>#DIV/0!</v>
      </c>
      <c r="H67" s="22" t="e">
        <f>IF(H7="","",第6期!CQ$17)</f>
        <v>#DIV/0!</v>
      </c>
      <c r="I67" s="22" t="e">
        <f>IF(I7="","",第6期!CR$17)</f>
        <v>#DIV/0!</v>
      </c>
      <c r="J67" s="22" t="e">
        <f>IF(J7="","",第6期!CS$17)</f>
        <v>#DIV/0!</v>
      </c>
      <c r="K67" s="22" t="e">
        <f>IF(K7="","",第6期!CT$17)</f>
        <v>#DIV/0!</v>
      </c>
      <c r="L67" s="22" t="e">
        <f>IF(L7="","",第6期!CU$17)</f>
        <v>#DIV/0!</v>
      </c>
      <c r="M67" s="22" t="e">
        <f>IF(M7="","",第6期!CV$17)</f>
        <v>#DIV/0!</v>
      </c>
      <c r="N67" s="22" t="e">
        <f>IF(N7="","",第6期!CW$17)</f>
        <v>#DIV/0!</v>
      </c>
      <c r="O67" s="22" t="e">
        <f>IF(O7="","",第6期!CX$17)</f>
        <v>#DIV/0!</v>
      </c>
      <c r="P67" s="22" t="e">
        <f>IF(P7="","",第6期!CY$17)</f>
        <v>#DIV/0!</v>
      </c>
      <c r="Q67" s="33" t="e">
        <f>IF(Q7="","",第6期!CZ$17)</f>
        <v>#DIV/0!</v>
      </c>
      <c r="U67" s="25" t="str">
        <f>$A$7</f>
        <v>第六期</v>
      </c>
      <c r="V67" s="22" t="e">
        <f t="shared" si="48"/>
        <v>#DIV/0!</v>
      </c>
      <c r="W67" s="22" t="e">
        <f t="shared" si="49"/>
        <v>#DIV/0!</v>
      </c>
      <c r="X67" s="34" t="e">
        <f t="shared" si="50"/>
        <v>#DIV/0!</v>
      </c>
      <c r="Y67" s="22" t="e">
        <f t="shared" si="51"/>
        <v>#DIV/0!</v>
      </c>
      <c r="Z67" s="41" t="e">
        <f t="shared" si="52"/>
        <v>#DIV/0!</v>
      </c>
      <c r="AA67" s="22" t="e">
        <f t="shared" si="53"/>
        <v>#DIV/0!</v>
      </c>
      <c r="AB67" s="22" t="e">
        <f t="shared" si="54"/>
        <v>#DIV/0!</v>
      </c>
      <c r="AC67" s="22" t="e">
        <f>IF(X67=0,NA(),第6期!$BH$27)</f>
        <v>#DIV/0!</v>
      </c>
      <c r="AD67" s="22" t="s">
        <v>837</v>
      </c>
      <c r="AF67" s="33"/>
      <c r="AG67" s="47"/>
    </row>
    <row r="68" spans="1:33">
      <c r="A68" s="25" t="str">
        <f t="shared" si="47"/>
        <v>第七期</v>
      </c>
      <c r="B68" s="22" t="e">
        <f>IF(B8="","",第7期!CJ$17)</f>
        <v>#DIV/0!</v>
      </c>
      <c r="C68" s="22" t="e">
        <f>IF(C8="","",第7期!CK$17)</f>
        <v>#DIV/0!</v>
      </c>
      <c r="D68" s="22" t="e">
        <f>IF(D8="","",第7期!CL$17)</f>
        <v>#DIV/0!</v>
      </c>
      <c r="E68" s="22" t="e">
        <f>IF(E8="","",第7期!CM$17)</f>
        <v>#DIV/0!</v>
      </c>
      <c r="F68" s="22" t="e">
        <f>IF(F8="","",第7期!CN$17)</f>
        <v>#DIV/0!</v>
      </c>
      <c r="G68" s="22" t="e">
        <f>IF(G8="","",第7期!CO$17)</f>
        <v>#DIV/0!</v>
      </c>
      <c r="H68" s="22" t="e">
        <f>IF(H8="","",第7期!CP$17)</f>
        <v>#DIV/0!</v>
      </c>
      <c r="I68" s="22" t="e">
        <f>IF(I8="","",第7期!CQ$17)</f>
        <v>#DIV/0!</v>
      </c>
      <c r="J68" s="22" t="e">
        <f>IF(J8="","",第7期!CR$17)</f>
        <v>#DIV/0!</v>
      </c>
      <c r="K68" s="22" t="e">
        <f>IF(K8="","",第7期!CS$17)</f>
        <v>#DIV/0!</v>
      </c>
      <c r="L68" s="22" t="e">
        <f>IF(L8="","",第7期!CT$17)</f>
        <v>#DIV/0!</v>
      </c>
      <c r="M68" s="22" t="e">
        <f>IF(M8="","",第7期!CU$17)</f>
        <v>#DIV/0!</v>
      </c>
      <c r="N68" s="22" t="e">
        <f>IF(N8="","",第7期!CV$17)</f>
        <v>#DIV/0!</v>
      </c>
      <c r="O68" s="22" t="e">
        <f>IF(O8="","",第7期!CW$17)</f>
        <v>#DIV/0!</v>
      </c>
      <c r="P68" s="22" t="e">
        <f>IF(P8="","",第7期!CX$17)</f>
        <v>#DIV/0!</v>
      </c>
      <c r="Q68" s="33" t="e">
        <f>IF(Q8="","",第7期!CY$17)</f>
        <v>#DIV/0!</v>
      </c>
      <c r="U68" s="25" t="str">
        <f>$A$8</f>
        <v>第七期</v>
      </c>
      <c r="V68" s="22" t="e">
        <f t="shared" si="48"/>
        <v>#DIV/0!</v>
      </c>
      <c r="W68" s="22" t="e">
        <f t="shared" si="49"/>
        <v>#DIV/0!</v>
      </c>
      <c r="X68" s="34" t="e">
        <f t="shared" si="50"/>
        <v>#DIV/0!</v>
      </c>
      <c r="Y68" s="22" t="e">
        <f t="shared" si="51"/>
        <v>#DIV/0!</v>
      </c>
      <c r="Z68" s="41" t="e">
        <f t="shared" si="52"/>
        <v>#DIV/0!</v>
      </c>
      <c r="AA68" s="22" t="e">
        <f t="shared" si="53"/>
        <v>#DIV/0!</v>
      </c>
      <c r="AB68" s="22" t="e">
        <f t="shared" si="54"/>
        <v>#DIV/0!</v>
      </c>
      <c r="AC68" s="22" t="e">
        <f>IF(X68=0,NA(),第7期!$BH$27)</f>
        <v>#DIV/0!</v>
      </c>
      <c r="AD68" s="22" t="s">
        <v>681</v>
      </c>
      <c r="AF68" s="33"/>
      <c r="AG68" s="47"/>
    </row>
    <row r="69" spans="1:33">
      <c r="A69" s="25" t="str">
        <f t="shared" si="47"/>
        <v>第八期</v>
      </c>
      <c r="B69" s="22" t="e">
        <f>IF(B9="","",第8期!CI$17)</f>
        <v>#DIV/0!</v>
      </c>
      <c r="C69" s="22" t="e">
        <f>IF(C9="","",第8期!CJ$17)</f>
        <v>#DIV/0!</v>
      </c>
      <c r="D69" s="22" t="e">
        <f>IF(D9="","",第8期!CK$17)</f>
        <v>#DIV/0!</v>
      </c>
      <c r="E69" s="22" t="e">
        <f>IF(E9="","",第8期!CL$17)</f>
        <v>#DIV/0!</v>
      </c>
      <c r="F69" s="22" t="e">
        <f>IF(F9="","",第8期!CM$17)</f>
        <v>#DIV/0!</v>
      </c>
      <c r="G69" s="22" t="e">
        <f>IF(G9="","",第8期!CN$17)</f>
        <v>#DIV/0!</v>
      </c>
      <c r="H69" s="22" t="e">
        <f>IF(H9="","",第8期!CO$17)</f>
        <v>#DIV/0!</v>
      </c>
      <c r="I69" s="22" t="e">
        <f>IF(I9="","",第8期!CP$17)</f>
        <v>#DIV/0!</v>
      </c>
      <c r="J69" s="22" t="e">
        <f>IF(J9="","",第8期!CQ$17)</f>
        <v>#DIV/0!</v>
      </c>
      <c r="K69" s="22" t="e">
        <f>IF(K9="","",第8期!CR$17)</f>
        <v>#DIV/0!</v>
      </c>
      <c r="L69" s="22" t="e">
        <f>IF(L9="","",第8期!CS$17)</f>
        <v>#DIV/0!</v>
      </c>
      <c r="M69" s="22" t="e">
        <f>IF(M9="","",第8期!CT$17)</f>
        <v>#DIV/0!</v>
      </c>
      <c r="N69" s="22" t="e">
        <f>IF(N9="","",第8期!CU$17)</f>
        <v>#DIV/0!</v>
      </c>
      <c r="O69" s="22" t="e">
        <f>IF(O9="","",第8期!CV$17)</f>
        <v>#DIV/0!</v>
      </c>
      <c r="P69" s="22" t="e">
        <f>IF(P9="","",第8期!CW$17)</f>
        <v>#DIV/0!</v>
      </c>
      <c r="Q69" s="33" t="e">
        <f>IF(Q9="","",第8期!CX$17)</f>
        <v>#DIV/0!</v>
      </c>
      <c r="U69" s="25" t="str">
        <f>$A$9</f>
        <v>第八期</v>
      </c>
      <c r="V69" s="22" t="e">
        <f t="shared" si="48"/>
        <v>#DIV/0!</v>
      </c>
      <c r="W69" s="22" t="e">
        <f t="shared" si="49"/>
        <v>#DIV/0!</v>
      </c>
      <c r="X69" s="34" t="e">
        <f t="shared" si="50"/>
        <v>#DIV/0!</v>
      </c>
      <c r="Y69" s="22" t="e">
        <f t="shared" si="51"/>
        <v>#DIV/0!</v>
      </c>
      <c r="Z69" s="41" t="e">
        <f t="shared" si="52"/>
        <v>#DIV/0!</v>
      </c>
      <c r="AA69" s="22" t="e">
        <f t="shared" si="53"/>
        <v>#DIV/0!</v>
      </c>
      <c r="AB69" s="22" t="e">
        <f t="shared" si="54"/>
        <v>#DIV/0!</v>
      </c>
      <c r="AC69" s="22" t="e">
        <f>IF(X69=0,NA(),第8期!$BH$27)</f>
        <v>#DIV/0!</v>
      </c>
      <c r="AF69" s="33"/>
      <c r="AG69" s="47"/>
    </row>
    <row r="70" ht="14.25" spans="1:33">
      <c r="A70" s="26" t="str">
        <f t="shared" si="47"/>
        <v>第九期</v>
      </c>
      <c r="B70" s="27" t="e">
        <f>IF(B10="","",#REF!)</f>
        <v>#REF!</v>
      </c>
      <c r="C70" s="27" t="e">
        <f>IF(C10="","",#REF!)</f>
        <v>#REF!</v>
      </c>
      <c r="D70" s="27" t="e">
        <f>IF(D10="","",#REF!)</f>
        <v>#REF!</v>
      </c>
      <c r="E70" s="27" t="e">
        <f>IF(E10="","",#REF!)</f>
        <v>#REF!</v>
      </c>
      <c r="F70" s="27" t="e">
        <f>IF(F10="","",#REF!)</f>
        <v>#REF!</v>
      </c>
      <c r="G70" s="27" t="e">
        <f>IF(G10="","",#REF!)</f>
        <v>#REF!</v>
      </c>
      <c r="H70" s="27" t="e">
        <f>IF(H10="","",#REF!)</f>
        <v>#REF!</v>
      </c>
      <c r="I70" s="27" t="e">
        <f>IF(I10="","",#REF!)</f>
        <v>#REF!</v>
      </c>
      <c r="J70" s="27" t="e">
        <f>IF(J10="","",#REF!)</f>
        <v>#REF!</v>
      </c>
      <c r="K70" s="27" t="e">
        <f>IF(K10="","",#REF!)</f>
        <v>#REF!</v>
      </c>
      <c r="L70" s="27" t="e">
        <f>IF(L10="","",#REF!)</f>
        <v>#REF!</v>
      </c>
      <c r="M70" s="27" t="e">
        <f>IF(M10="","",#REF!)</f>
        <v>#REF!</v>
      </c>
      <c r="N70" s="27" t="e">
        <f>IF(N10="","",#REF!)</f>
        <v>#REF!</v>
      </c>
      <c r="O70" s="27" t="e">
        <f>IF(O10="","",#REF!)</f>
        <v>#REF!</v>
      </c>
      <c r="P70" s="27" t="e">
        <f>IF(P10="","",#REF!)</f>
        <v>#REF!</v>
      </c>
      <c r="Q70" s="35" t="e">
        <f>IF(Q10="","",#REF!)</f>
        <v>#REF!</v>
      </c>
      <c r="U70" s="26" t="str">
        <f>$A$10</f>
        <v>第九期</v>
      </c>
      <c r="V70" s="27" t="e">
        <f t="shared" si="48"/>
        <v>#REF!</v>
      </c>
      <c r="W70" s="27" t="e">
        <f t="shared" si="49"/>
        <v>#REF!</v>
      </c>
      <c r="X70" s="34" t="e">
        <f t="shared" si="50"/>
        <v>#REF!</v>
      </c>
      <c r="Y70" s="27" t="e">
        <f t="shared" si="51"/>
        <v>#REF!</v>
      </c>
      <c r="Z70" s="44" t="e">
        <f t="shared" si="52"/>
        <v>#REF!</v>
      </c>
      <c r="AA70" s="27" t="e">
        <f t="shared" si="53"/>
        <v>#REF!</v>
      </c>
      <c r="AB70" s="27" t="e">
        <f t="shared" si="54"/>
        <v>#REF!</v>
      </c>
      <c r="AC70" s="22" t="e">
        <f>IF(X70=0,NA(),#REF!)</f>
        <v>#REF!</v>
      </c>
      <c r="AD70" s="27"/>
      <c r="AE70" s="27"/>
      <c r="AF70" s="35"/>
      <c r="AG70" s="47"/>
    </row>
    <row r="71" spans="21:33">
      <c r="U71" s="23" t="s">
        <v>848</v>
      </c>
      <c r="V71" s="24" t="s">
        <v>825</v>
      </c>
      <c r="W71" s="24" t="s">
        <v>826</v>
      </c>
      <c r="X71" s="24" t="s">
        <v>827</v>
      </c>
      <c r="Y71" s="24" t="s">
        <v>828</v>
      </c>
      <c r="Z71" s="24" t="s">
        <v>829</v>
      </c>
      <c r="AA71" s="24" t="s">
        <v>67</v>
      </c>
      <c r="AB71" s="24" t="s">
        <v>436</v>
      </c>
      <c r="AC71" s="24" t="s">
        <v>577</v>
      </c>
      <c r="AD71" s="24" t="s">
        <v>830</v>
      </c>
      <c r="AE71" s="24"/>
      <c r="AF71" s="32"/>
      <c r="AG71" s="47"/>
    </row>
    <row r="72" ht="14.25" spans="21:33">
      <c r="U72" s="25" t="str">
        <f>$A$2</f>
        <v>第一期</v>
      </c>
      <c r="V72" s="22" t="e">
        <f>IF(B2="","",I2)</f>
        <v>#DIV/0!</v>
      </c>
      <c r="W72" s="22" t="e">
        <f>IF(C2="","",I14)</f>
        <v>#DIV/0!</v>
      </c>
      <c r="X72" s="34" t="e">
        <f>IF(D2="",0,I26)</f>
        <v>#DIV/0!</v>
      </c>
      <c r="Y72" s="22" t="e">
        <f>IF(E2="","",I38)</f>
        <v>#DIV/0!</v>
      </c>
      <c r="Z72" s="41" t="e">
        <f>IF(F2="","",I50)</f>
        <v>#DIV/0!</v>
      </c>
      <c r="AA72" s="22" t="e">
        <f>IF(G2="","",I62)</f>
        <v>#DIV/0!</v>
      </c>
      <c r="AB72" s="22" t="e">
        <f>IF(H2="","",I74)</f>
        <v>#DIV/0!</v>
      </c>
      <c r="AC72" s="22" t="e">
        <f>IF(X72=0,NA(),第1期!$BI$27)</f>
        <v>#DIV/0!</v>
      </c>
      <c r="AD72" s="42"/>
      <c r="AE72" s="42"/>
      <c r="AF72" s="43"/>
      <c r="AG72" s="47"/>
    </row>
    <row r="73" spans="1:33">
      <c r="A73" s="23" t="s">
        <v>436</v>
      </c>
      <c r="B73" s="24" t="str">
        <f>B61</f>
        <v>A1</v>
      </c>
      <c r="C73" s="24" t="str">
        <f t="shared" ref="C73:Q73" si="55">C61</f>
        <v>A2</v>
      </c>
      <c r="D73" s="24" t="str">
        <f t="shared" si="55"/>
        <v>A3</v>
      </c>
      <c r="E73" s="24" t="str">
        <f t="shared" si="55"/>
        <v>A4</v>
      </c>
      <c r="F73" s="24" t="str">
        <f t="shared" si="55"/>
        <v>B1</v>
      </c>
      <c r="G73" s="24" t="str">
        <f t="shared" si="55"/>
        <v>B2</v>
      </c>
      <c r="H73" s="24" t="str">
        <f t="shared" si="55"/>
        <v>B3</v>
      </c>
      <c r="I73" s="24" t="str">
        <f t="shared" si="55"/>
        <v>B4</v>
      </c>
      <c r="J73" s="24" t="str">
        <f t="shared" si="55"/>
        <v>C1</v>
      </c>
      <c r="K73" s="24" t="str">
        <f t="shared" si="55"/>
        <v>C2</v>
      </c>
      <c r="L73" s="24" t="str">
        <f t="shared" si="55"/>
        <v>C3</v>
      </c>
      <c r="M73" s="24" t="str">
        <f t="shared" si="55"/>
        <v>C4</v>
      </c>
      <c r="N73" s="24" t="str">
        <f t="shared" si="55"/>
        <v>D1</v>
      </c>
      <c r="O73" s="24" t="str">
        <f t="shared" si="55"/>
        <v>D2</v>
      </c>
      <c r="P73" s="24" t="str">
        <f t="shared" si="55"/>
        <v>D3</v>
      </c>
      <c r="Q73" s="32" t="str">
        <f t="shared" si="55"/>
        <v>D4</v>
      </c>
      <c r="U73" s="25" t="str">
        <f>$A$3</f>
        <v>第二期</v>
      </c>
      <c r="V73" s="22" t="e">
        <f t="shared" ref="V73:V80" si="56">IF(B3="","",I3)</f>
        <v>#DIV/0!</v>
      </c>
      <c r="W73" s="22" t="e">
        <f t="shared" ref="W73:W80" si="57">IF(C3="","",I15)</f>
        <v>#DIV/0!</v>
      </c>
      <c r="X73" s="34" t="e">
        <f t="shared" ref="X73:X80" si="58">IF(D3="",0,I27)</f>
        <v>#DIV/0!</v>
      </c>
      <c r="Y73" s="22" t="e">
        <f t="shared" ref="Y73:Y80" si="59">IF(E3="","",I39)</f>
        <v>#DIV/0!</v>
      </c>
      <c r="Z73" s="41" t="e">
        <f t="shared" ref="Z73:Z80" si="60">IF(F3="","",I51)</f>
        <v>#DIV/0!</v>
      </c>
      <c r="AA73" s="22" t="e">
        <f t="shared" ref="AA73:AA80" si="61">IF(G3="","",I63)</f>
        <v>#DIV/0!</v>
      </c>
      <c r="AB73" s="22" t="e">
        <f t="shared" ref="AB73:AB80" si="62">IF(H3="","",I75)</f>
        <v>#DIV/0!</v>
      </c>
      <c r="AC73" s="22" t="e">
        <f>IF(X73=0,NA(),第2期!$BI$27)</f>
        <v>#DIV/0!</v>
      </c>
      <c r="AD73" s="42"/>
      <c r="AE73" s="42"/>
      <c r="AF73" s="43"/>
      <c r="AG73" s="47"/>
    </row>
    <row r="74" spans="1:33">
      <c r="A74" s="25" t="str">
        <f>A62</f>
        <v>第一期</v>
      </c>
      <c r="B74" s="22" t="e">
        <f>IF(B2="","",第1期!CK$19)</f>
        <v>#DIV/0!</v>
      </c>
      <c r="C74" s="22" t="e">
        <f>IF(C2="","",第1期!CL$19)</f>
        <v>#DIV/0!</v>
      </c>
      <c r="D74" s="22" t="e">
        <f>IF(D2="","",第1期!CM$19)</f>
        <v>#DIV/0!</v>
      </c>
      <c r="E74" s="22" t="e">
        <f>IF(E2="","",第1期!CN$19)</f>
        <v>#DIV/0!</v>
      </c>
      <c r="F74" s="22" t="e">
        <f>IF(F2="","",第1期!CO$19)</f>
        <v>#DIV/0!</v>
      </c>
      <c r="G74" s="22" t="e">
        <f>IF(G2="","",第1期!CP$19)</f>
        <v>#DIV/0!</v>
      </c>
      <c r="H74" s="22" t="e">
        <f>IF(H2="","",第1期!CQ$19)</f>
        <v>#DIV/0!</v>
      </c>
      <c r="I74" s="22" t="e">
        <f>IF(I2="","",第1期!CR$19)</f>
        <v>#DIV/0!</v>
      </c>
      <c r="J74" s="22" t="e">
        <f>IF(J2="","",第1期!CS$19)</f>
        <v>#DIV/0!</v>
      </c>
      <c r="K74" s="22" t="e">
        <f>IF(K2="","",第1期!CT$19)</f>
        <v>#DIV/0!</v>
      </c>
      <c r="L74" s="22" t="e">
        <f>IF(L2="","",第1期!CU$19)</f>
        <v>#DIV/0!</v>
      </c>
      <c r="M74" s="22" t="e">
        <f>IF(M2="","",第1期!CV$19)</f>
        <v>#DIV/0!</v>
      </c>
      <c r="N74" s="22" t="e">
        <f>IF(N2="","",第1期!CW$19)</f>
        <v>#DIV/0!</v>
      </c>
      <c r="O74" s="22" t="e">
        <f>IF(O2="","",第1期!CX$19)</f>
        <v>#DIV/0!</v>
      </c>
      <c r="P74" s="22" t="e">
        <f>IF(P2="","",第1期!CY$19)</f>
        <v>#DIV/0!</v>
      </c>
      <c r="Q74" s="33" t="e">
        <f>IF(Q2="","",第1期!CZ$19)</f>
        <v>#DIV/0!</v>
      </c>
      <c r="U74" s="25" t="str">
        <f>$A$4</f>
        <v>第三期</v>
      </c>
      <c r="V74" s="22" t="e">
        <f t="shared" si="56"/>
        <v>#DIV/0!</v>
      </c>
      <c r="W74" s="22" t="e">
        <f t="shared" si="57"/>
        <v>#DIV/0!</v>
      </c>
      <c r="X74" s="34" t="e">
        <f t="shared" si="58"/>
        <v>#DIV/0!</v>
      </c>
      <c r="Y74" s="22" t="e">
        <f t="shared" si="59"/>
        <v>#DIV/0!</v>
      </c>
      <c r="Z74" s="41" t="e">
        <f t="shared" si="60"/>
        <v>#DIV/0!</v>
      </c>
      <c r="AA74" s="22" t="e">
        <f t="shared" si="61"/>
        <v>#DIV/0!</v>
      </c>
      <c r="AB74" s="22" t="e">
        <f t="shared" si="62"/>
        <v>#DIV/0!</v>
      </c>
      <c r="AC74" s="22" t="e">
        <f>IF(X74=0,NA(),第3期!$BI$27)</f>
        <v>#DIV/0!</v>
      </c>
      <c r="AD74" s="42"/>
      <c r="AE74" s="42"/>
      <c r="AF74" s="43"/>
      <c r="AG74" s="47"/>
    </row>
    <row r="75" spans="1:33">
      <c r="A75" s="25" t="str">
        <f t="shared" ref="A75:A82" si="63">A63</f>
        <v>第二期</v>
      </c>
      <c r="B75" s="22" t="e">
        <f>IF(B3="","",第2期!CK$19)</f>
        <v>#DIV/0!</v>
      </c>
      <c r="C75" s="22" t="e">
        <f>IF(C3="","",第2期!CL$19)</f>
        <v>#DIV/0!</v>
      </c>
      <c r="D75" s="22" t="e">
        <f>IF(D3="","",第2期!CM$19)</f>
        <v>#DIV/0!</v>
      </c>
      <c r="E75" s="22" t="e">
        <f>IF(E3="","",第2期!CN$19)</f>
        <v>#DIV/0!</v>
      </c>
      <c r="F75" s="22" t="e">
        <f>IF(F3="","",第2期!CO$19)</f>
        <v>#DIV/0!</v>
      </c>
      <c r="G75" s="22" t="e">
        <f>IF(G3="","",第2期!CP$19)</f>
        <v>#DIV/0!</v>
      </c>
      <c r="H75" s="22" t="e">
        <f>IF(H3="","",第2期!CQ$19)</f>
        <v>#DIV/0!</v>
      </c>
      <c r="I75" s="22" t="e">
        <f>IF(I3="","",第2期!CR$19)</f>
        <v>#DIV/0!</v>
      </c>
      <c r="J75" s="22" t="e">
        <f>IF(J3="","",第2期!CS$19)</f>
        <v>#DIV/0!</v>
      </c>
      <c r="K75" s="22" t="e">
        <f>IF(K3="","",第2期!CT$19)</f>
        <v>#DIV/0!</v>
      </c>
      <c r="L75" s="22" t="e">
        <f>IF(L3="","",第2期!CU$19)</f>
        <v>#DIV/0!</v>
      </c>
      <c r="M75" s="22" t="e">
        <f>IF(M3="","",第2期!CV$19)</f>
        <v>#DIV/0!</v>
      </c>
      <c r="N75" s="22" t="e">
        <f>IF(N3="","",第2期!CW$19)</f>
        <v>#DIV/0!</v>
      </c>
      <c r="O75" s="22" t="e">
        <f>IF(O3="","",第2期!CX$19)</f>
        <v>#DIV/0!</v>
      </c>
      <c r="P75" s="22" t="e">
        <f>IF(P3="","",第2期!CY$19)</f>
        <v>#DIV/0!</v>
      </c>
      <c r="Q75" s="33" t="e">
        <f>IF(Q3="","",第2期!CZ$19)</f>
        <v>#DIV/0!</v>
      </c>
      <c r="U75" s="25" t="str">
        <f>$A$5</f>
        <v>第四期</v>
      </c>
      <c r="V75" s="22" t="e">
        <f t="shared" si="56"/>
        <v>#DIV/0!</v>
      </c>
      <c r="W75" s="22" t="e">
        <f t="shared" si="57"/>
        <v>#DIV/0!</v>
      </c>
      <c r="X75" s="34" t="e">
        <f t="shared" si="58"/>
        <v>#DIV/0!</v>
      </c>
      <c r="Y75" s="22" t="e">
        <f t="shared" si="59"/>
        <v>#DIV/0!</v>
      </c>
      <c r="Z75" s="41" t="e">
        <f t="shared" si="60"/>
        <v>#DIV/0!</v>
      </c>
      <c r="AA75" s="22" t="e">
        <f t="shared" si="61"/>
        <v>#DIV/0!</v>
      </c>
      <c r="AB75" s="22" t="e">
        <f t="shared" si="62"/>
        <v>#DIV/0!</v>
      </c>
      <c r="AC75" s="22" t="e">
        <f>IF(X75=0,NA(),第4期!$BI$27)</f>
        <v>#DIV/0!</v>
      </c>
      <c r="AD75" s="42"/>
      <c r="AE75" s="42"/>
      <c r="AF75" s="43"/>
      <c r="AG75" s="47"/>
    </row>
    <row r="76" spans="1:33">
      <c r="A76" s="25" t="str">
        <f t="shared" si="63"/>
        <v>第三期</v>
      </c>
      <c r="B76" s="22" t="e">
        <f>IF(B4="","",第3期!CK$19)</f>
        <v>#DIV/0!</v>
      </c>
      <c r="C76" s="22" t="e">
        <f>IF(C4="","",第3期!CL$19)</f>
        <v>#DIV/0!</v>
      </c>
      <c r="D76" s="22" t="e">
        <f>IF(D4="","",第3期!CM$19)</f>
        <v>#DIV/0!</v>
      </c>
      <c r="E76" s="22" t="e">
        <f>IF(E4="","",第3期!CN$19)</f>
        <v>#DIV/0!</v>
      </c>
      <c r="F76" s="22" t="e">
        <f>IF(F4="","",第3期!CO$19)</f>
        <v>#DIV/0!</v>
      </c>
      <c r="G76" s="22" t="e">
        <f>IF(G4="","",第3期!CP$19)</f>
        <v>#DIV/0!</v>
      </c>
      <c r="H76" s="22" t="e">
        <f>IF(H4="","",第3期!CQ$19)</f>
        <v>#DIV/0!</v>
      </c>
      <c r="I76" s="22" t="e">
        <f>IF(I4="","",第3期!CR$19)</f>
        <v>#DIV/0!</v>
      </c>
      <c r="J76" s="22" t="e">
        <f>IF(J4="","",第3期!CS$19)</f>
        <v>#DIV/0!</v>
      </c>
      <c r="K76" s="22" t="e">
        <f>IF(K4="","",第3期!CT$19)</f>
        <v>#DIV/0!</v>
      </c>
      <c r="L76" s="22" t="e">
        <f>IF(L4="","",第3期!CU$19)</f>
        <v>#DIV/0!</v>
      </c>
      <c r="M76" s="22" t="e">
        <f>IF(M4="","",第3期!CV$19)</f>
        <v>#DIV/0!</v>
      </c>
      <c r="N76" s="22" t="e">
        <f>IF(N4="","",第3期!CW$19)</f>
        <v>#DIV/0!</v>
      </c>
      <c r="O76" s="22" t="e">
        <f>IF(O4="","",第3期!CX$19)</f>
        <v>#DIV/0!</v>
      </c>
      <c r="P76" s="22" t="e">
        <f>IF(P4="","",第3期!CY$19)</f>
        <v>#DIV/0!</v>
      </c>
      <c r="Q76" s="33" t="e">
        <f>IF(Q4="","",第3期!CZ$19)</f>
        <v>#DIV/0!</v>
      </c>
      <c r="U76" s="25" t="str">
        <f>$A$6</f>
        <v>第五期</v>
      </c>
      <c r="V76" s="22" t="e">
        <f t="shared" si="56"/>
        <v>#DIV/0!</v>
      </c>
      <c r="W76" s="22" t="e">
        <f t="shared" si="57"/>
        <v>#DIV/0!</v>
      </c>
      <c r="X76" s="34" t="e">
        <f t="shared" si="58"/>
        <v>#DIV/0!</v>
      </c>
      <c r="Y76" s="22" t="e">
        <f t="shared" si="59"/>
        <v>#DIV/0!</v>
      </c>
      <c r="Z76" s="41" t="e">
        <f t="shared" si="60"/>
        <v>#DIV/0!</v>
      </c>
      <c r="AA76" s="22" t="e">
        <f t="shared" si="61"/>
        <v>#DIV/0!</v>
      </c>
      <c r="AB76" s="22" t="e">
        <f t="shared" si="62"/>
        <v>#DIV/0!</v>
      </c>
      <c r="AC76" s="22" t="e">
        <f>IF(X76=0,NA(),第5期!$BI$27)</f>
        <v>#DIV/0!</v>
      </c>
      <c r="AD76" s="42"/>
      <c r="AE76" s="42"/>
      <c r="AF76" s="43"/>
      <c r="AG76" s="47"/>
    </row>
    <row r="77" spans="1:33">
      <c r="A77" s="25" t="str">
        <f t="shared" si="63"/>
        <v>第四期</v>
      </c>
      <c r="B77" s="22" t="e">
        <f>IF(B5="","",第4期!CK$19)</f>
        <v>#DIV/0!</v>
      </c>
      <c r="C77" s="22" t="e">
        <f>IF(C5="","",第4期!CL$19)</f>
        <v>#DIV/0!</v>
      </c>
      <c r="D77" s="22" t="e">
        <f>IF(D5="","",第4期!CM$19)</f>
        <v>#DIV/0!</v>
      </c>
      <c r="E77" s="22" t="e">
        <f>IF(E5="","",第4期!CN$19)</f>
        <v>#DIV/0!</v>
      </c>
      <c r="F77" s="22" t="e">
        <f>IF(F5="","",第4期!CO$19)</f>
        <v>#DIV/0!</v>
      </c>
      <c r="G77" s="22" t="e">
        <f>IF(G5="","",第4期!CP$19)</f>
        <v>#DIV/0!</v>
      </c>
      <c r="H77" s="22" t="e">
        <f>IF(H5="","",第4期!CQ$19)</f>
        <v>#DIV/0!</v>
      </c>
      <c r="I77" s="22" t="e">
        <f>IF(I5="","",第4期!CR$19)</f>
        <v>#DIV/0!</v>
      </c>
      <c r="J77" s="22" t="e">
        <f>IF(J5="","",第4期!CS$19)</f>
        <v>#DIV/0!</v>
      </c>
      <c r="K77" s="22" t="e">
        <f>IF(K5="","",第4期!CT$19)</f>
        <v>#DIV/0!</v>
      </c>
      <c r="L77" s="22" t="e">
        <f>IF(L5="","",第4期!CU$19)</f>
        <v>#DIV/0!</v>
      </c>
      <c r="M77" s="22" t="e">
        <f>IF(M5="","",第4期!CV$19)</f>
        <v>#DIV/0!</v>
      </c>
      <c r="N77" s="22" t="e">
        <f>IF(N5="","",第4期!CW$19)</f>
        <v>#DIV/0!</v>
      </c>
      <c r="O77" s="22" t="e">
        <f>IF(O5="","",第4期!CX$19)</f>
        <v>#DIV/0!</v>
      </c>
      <c r="P77" s="22" t="e">
        <f>IF(P5="","",第4期!CY$19)</f>
        <v>#DIV/0!</v>
      </c>
      <c r="Q77" s="33" t="e">
        <f>IF(Q5="","",第4期!CZ$19)</f>
        <v>#DIV/0!</v>
      </c>
      <c r="U77" s="25" t="str">
        <f>$A$7</f>
        <v>第六期</v>
      </c>
      <c r="V77" s="22" t="e">
        <f t="shared" si="56"/>
        <v>#DIV/0!</v>
      </c>
      <c r="W77" s="22" t="e">
        <f t="shared" si="57"/>
        <v>#DIV/0!</v>
      </c>
      <c r="X77" s="34" t="e">
        <f t="shared" si="58"/>
        <v>#DIV/0!</v>
      </c>
      <c r="Y77" s="22" t="e">
        <f t="shared" si="59"/>
        <v>#DIV/0!</v>
      </c>
      <c r="Z77" s="41" t="e">
        <f t="shared" si="60"/>
        <v>#DIV/0!</v>
      </c>
      <c r="AA77" s="22" t="e">
        <f t="shared" si="61"/>
        <v>#DIV/0!</v>
      </c>
      <c r="AB77" s="22" t="e">
        <f t="shared" si="62"/>
        <v>#DIV/0!</v>
      </c>
      <c r="AC77" s="22" t="e">
        <f>IF(X77=0,NA(),第6期!$BI$27)</f>
        <v>#DIV/0!</v>
      </c>
      <c r="AD77" s="22" t="s">
        <v>837</v>
      </c>
      <c r="AF77" s="33"/>
      <c r="AG77" s="47"/>
    </row>
    <row r="78" spans="1:33">
      <c r="A78" s="25" t="str">
        <f t="shared" si="63"/>
        <v>第五期</v>
      </c>
      <c r="B78" s="22" t="e">
        <f>IF(B6="","",第5期!CK$19)</f>
        <v>#DIV/0!</v>
      </c>
      <c r="C78" s="22" t="e">
        <f>IF(C6="","",第5期!CL$19)</f>
        <v>#DIV/0!</v>
      </c>
      <c r="D78" s="22" t="e">
        <f>IF(D6="","",第5期!CM$19)</f>
        <v>#DIV/0!</v>
      </c>
      <c r="E78" s="22" t="e">
        <f>IF(E6="","",第5期!CN$19)</f>
        <v>#DIV/0!</v>
      </c>
      <c r="F78" s="22" t="e">
        <f>IF(F6="","",第5期!CO$19)</f>
        <v>#DIV/0!</v>
      </c>
      <c r="G78" s="22" t="e">
        <f>IF(G6="","",第5期!CP$19)</f>
        <v>#DIV/0!</v>
      </c>
      <c r="H78" s="22" t="e">
        <f>IF(H6="","",第5期!CQ$19)</f>
        <v>#DIV/0!</v>
      </c>
      <c r="I78" s="22" t="e">
        <f>IF(I6="","",第5期!CR$19)</f>
        <v>#DIV/0!</v>
      </c>
      <c r="J78" s="22" t="e">
        <f>IF(J6="","",第5期!CS$19)</f>
        <v>#DIV/0!</v>
      </c>
      <c r="K78" s="22" t="e">
        <f>IF(K6="","",第5期!CT$19)</f>
        <v>#DIV/0!</v>
      </c>
      <c r="L78" s="22" t="e">
        <f>IF(L6="","",第5期!CU$19)</f>
        <v>#DIV/0!</v>
      </c>
      <c r="M78" s="22" t="e">
        <f>IF(M6="","",第5期!CV$19)</f>
        <v>#DIV/0!</v>
      </c>
      <c r="N78" s="22" t="e">
        <f>IF(N6="","",第5期!CW$19)</f>
        <v>#DIV/0!</v>
      </c>
      <c r="O78" s="22" t="e">
        <f>IF(O6="","",第5期!CX$19)</f>
        <v>#DIV/0!</v>
      </c>
      <c r="P78" s="22" t="e">
        <f>IF(P6="","",第5期!CY$19)</f>
        <v>#DIV/0!</v>
      </c>
      <c r="Q78" s="33" t="e">
        <f>IF(Q6="","",第5期!CZ$19)</f>
        <v>#DIV/0!</v>
      </c>
      <c r="U78" s="25" t="str">
        <f>$A$8</f>
        <v>第七期</v>
      </c>
      <c r="V78" s="22" t="e">
        <f t="shared" si="56"/>
        <v>#DIV/0!</v>
      </c>
      <c r="W78" s="22" t="e">
        <f t="shared" si="57"/>
        <v>#DIV/0!</v>
      </c>
      <c r="X78" s="34" t="e">
        <f t="shared" si="58"/>
        <v>#DIV/0!</v>
      </c>
      <c r="Y78" s="22" t="e">
        <f t="shared" si="59"/>
        <v>#DIV/0!</v>
      </c>
      <c r="Z78" s="41" t="e">
        <f t="shared" si="60"/>
        <v>#DIV/0!</v>
      </c>
      <c r="AA78" s="22" t="e">
        <f t="shared" si="61"/>
        <v>#DIV/0!</v>
      </c>
      <c r="AB78" s="22" t="e">
        <f t="shared" si="62"/>
        <v>#DIV/0!</v>
      </c>
      <c r="AC78" s="22" t="e">
        <f>IF(X78=0,NA(),第7期!$BI$27)</f>
        <v>#DIV/0!</v>
      </c>
      <c r="AD78" s="22" t="s">
        <v>681</v>
      </c>
      <c r="AF78" s="33"/>
      <c r="AG78" s="47"/>
    </row>
    <row r="79" spans="1:33">
      <c r="A79" s="25" t="str">
        <f t="shared" si="63"/>
        <v>第六期</v>
      </c>
      <c r="B79" s="22" t="e">
        <f>IF(B7="","",第6期!CK$19)</f>
        <v>#DIV/0!</v>
      </c>
      <c r="C79" s="22" t="e">
        <f>IF(C7="","",第6期!CL$19)</f>
        <v>#DIV/0!</v>
      </c>
      <c r="D79" s="22" t="e">
        <f>IF(D7="","",第6期!CM$19)</f>
        <v>#DIV/0!</v>
      </c>
      <c r="E79" s="22" t="e">
        <f>IF(E7="","",第6期!CN$19)</f>
        <v>#DIV/0!</v>
      </c>
      <c r="F79" s="22" t="e">
        <f>IF(F7="","",第6期!CO$19)</f>
        <v>#DIV/0!</v>
      </c>
      <c r="G79" s="22" t="e">
        <f>IF(G7="","",第6期!CP$19)</f>
        <v>#DIV/0!</v>
      </c>
      <c r="H79" s="22" t="e">
        <f>IF(H7="","",第6期!CQ$19)</f>
        <v>#DIV/0!</v>
      </c>
      <c r="I79" s="22" t="e">
        <f>IF(I7="","",第6期!CR$19)</f>
        <v>#DIV/0!</v>
      </c>
      <c r="J79" s="22" t="e">
        <f>IF(J7="","",第6期!CS$19)</f>
        <v>#DIV/0!</v>
      </c>
      <c r="K79" s="22" t="e">
        <f>IF(K7="","",第6期!CT$19)</f>
        <v>#DIV/0!</v>
      </c>
      <c r="L79" s="22" t="e">
        <f>IF(L7="","",第6期!CU$19)</f>
        <v>#DIV/0!</v>
      </c>
      <c r="M79" s="22" t="e">
        <f>IF(M7="","",第6期!CV$19)</f>
        <v>#DIV/0!</v>
      </c>
      <c r="N79" s="22" t="e">
        <f>IF(N7="","",第6期!CW$19)</f>
        <v>#DIV/0!</v>
      </c>
      <c r="O79" s="22" t="e">
        <f>IF(O7="","",第6期!CX$19)</f>
        <v>#DIV/0!</v>
      </c>
      <c r="P79" s="22" t="e">
        <f>IF(P7="","",第6期!CY$19)</f>
        <v>#DIV/0!</v>
      </c>
      <c r="Q79" s="33" t="e">
        <f>IF(Q7="","",第6期!CZ$19)</f>
        <v>#DIV/0!</v>
      </c>
      <c r="U79" s="25" t="str">
        <f>$A$9</f>
        <v>第八期</v>
      </c>
      <c r="V79" s="22" t="e">
        <f t="shared" si="56"/>
        <v>#DIV/0!</v>
      </c>
      <c r="W79" s="22" t="e">
        <f t="shared" si="57"/>
        <v>#DIV/0!</v>
      </c>
      <c r="X79" s="34" t="e">
        <f t="shared" si="58"/>
        <v>#DIV/0!</v>
      </c>
      <c r="Y79" s="22" t="e">
        <f t="shared" si="59"/>
        <v>#DIV/0!</v>
      </c>
      <c r="Z79" s="41" t="e">
        <f t="shared" si="60"/>
        <v>#DIV/0!</v>
      </c>
      <c r="AA79" s="22" t="e">
        <f t="shared" si="61"/>
        <v>#DIV/0!</v>
      </c>
      <c r="AB79" s="22" t="e">
        <f t="shared" si="62"/>
        <v>#DIV/0!</v>
      </c>
      <c r="AC79" s="22" t="e">
        <f>IF(X79=0,NA(),第8期!$BI$27)</f>
        <v>#DIV/0!</v>
      </c>
      <c r="AF79" s="33"/>
      <c r="AG79" s="47"/>
    </row>
    <row r="80" ht="14.25" spans="1:33">
      <c r="A80" s="25" t="str">
        <f t="shared" si="63"/>
        <v>第七期</v>
      </c>
      <c r="B80" s="22" t="e">
        <f>IF(B8="","",第7期!CJ$19)</f>
        <v>#DIV/0!</v>
      </c>
      <c r="C80" s="22" t="e">
        <f>IF(C8="","",第7期!CK$19)</f>
        <v>#DIV/0!</v>
      </c>
      <c r="D80" s="22" t="e">
        <f>IF(D8="","",第7期!CL$19)</f>
        <v>#DIV/0!</v>
      </c>
      <c r="E80" s="22" t="e">
        <f>IF(E8="","",第7期!CM$19)</f>
        <v>#DIV/0!</v>
      </c>
      <c r="F80" s="22" t="e">
        <f>IF(F8="","",第7期!CN$19)</f>
        <v>#DIV/0!</v>
      </c>
      <c r="G80" s="22" t="e">
        <f>IF(G8="","",第7期!CO$19)</f>
        <v>#DIV/0!</v>
      </c>
      <c r="H80" s="22" t="e">
        <f>IF(H8="","",第7期!CP$19)</f>
        <v>#DIV/0!</v>
      </c>
      <c r="I80" s="22" t="e">
        <f>IF(I8="","",第7期!CQ$19)</f>
        <v>#DIV/0!</v>
      </c>
      <c r="J80" s="22" t="e">
        <f>IF(J8="","",第7期!CR$19)</f>
        <v>#DIV/0!</v>
      </c>
      <c r="K80" s="22" t="e">
        <f>IF(K8="","",第7期!CS$19)</f>
        <v>#DIV/0!</v>
      </c>
      <c r="L80" s="22" t="e">
        <f>IF(L8="","",第7期!CT$19)</f>
        <v>#DIV/0!</v>
      </c>
      <c r="M80" s="22" t="e">
        <f>IF(M8="","",第7期!CU$19)</f>
        <v>#DIV/0!</v>
      </c>
      <c r="N80" s="22" t="e">
        <f>IF(N8="","",第7期!CV$19)</f>
        <v>#DIV/0!</v>
      </c>
      <c r="O80" s="22" t="e">
        <f>IF(O8="","",第7期!CW$19)</f>
        <v>#DIV/0!</v>
      </c>
      <c r="P80" s="22" t="e">
        <f>IF(P8="","",第7期!CX$19)</f>
        <v>#DIV/0!</v>
      </c>
      <c r="Q80" s="33" t="e">
        <f>IF(Q8="","",第7期!CY$19)</f>
        <v>#DIV/0!</v>
      </c>
      <c r="U80" s="26" t="str">
        <f>$A$10</f>
        <v>第九期</v>
      </c>
      <c r="V80" s="27" t="e">
        <f t="shared" si="56"/>
        <v>#REF!</v>
      </c>
      <c r="W80" s="27" t="e">
        <f t="shared" si="57"/>
        <v>#REF!</v>
      </c>
      <c r="X80" s="34" t="e">
        <f t="shared" si="58"/>
        <v>#REF!</v>
      </c>
      <c r="Y80" s="27" t="e">
        <f t="shared" si="59"/>
        <v>#REF!</v>
      </c>
      <c r="Z80" s="44" t="e">
        <f t="shared" si="60"/>
        <v>#REF!</v>
      </c>
      <c r="AA80" s="27" t="e">
        <f t="shared" si="61"/>
        <v>#REF!</v>
      </c>
      <c r="AB80" s="27" t="e">
        <f t="shared" si="62"/>
        <v>#REF!</v>
      </c>
      <c r="AC80" s="22" t="e">
        <f>IF(X80=0,NA(),#REF!)</f>
        <v>#REF!</v>
      </c>
      <c r="AD80" s="27"/>
      <c r="AE80" s="27"/>
      <c r="AF80" s="35"/>
      <c r="AG80" s="47"/>
    </row>
    <row r="81" spans="1:33">
      <c r="A81" s="25" t="str">
        <f t="shared" si="63"/>
        <v>第八期</v>
      </c>
      <c r="B81" s="22" t="e">
        <f>IF(B9="","",第8期!CI$19)</f>
        <v>#DIV/0!</v>
      </c>
      <c r="C81" s="22" t="e">
        <f>IF(C9="","",第8期!CJ$19)</f>
        <v>#DIV/0!</v>
      </c>
      <c r="D81" s="22" t="e">
        <f>IF(D9="","",第8期!CK$19)</f>
        <v>#DIV/0!</v>
      </c>
      <c r="E81" s="22" t="e">
        <f>IF(E9="","",第8期!CL$19)</f>
        <v>#DIV/0!</v>
      </c>
      <c r="F81" s="22" t="e">
        <f>IF(F9="","",第8期!CM$19)</f>
        <v>#DIV/0!</v>
      </c>
      <c r="G81" s="22" t="e">
        <f>IF(G9="","",第8期!CN$19)</f>
        <v>#DIV/0!</v>
      </c>
      <c r="H81" s="22" t="e">
        <f>IF(H9="","",第8期!CO$19)</f>
        <v>#DIV/0!</v>
      </c>
      <c r="I81" s="22" t="e">
        <f>IF(I9="","",第8期!CP$19)</f>
        <v>#DIV/0!</v>
      </c>
      <c r="J81" s="22" t="e">
        <f>IF(J9="","",第8期!CQ$19)</f>
        <v>#DIV/0!</v>
      </c>
      <c r="K81" s="22" t="e">
        <f>IF(K9="","",第8期!CR$19)</f>
        <v>#DIV/0!</v>
      </c>
      <c r="L81" s="22" t="e">
        <f>IF(L9="","",第8期!CS$19)</f>
        <v>#DIV/0!</v>
      </c>
      <c r="M81" s="22" t="e">
        <f>IF(M9="","",第8期!CT$19)</f>
        <v>#DIV/0!</v>
      </c>
      <c r="N81" s="22" t="e">
        <f>IF(N9="","",第8期!CU$19)</f>
        <v>#DIV/0!</v>
      </c>
      <c r="O81" s="22" t="e">
        <f>IF(O9="","",第8期!CV$19)</f>
        <v>#DIV/0!</v>
      </c>
      <c r="P81" s="22" t="e">
        <f>IF(P9="","",第8期!CW$19)</f>
        <v>#DIV/0!</v>
      </c>
      <c r="Q81" s="33" t="e">
        <f>IF(Q9="","",第8期!CX$19)</f>
        <v>#DIV/0!</v>
      </c>
      <c r="U81" s="23" t="s">
        <v>849</v>
      </c>
      <c r="V81" s="24" t="s">
        <v>825</v>
      </c>
      <c r="W81" s="24" t="s">
        <v>826</v>
      </c>
      <c r="X81" s="24" t="s">
        <v>827</v>
      </c>
      <c r="Y81" s="24" t="s">
        <v>828</v>
      </c>
      <c r="Z81" s="24" t="s">
        <v>829</v>
      </c>
      <c r="AA81" s="24" t="s">
        <v>67</v>
      </c>
      <c r="AB81" s="24" t="s">
        <v>436</v>
      </c>
      <c r="AC81" s="24" t="s">
        <v>577</v>
      </c>
      <c r="AD81" s="24" t="s">
        <v>830</v>
      </c>
      <c r="AE81" s="24"/>
      <c r="AF81" s="32"/>
      <c r="AG81" s="47"/>
    </row>
    <row r="82" ht="14.25" spans="1:33">
      <c r="A82" s="26" t="str">
        <f t="shared" si="63"/>
        <v>第九期</v>
      </c>
      <c r="B82" s="27" t="e">
        <f>IF(B10="","",#REF!)</f>
        <v>#REF!</v>
      </c>
      <c r="C82" s="27" t="e">
        <f>IF(C10="","",#REF!)</f>
        <v>#REF!</v>
      </c>
      <c r="D82" s="27" t="e">
        <f>IF(D10="","",#REF!)</f>
        <v>#REF!</v>
      </c>
      <c r="E82" s="27" t="e">
        <f>IF(E10="","",#REF!)</f>
        <v>#REF!</v>
      </c>
      <c r="F82" s="27" t="e">
        <f>IF(F10="","",#REF!)</f>
        <v>#REF!</v>
      </c>
      <c r="G82" s="27" t="e">
        <f>IF(G10="","",#REF!)</f>
        <v>#REF!</v>
      </c>
      <c r="H82" s="27" t="e">
        <f>IF(H10="","",#REF!)</f>
        <v>#REF!</v>
      </c>
      <c r="I82" s="27" t="e">
        <f>IF(I10="","",#REF!)</f>
        <v>#REF!</v>
      </c>
      <c r="J82" s="27" t="e">
        <f>IF(J10="","",#REF!)</f>
        <v>#REF!</v>
      </c>
      <c r="K82" s="27" t="e">
        <f>IF(K10="","",#REF!)</f>
        <v>#REF!</v>
      </c>
      <c r="L82" s="27" t="e">
        <f>IF(L10="","",#REF!)</f>
        <v>#REF!</v>
      </c>
      <c r="M82" s="27" t="e">
        <f>IF(M10="","",#REF!)</f>
        <v>#REF!</v>
      </c>
      <c r="N82" s="27" t="e">
        <f>IF(N10="","",#REF!)</f>
        <v>#REF!</v>
      </c>
      <c r="O82" s="27" t="e">
        <f>IF(O10="","",#REF!)</f>
        <v>#REF!</v>
      </c>
      <c r="P82" s="27" t="e">
        <f>IF(P10="","",#REF!)</f>
        <v>#REF!</v>
      </c>
      <c r="Q82" s="35" t="e">
        <f>IF(Q10="","",#REF!)</f>
        <v>#REF!</v>
      </c>
      <c r="U82" s="25" t="str">
        <f>$A$2</f>
        <v>第一期</v>
      </c>
      <c r="V82" s="22" t="e">
        <f>IF(B2="","",J2)</f>
        <v>#DIV/0!</v>
      </c>
      <c r="W82" s="22" t="e">
        <f>IF(C2="","",J14)</f>
        <v>#DIV/0!</v>
      </c>
      <c r="X82" s="34" t="e">
        <f>IF(D2="",0,J26)</f>
        <v>#DIV/0!</v>
      </c>
      <c r="Y82" s="22" t="e">
        <f>IF(E2="","",J38)</f>
        <v>#DIV/0!</v>
      </c>
      <c r="Z82" s="41" t="e">
        <f>IF(F2="","",J50)</f>
        <v>#DIV/0!</v>
      </c>
      <c r="AA82" s="22" t="e">
        <f>IF(G2="","",J62)</f>
        <v>#DIV/0!</v>
      </c>
      <c r="AB82" s="22" t="e">
        <f>IF(H2="","",J74)</f>
        <v>#DIV/0!</v>
      </c>
      <c r="AC82" s="22" t="e">
        <f>IF(X82=0,NA(),第1期!$BJ$27)</f>
        <v>#DIV/0!</v>
      </c>
      <c r="AD82" s="42"/>
      <c r="AE82" s="42"/>
      <c r="AF82" s="43"/>
      <c r="AG82" s="47"/>
    </row>
    <row r="83" spans="21:33">
      <c r="U83" s="25" t="str">
        <f>$A$3</f>
        <v>第二期</v>
      </c>
      <c r="V83" s="22" t="e">
        <f t="shared" ref="V83:V90" si="64">IF(B3="","",J3)</f>
        <v>#DIV/0!</v>
      </c>
      <c r="W83" s="22" t="e">
        <f t="shared" ref="W83:W90" si="65">IF(C3="","",J15)</f>
        <v>#DIV/0!</v>
      </c>
      <c r="X83" s="34" t="e">
        <f t="shared" ref="X83:X90" si="66">IF(D3="",0,J27)</f>
        <v>#DIV/0!</v>
      </c>
      <c r="Y83" s="22" t="e">
        <f t="shared" ref="Y83:Y90" si="67">IF(E3="","",J39)</f>
        <v>#DIV/0!</v>
      </c>
      <c r="Z83" s="41" t="e">
        <f t="shared" ref="Z83:Z90" si="68">IF(F3="","",J51)</f>
        <v>#DIV/0!</v>
      </c>
      <c r="AA83" s="22" t="e">
        <f t="shared" ref="AA83:AA90" si="69">IF(G3="","",J63)</f>
        <v>#DIV/0!</v>
      </c>
      <c r="AB83" s="22" t="e">
        <f t="shared" ref="AB83:AB90" si="70">IF(H3="","",J75)</f>
        <v>#DIV/0!</v>
      </c>
      <c r="AC83" s="22" t="e">
        <f>IF(X83=0,NA(),第2期!$BJ$27)</f>
        <v>#DIV/0!</v>
      </c>
      <c r="AD83" s="42"/>
      <c r="AE83" s="42"/>
      <c r="AF83" s="43"/>
      <c r="AG83" s="47"/>
    </row>
    <row r="84" ht="14.25" spans="21:33">
      <c r="U84" s="25" t="str">
        <f>$A$4</f>
        <v>第三期</v>
      </c>
      <c r="V84" s="22" t="e">
        <f t="shared" si="64"/>
        <v>#DIV/0!</v>
      </c>
      <c r="W84" s="22" t="e">
        <f t="shared" si="65"/>
        <v>#DIV/0!</v>
      </c>
      <c r="X84" s="34" t="e">
        <f t="shared" si="66"/>
        <v>#DIV/0!</v>
      </c>
      <c r="Y84" s="22" t="e">
        <f t="shared" si="67"/>
        <v>#DIV/0!</v>
      </c>
      <c r="Z84" s="41" t="e">
        <f t="shared" si="68"/>
        <v>#DIV/0!</v>
      </c>
      <c r="AA84" s="22" t="e">
        <f t="shared" si="69"/>
        <v>#DIV/0!</v>
      </c>
      <c r="AB84" s="22" t="e">
        <f t="shared" si="70"/>
        <v>#DIV/0!</v>
      </c>
      <c r="AC84" s="22" t="e">
        <f>IF(X84=0,NA(),第3期!$BJ$27)</f>
        <v>#DIV/0!</v>
      </c>
      <c r="AD84" s="42"/>
      <c r="AE84" s="42"/>
      <c r="AF84" s="43"/>
      <c r="AG84" s="47"/>
    </row>
    <row r="85" spans="1:33">
      <c r="A85" s="23" t="s">
        <v>850</v>
      </c>
      <c r="B85" s="24" t="s">
        <v>851</v>
      </c>
      <c r="C85" s="24" t="s">
        <v>852</v>
      </c>
      <c r="D85" s="24" t="s">
        <v>853</v>
      </c>
      <c r="E85" s="32" t="s">
        <v>854</v>
      </c>
      <c r="F85" s="24" t="s">
        <v>533</v>
      </c>
      <c r="G85" s="24" t="str">
        <f>B85</f>
        <v>冰箱</v>
      </c>
      <c r="H85" s="24" t="str">
        <f>C85</f>
        <v>电视</v>
      </c>
      <c r="I85" s="24" t="str">
        <f>D85</f>
        <v>手机</v>
      </c>
      <c r="J85" s="24" t="str">
        <f>E85</f>
        <v>计算机</v>
      </c>
      <c r="K85" s="32" t="s">
        <v>237</v>
      </c>
      <c r="L85" s="24" t="s">
        <v>518</v>
      </c>
      <c r="M85" s="24" t="str">
        <f>B85</f>
        <v>冰箱</v>
      </c>
      <c r="N85" s="24" t="str">
        <f>C85</f>
        <v>电视</v>
      </c>
      <c r="O85" s="24" t="str">
        <f>D85</f>
        <v>手机</v>
      </c>
      <c r="P85" s="24" t="str">
        <f>E85</f>
        <v>计算机</v>
      </c>
      <c r="Q85" s="32" t="s">
        <v>313</v>
      </c>
      <c r="U85" s="25" t="str">
        <f>$A$5</f>
        <v>第四期</v>
      </c>
      <c r="V85" s="22" t="e">
        <f t="shared" si="64"/>
        <v>#DIV/0!</v>
      </c>
      <c r="W85" s="22" t="e">
        <f t="shared" si="65"/>
        <v>#DIV/0!</v>
      </c>
      <c r="X85" s="34" t="e">
        <f t="shared" si="66"/>
        <v>#DIV/0!</v>
      </c>
      <c r="Y85" s="22" t="e">
        <f t="shared" si="67"/>
        <v>#DIV/0!</v>
      </c>
      <c r="Z85" s="41" t="e">
        <f t="shared" si="68"/>
        <v>#DIV/0!</v>
      </c>
      <c r="AA85" s="22" t="e">
        <f t="shared" si="69"/>
        <v>#DIV/0!</v>
      </c>
      <c r="AB85" s="22" t="e">
        <f t="shared" si="70"/>
        <v>#DIV/0!</v>
      </c>
      <c r="AC85" s="22" t="e">
        <f>IF(X85=0,NA(),第4期!$BJ$27)</f>
        <v>#DIV/0!</v>
      </c>
      <c r="AD85" s="42"/>
      <c r="AE85" s="42"/>
      <c r="AF85" s="43"/>
      <c r="AG85" s="47"/>
    </row>
    <row r="86" spans="1:33">
      <c r="A86" s="25" t="str">
        <f>A74</f>
        <v>第一期</v>
      </c>
      <c r="B86" s="22" t="e">
        <f>IF(B2="","",第1期!CL$9)</f>
        <v>#DIV/0!</v>
      </c>
      <c r="C86" s="22" t="e">
        <f>IF(C2="","",第1期!CM$9)</f>
        <v>#DIV/0!</v>
      </c>
      <c r="D86" s="22" t="e">
        <f>IF(D2="","",第1期!CN$9)</f>
        <v>#DIV/0!</v>
      </c>
      <c r="E86" s="33" t="e">
        <f>IF(E2="","",第1期!CO$9)</f>
        <v>#DIV/0!</v>
      </c>
      <c r="F86" s="21" t="str">
        <f>A86</f>
        <v>第一期</v>
      </c>
      <c r="G86" s="48" t="e">
        <f>IF(B2="","",第1期!CQ$9)</f>
        <v>#DIV/0!</v>
      </c>
      <c r="H86" s="48" t="e">
        <f>IF(C2="","",第1期!CR$9)</f>
        <v>#DIV/0!</v>
      </c>
      <c r="I86" s="48" t="e">
        <f>IF(D2="","",第1期!CS$9)</f>
        <v>#DIV/0!</v>
      </c>
      <c r="J86" s="48" t="e">
        <f>IF(E2="","",第1期!CT$9)</f>
        <v>#DIV/0!</v>
      </c>
      <c r="K86" s="51" t="e">
        <f>IF(B2="","",第1期!$K$20)</f>
        <v>#DIV/0!</v>
      </c>
      <c r="L86" s="21" t="str">
        <f t="shared" ref="L86:L94" si="71">A86</f>
        <v>第一期</v>
      </c>
      <c r="M86" s="52" t="e">
        <f>IF(B2="","",第1期!CV$9)</f>
        <v>#DIV/0!</v>
      </c>
      <c r="N86" s="52" t="e">
        <f>IF(C2="","",第1期!CW$9)</f>
        <v>#DIV/0!</v>
      </c>
      <c r="O86" s="52" t="e">
        <f>IF(D2="","",第1期!CX$9)</f>
        <v>#DIV/0!</v>
      </c>
      <c r="P86" s="52" t="e">
        <f>IF(E2="","",第1期!CY$9)</f>
        <v>#DIV/0!</v>
      </c>
      <c r="Q86" s="51" t="e">
        <f>IF(B2="","",第1期!$F$24)</f>
        <v>#DIV/0!</v>
      </c>
      <c r="U86" s="25" t="str">
        <f>$A$6</f>
        <v>第五期</v>
      </c>
      <c r="V86" s="22" t="e">
        <f t="shared" si="64"/>
        <v>#DIV/0!</v>
      </c>
      <c r="W86" s="22" t="e">
        <f t="shared" si="65"/>
        <v>#DIV/0!</v>
      </c>
      <c r="X86" s="34" t="e">
        <f t="shared" si="66"/>
        <v>#DIV/0!</v>
      </c>
      <c r="Y86" s="22" t="e">
        <f t="shared" si="67"/>
        <v>#DIV/0!</v>
      </c>
      <c r="Z86" s="41" t="e">
        <f t="shared" si="68"/>
        <v>#DIV/0!</v>
      </c>
      <c r="AA86" s="22" t="e">
        <f t="shared" si="69"/>
        <v>#DIV/0!</v>
      </c>
      <c r="AB86" s="22" t="e">
        <f t="shared" si="70"/>
        <v>#DIV/0!</v>
      </c>
      <c r="AC86" s="22" t="e">
        <f>IF(X86=0,NA(),第5期!$BJ$27)</f>
        <v>#DIV/0!</v>
      </c>
      <c r="AD86" s="42"/>
      <c r="AE86" s="42"/>
      <c r="AF86" s="43"/>
      <c r="AG86" s="47"/>
    </row>
    <row r="87" spans="1:33">
      <c r="A87" s="25" t="str">
        <f t="shared" ref="A87:A94" si="72">A75</f>
        <v>第二期</v>
      </c>
      <c r="B87" s="22" t="e">
        <f>IF(B3="","",第2期!CL$9)</f>
        <v>#DIV/0!</v>
      </c>
      <c r="C87" s="22" t="e">
        <f>IF(C3="","",第2期!CM$9)</f>
        <v>#DIV/0!</v>
      </c>
      <c r="D87" s="22" t="e">
        <f>IF(D3="","",第2期!CN$9)</f>
        <v>#DIV/0!</v>
      </c>
      <c r="E87" s="33" t="e">
        <f>IF(E3="","",第2期!CO$9)</f>
        <v>#DIV/0!</v>
      </c>
      <c r="F87" s="21" t="str">
        <f t="shared" ref="F87:F94" si="73">A87</f>
        <v>第二期</v>
      </c>
      <c r="G87" s="48" t="e">
        <f>IF(B3="","",第2期!CQ$9)</f>
        <v>#DIV/0!</v>
      </c>
      <c r="H87" s="48" t="e">
        <f>IF(C3="","",第2期!CR$9)</f>
        <v>#DIV/0!</v>
      </c>
      <c r="I87" s="48" t="e">
        <f>IF(D3="","",第2期!CS$9)</f>
        <v>#DIV/0!</v>
      </c>
      <c r="J87" s="48" t="e">
        <f>IF(E3="","",第2期!CT$9)</f>
        <v>#DIV/0!</v>
      </c>
      <c r="K87" s="51" t="e">
        <f>IF(B3="","",第2期!$K$20)</f>
        <v>#DIV/0!</v>
      </c>
      <c r="L87" s="21" t="str">
        <f t="shared" si="71"/>
        <v>第二期</v>
      </c>
      <c r="M87" s="52" t="e">
        <f>IF(B3="","",第2期!CV$9)</f>
        <v>#DIV/0!</v>
      </c>
      <c r="N87" s="52" t="e">
        <f>IF(C3="","",第2期!CW$9)</f>
        <v>#DIV/0!</v>
      </c>
      <c r="O87" s="52" t="e">
        <f>IF(D3="","",第2期!CX$9)</f>
        <v>#DIV/0!</v>
      </c>
      <c r="P87" s="52" t="e">
        <f>IF(E3="","",第2期!CY$9)</f>
        <v>#DIV/0!</v>
      </c>
      <c r="Q87" s="51" t="e">
        <f>IF(B3="","",第2期!$F$24)</f>
        <v>#DIV/0!</v>
      </c>
      <c r="U87" s="25" t="str">
        <f>$A$7</f>
        <v>第六期</v>
      </c>
      <c r="V87" s="22" t="e">
        <f t="shared" si="64"/>
        <v>#DIV/0!</v>
      </c>
      <c r="W87" s="22" t="e">
        <f t="shared" si="65"/>
        <v>#DIV/0!</v>
      </c>
      <c r="X87" s="34" t="e">
        <f t="shared" si="66"/>
        <v>#DIV/0!</v>
      </c>
      <c r="Y87" s="22" t="e">
        <f t="shared" si="67"/>
        <v>#DIV/0!</v>
      </c>
      <c r="Z87" s="41" t="e">
        <f t="shared" si="68"/>
        <v>#DIV/0!</v>
      </c>
      <c r="AA87" s="22" t="e">
        <f t="shared" si="69"/>
        <v>#DIV/0!</v>
      </c>
      <c r="AB87" s="22" t="e">
        <f t="shared" si="70"/>
        <v>#DIV/0!</v>
      </c>
      <c r="AC87" s="22" t="e">
        <f>IF(X87=0,NA(),第6期!$BJ$27)</f>
        <v>#DIV/0!</v>
      </c>
      <c r="AD87" s="22" t="s">
        <v>837</v>
      </c>
      <c r="AF87" s="33"/>
      <c r="AG87" s="47"/>
    </row>
    <row r="88" spans="1:33">
      <c r="A88" s="25" t="str">
        <f t="shared" si="72"/>
        <v>第三期</v>
      </c>
      <c r="B88" s="22" t="e">
        <f>IF(B4="","",第3期!CL$9)</f>
        <v>#DIV/0!</v>
      </c>
      <c r="C88" s="22" t="e">
        <f>IF(C4="","",第3期!CM$9)</f>
        <v>#DIV/0!</v>
      </c>
      <c r="D88" s="22" t="e">
        <f>IF(D4="","",第3期!CN$9)</f>
        <v>#DIV/0!</v>
      </c>
      <c r="E88" s="33" t="e">
        <f>IF(E4="","",第3期!CO$9)</f>
        <v>#DIV/0!</v>
      </c>
      <c r="F88" s="21" t="str">
        <f t="shared" si="73"/>
        <v>第三期</v>
      </c>
      <c r="G88" s="48" t="e">
        <f>IF(B4="","",第3期!CQ$9)</f>
        <v>#DIV/0!</v>
      </c>
      <c r="H88" s="48" t="e">
        <f>IF(C4="","",第3期!CR$9)</f>
        <v>#DIV/0!</v>
      </c>
      <c r="I88" s="48" t="e">
        <f>IF(D4="","",第3期!CS$9)</f>
        <v>#DIV/0!</v>
      </c>
      <c r="J88" s="48" t="e">
        <f>IF(E4="","",第3期!CT$9)</f>
        <v>#DIV/0!</v>
      </c>
      <c r="K88" s="51" t="e">
        <f>IF(B4="","",第3期!$K$20)</f>
        <v>#DIV/0!</v>
      </c>
      <c r="L88" s="21" t="str">
        <f t="shared" si="71"/>
        <v>第三期</v>
      </c>
      <c r="M88" s="52" t="e">
        <f>IF(B4="","",第3期!CV$9)</f>
        <v>#DIV/0!</v>
      </c>
      <c r="N88" s="52" t="e">
        <f>IF(C4="","",第3期!CW$9)</f>
        <v>#DIV/0!</v>
      </c>
      <c r="O88" s="52" t="e">
        <f>IF(D4="","",第3期!CX$9)</f>
        <v>#DIV/0!</v>
      </c>
      <c r="P88" s="52" t="e">
        <f>IF(E4="","",第3期!CY$9)</f>
        <v>#DIV/0!</v>
      </c>
      <c r="Q88" s="51" t="e">
        <f>IF(B4="","",第3期!$F$24)</f>
        <v>#DIV/0!</v>
      </c>
      <c r="U88" s="25" t="str">
        <f>$A$8</f>
        <v>第七期</v>
      </c>
      <c r="V88" s="22" t="e">
        <f t="shared" si="64"/>
        <v>#DIV/0!</v>
      </c>
      <c r="W88" s="22" t="e">
        <f t="shared" si="65"/>
        <v>#DIV/0!</v>
      </c>
      <c r="X88" s="34" t="e">
        <f t="shared" si="66"/>
        <v>#DIV/0!</v>
      </c>
      <c r="Y88" s="22" t="e">
        <f t="shared" si="67"/>
        <v>#DIV/0!</v>
      </c>
      <c r="Z88" s="41" t="e">
        <f t="shared" si="68"/>
        <v>#DIV/0!</v>
      </c>
      <c r="AA88" s="22" t="e">
        <f t="shared" si="69"/>
        <v>#DIV/0!</v>
      </c>
      <c r="AB88" s="22" t="e">
        <f t="shared" si="70"/>
        <v>#DIV/0!</v>
      </c>
      <c r="AC88" s="22" t="e">
        <f>IF(X88=0,NA(),第7期!$BJ$27)</f>
        <v>#DIV/0!</v>
      </c>
      <c r="AD88" s="22" t="s">
        <v>681</v>
      </c>
      <c r="AF88" s="33"/>
      <c r="AG88" s="47"/>
    </row>
    <row r="89" spans="1:33">
      <c r="A89" s="25" t="str">
        <f t="shared" si="72"/>
        <v>第四期</v>
      </c>
      <c r="B89" s="22" t="e">
        <f>IF(B5="","",第4期!CL$9)</f>
        <v>#DIV/0!</v>
      </c>
      <c r="C89" s="22" t="e">
        <f>IF(C5="","",第4期!CM$9)</f>
        <v>#DIV/0!</v>
      </c>
      <c r="D89" s="22" t="e">
        <f>IF(D5="","",第4期!CN$9)</f>
        <v>#DIV/0!</v>
      </c>
      <c r="E89" s="33" t="e">
        <f>IF(E5="","",第4期!CO$9)</f>
        <v>#DIV/0!</v>
      </c>
      <c r="F89" s="21" t="str">
        <f t="shared" si="73"/>
        <v>第四期</v>
      </c>
      <c r="G89" s="48" t="e">
        <f>IF(B5="","",第4期!CQ$9)</f>
        <v>#DIV/0!</v>
      </c>
      <c r="H89" s="48" t="e">
        <f>IF(C5="","",第4期!CR$9)</f>
        <v>#DIV/0!</v>
      </c>
      <c r="I89" s="48" t="e">
        <f>IF(D5="","",第4期!CS$9)</f>
        <v>#DIV/0!</v>
      </c>
      <c r="J89" s="48" t="e">
        <f>IF(E5="","",第4期!CT$9)</f>
        <v>#DIV/0!</v>
      </c>
      <c r="K89" s="51" t="e">
        <f>IF(B5="","",第4期!$K$20)</f>
        <v>#DIV/0!</v>
      </c>
      <c r="L89" s="21" t="str">
        <f t="shared" si="71"/>
        <v>第四期</v>
      </c>
      <c r="M89" s="52" t="e">
        <f>IF(B5="","",第4期!CV$9)</f>
        <v>#DIV/0!</v>
      </c>
      <c r="N89" s="52" t="e">
        <f>IF(C5="","",第4期!CW$9)</f>
        <v>#DIV/0!</v>
      </c>
      <c r="O89" s="52" t="e">
        <f>IF(D5="","",第4期!CX$9)</f>
        <v>#DIV/0!</v>
      </c>
      <c r="P89" s="52" t="e">
        <f>IF(E5="","",第4期!CY$9)</f>
        <v>#DIV/0!</v>
      </c>
      <c r="Q89" s="51" t="e">
        <f>IF(B5="","",第4期!$F$24)</f>
        <v>#DIV/0!</v>
      </c>
      <c r="U89" s="25" t="str">
        <f>$A$9</f>
        <v>第八期</v>
      </c>
      <c r="V89" s="22" t="e">
        <f t="shared" si="64"/>
        <v>#DIV/0!</v>
      </c>
      <c r="W89" s="22" t="e">
        <f t="shared" si="65"/>
        <v>#DIV/0!</v>
      </c>
      <c r="X89" s="34" t="e">
        <f t="shared" si="66"/>
        <v>#DIV/0!</v>
      </c>
      <c r="Y89" s="22" t="e">
        <f t="shared" si="67"/>
        <v>#DIV/0!</v>
      </c>
      <c r="Z89" s="41" t="e">
        <f t="shared" si="68"/>
        <v>#DIV/0!</v>
      </c>
      <c r="AA89" s="22" t="e">
        <f t="shared" si="69"/>
        <v>#DIV/0!</v>
      </c>
      <c r="AB89" s="22" t="e">
        <f t="shared" si="70"/>
        <v>#DIV/0!</v>
      </c>
      <c r="AC89" s="22" t="e">
        <f>IF(X89=0,NA(),第8期!$BJ$27)</f>
        <v>#DIV/0!</v>
      </c>
      <c r="AF89" s="33"/>
      <c r="AG89" s="47"/>
    </row>
    <row r="90" ht="14.25" spans="1:33">
      <c r="A90" s="25" t="str">
        <f t="shared" si="72"/>
        <v>第五期</v>
      </c>
      <c r="B90" s="22" t="e">
        <f>IF(B6="","",第5期!CL$9)</f>
        <v>#DIV/0!</v>
      </c>
      <c r="C90" s="22" t="e">
        <f>IF(C6="","",第5期!CM$9)</f>
        <v>#DIV/0!</v>
      </c>
      <c r="D90" s="22" t="e">
        <f>IF(D6="","",第5期!CN$9)</f>
        <v>#DIV/0!</v>
      </c>
      <c r="E90" s="33" t="e">
        <f>IF(E6="","",第5期!CO$9)</f>
        <v>#DIV/0!</v>
      </c>
      <c r="F90" s="21" t="str">
        <f t="shared" si="73"/>
        <v>第五期</v>
      </c>
      <c r="G90" s="48" t="e">
        <f>IF(B6="","",第5期!CQ$9)</f>
        <v>#DIV/0!</v>
      </c>
      <c r="H90" s="48" t="e">
        <f>IF(C6="","",第5期!CR$9)</f>
        <v>#DIV/0!</v>
      </c>
      <c r="I90" s="48" t="e">
        <f>IF(D6="","",第5期!CS$9)</f>
        <v>#DIV/0!</v>
      </c>
      <c r="J90" s="48" t="e">
        <f>IF(E6="","",第5期!CT$9)</f>
        <v>#DIV/0!</v>
      </c>
      <c r="K90" s="51" t="e">
        <f>IF(B6="","",第5期!$K$20)</f>
        <v>#DIV/0!</v>
      </c>
      <c r="L90" s="21" t="str">
        <f t="shared" si="71"/>
        <v>第五期</v>
      </c>
      <c r="M90" s="52" t="e">
        <f>IF(B6="","",第5期!CV$9)</f>
        <v>#DIV/0!</v>
      </c>
      <c r="N90" s="52" t="e">
        <f>IF(C6="","",第5期!CW$9)</f>
        <v>#DIV/0!</v>
      </c>
      <c r="O90" s="52" t="e">
        <f>IF(D6="","",第5期!CX$9)</f>
        <v>#DIV/0!</v>
      </c>
      <c r="P90" s="52" t="e">
        <f>IF(E6="","",第5期!CY$9)</f>
        <v>#DIV/0!</v>
      </c>
      <c r="Q90" s="51" t="e">
        <f>IF(B6="","",第5期!$F$24)</f>
        <v>#DIV/0!</v>
      </c>
      <c r="U90" s="26" t="str">
        <f>$A$10</f>
        <v>第九期</v>
      </c>
      <c r="V90" s="27" t="e">
        <f t="shared" si="64"/>
        <v>#REF!</v>
      </c>
      <c r="W90" s="27" t="e">
        <f t="shared" si="65"/>
        <v>#REF!</v>
      </c>
      <c r="X90" s="34" t="e">
        <f t="shared" si="66"/>
        <v>#REF!</v>
      </c>
      <c r="Y90" s="27" t="e">
        <f t="shared" si="67"/>
        <v>#REF!</v>
      </c>
      <c r="Z90" s="44" t="e">
        <f t="shared" si="68"/>
        <v>#REF!</v>
      </c>
      <c r="AA90" s="27" t="e">
        <f t="shared" si="69"/>
        <v>#REF!</v>
      </c>
      <c r="AB90" s="27" t="e">
        <f t="shared" si="70"/>
        <v>#REF!</v>
      </c>
      <c r="AC90" s="22" t="e">
        <f>IF(X90=0,NA(),#REF!)</f>
        <v>#REF!</v>
      </c>
      <c r="AD90" s="27"/>
      <c r="AE90" s="27"/>
      <c r="AF90" s="35"/>
      <c r="AG90" s="47"/>
    </row>
    <row r="91" spans="1:33">
      <c r="A91" s="25" t="str">
        <f t="shared" si="72"/>
        <v>第六期</v>
      </c>
      <c r="B91" s="22" t="e">
        <f>IF(B7="","",第6期!CL$9)</f>
        <v>#DIV/0!</v>
      </c>
      <c r="C91" s="22" t="e">
        <f>IF(C7="","",第6期!CM$9)</f>
        <v>#DIV/0!</v>
      </c>
      <c r="D91" s="22" t="e">
        <f>IF(D7="","",第6期!CN$9)</f>
        <v>#DIV/0!</v>
      </c>
      <c r="E91" s="33" t="e">
        <f>IF(E7="","",第6期!CO$9)</f>
        <v>#DIV/0!</v>
      </c>
      <c r="F91" s="21" t="str">
        <f t="shared" si="73"/>
        <v>第六期</v>
      </c>
      <c r="G91" s="48" t="e">
        <f>IF(B7="","",第6期!CQ$9)</f>
        <v>#DIV/0!</v>
      </c>
      <c r="H91" s="48" t="e">
        <f>IF(C7="","",第6期!CR$9)</f>
        <v>#DIV/0!</v>
      </c>
      <c r="I91" s="48" t="e">
        <f>IF(D7="","",第6期!CS$9)</f>
        <v>#DIV/0!</v>
      </c>
      <c r="J91" s="48" t="e">
        <f>IF(E7="","",第6期!CT$9)</f>
        <v>#DIV/0!</v>
      </c>
      <c r="K91" s="51" t="e">
        <f>IF(B7="","",第6期!$K$20)</f>
        <v>#DIV/0!</v>
      </c>
      <c r="L91" s="21" t="str">
        <f t="shared" si="71"/>
        <v>第六期</v>
      </c>
      <c r="M91" s="52" t="e">
        <f>IF(B7="","",第6期!CV$9)</f>
        <v>#DIV/0!</v>
      </c>
      <c r="N91" s="52" t="e">
        <f>IF(C7="","",第6期!CW$9)</f>
        <v>#DIV/0!</v>
      </c>
      <c r="O91" s="52" t="e">
        <f>IF(D7="","",第6期!CX$9)</f>
        <v>#DIV/0!</v>
      </c>
      <c r="P91" s="52" t="e">
        <f>IF(E7="","",第6期!CY$9)</f>
        <v>#DIV/0!</v>
      </c>
      <c r="Q91" s="51" t="e">
        <f>IF(B7="","",第6期!$F$24)</f>
        <v>#DIV/0!</v>
      </c>
      <c r="U91" s="23" t="s">
        <v>855</v>
      </c>
      <c r="V91" s="24" t="s">
        <v>825</v>
      </c>
      <c r="W91" s="24" t="s">
        <v>826</v>
      </c>
      <c r="X91" s="24" t="s">
        <v>827</v>
      </c>
      <c r="Y91" s="24" t="s">
        <v>828</v>
      </c>
      <c r="Z91" s="24" t="s">
        <v>829</v>
      </c>
      <c r="AA91" s="24" t="s">
        <v>67</v>
      </c>
      <c r="AB91" s="24" t="s">
        <v>436</v>
      </c>
      <c r="AC91" s="24" t="s">
        <v>577</v>
      </c>
      <c r="AD91" s="24" t="s">
        <v>830</v>
      </c>
      <c r="AE91" s="24"/>
      <c r="AF91" s="32"/>
      <c r="AG91" s="47"/>
    </row>
    <row r="92" spans="1:33">
      <c r="A92" s="25" t="str">
        <f t="shared" si="72"/>
        <v>第七期</v>
      </c>
      <c r="B92" s="22" t="e">
        <f>IF(B8="","",第7期!CK$9)</f>
        <v>#DIV/0!</v>
      </c>
      <c r="C92" s="22" t="e">
        <f>IF(C8="","",第7期!CL$9)</f>
        <v>#DIV/0!</v>
      </c>
      <c r="D92" s="22" t="e">
        <f>IF(D8="","",第7期!CM$9)</f>
        <v>#DIV/0!</v>
      </c>
      <c r="E92" s="33" t="e">
        <f>IF(E8="","",第7期!CN$9)</f>
        <v>#DIV/0!</v>
      </c>
      <c r="F92" s="21" t="str">
        <f t="shared" si="73"/>
        <v>第七期</v>
      </c>
      <c r="G92" s="48" t="e">
        <f>IF(B8="","",第7期!CP$9)</f>
        <v>#DIV/0!</v>
      </c>
      <c r="H92" s="48" t="e">
        <f>IF(C8="","",第7期!CQ$9)</f>
        <v>#DIV/0!</v>
      </c>
      <c r="I92" s="48" t="e">
        <f>IF(D8="","",第7期!CR$9)</f>
        <v>#DIV/0!</v>
      </c>
      <c r="J92" s="48" t="e">
        <f>IF(E8="","",第7期!CS$9)</f>
        <v>#DIV/0!</v>
      </c>
      <c r="K92" s="51" t="e">
        <f>IF(B8="","",第7期!$K$20)</f>
        <v>#DIV/0!</v>
      </c>
      <c r="L92" s="21" t="str">
        <f t="shared" si="71"/>
        <v>第七期</v>
      </c>
      <c r="M92" s="52" t="e">
        <f>IF(B8="","",第7期!CU$9)</f>
        <v>#DIV/0!</v>
      </c>
      <c r="N92" s="52" t="e">
        <f>IF(C8="","",第7期!CV$9)</f>
        <v>#DIV/0!</v>
      </c>
      <c r="O92" s="52" t="e">
        <f>IF(D8="","",第7期!CW$9)</f>
        <v>#DIV/0!</v>
      </c>
      <c r="P92" s="52" t="e">
        <f>IF(E8="","",第7期!CX$9)</f>
        <v>#DIV/0!</v>
      </c>
      <c r="Q92" s="51" t="e">
        <f>IF(B8="","",第7期!$F$24)</f>
        <v>#DIV/0!</v>
      </c>
      <c r="U92" s="25" t="str">
        <f>$A$2</f>
        <v>第一期</v>
      </c>
      <c r="V92" s="22" t="e">
        <f>IF(B2="","",K2)</f>
        <v>#DIV/0!</v>
      </c>
      <c r="W92" s="22" t="e">
        <f>IF(C2="","",K14)</f>
        <v>#DIV/0!</v>
      </c>
      <c r="X92" s="34" t="e">
        <f>IF(D2="",0,K26)</f>
        <v>#DIV/0!</v>
      </c>
      <c r="Y92" s="22" t="e">
        <f>IF(E2="","",K38)</f>
        <v>#DIV/0!</v>
      </c>
      <c r="Z92" s="41" t="e">
        <f>IF(F2="","",K50)</f>
        <v>#DIV/0!</v>
      </c>
      <c r="AA92" s="22" t="e">
        <f>IF(G2="","",K62)</f>
        <v>#DIV/0!</v>
      </c>
      <c r="AB92" s="22" t="e">
        <f>IF(H2="","",K74)</f>
        <v>#DIV/0!</v>
      </c>
      <c r="AC92" s="22" t="e">
        <f>IF(X92=0,NA(),第1期!$BK$27)</f>
        <v>#DIV/0!</v>
      </c>
      <c r="AD92" s="42"/>
      <c r="AE92" s="42"/>
      <c r="AF92" s="43"/>
      <c r="AG92" s="47"/>
    </row>
    <row r="93" spans="1:33">
      <c r="A93" s="25" t="str">
        <f t="shared" si="72"/>
        <v>第八期</v>
      </c>
      <c r="B93" s="22" t="e">
        <f>IF(B9="","",第8期!CJ$9)</f>
        <v>#DIV/0!</v>
      </c>
      <c r="C93" s="22" t="e">
        <f>IF(C9="","",第8期!CK$9)</f>
        <v>#DIV/0!</v>
      </c>
      <c r="D93" s="22" t="e">
        <f>IF(D9="","",第8期!CL$9)</f>
        <v>#DIV/0!</v>
      </c>
      <c r="E93" s="33" t="e">
        <f>IF(E9="","",第8期!CM$9)</f>
        <v>#DIV/0!</v>
      </c>
      <c r="F93" s="21" t="str">
        <f t="shared" si="73"/>
        <v>第八期</v>
      </c>
      <c r="G93" s="48" t="e">
        <f>IF(B9="","",第8期!CO$9)</f>
        <v>#DIV/0!</v>
      </c>
      <c r="H93" s="48" t="e">
        <f>IF(C9="","",第8期!CP$9)</f>
        <v>#DIV/0!</v>
      </c>
      <c r="I93" s="48" t="e">
        <f>IF(D9="","",第8期!CQ$9)</f>
        <v>#DIV/0!</v>
      </c>
      <c r="J93" s="48" t="e">
        <f>IF(E9="","",第8期!CR$9)</f>
        <v>#DIV/0!</v>
      </c>
      <c r="K93" s="51" t="e">
        <f>IF(B9="","",第8期!$K$20)</f>
        <v>#DIV/0!</v>
      </c>
      <c r="L93" s="21" t="str">
        <f t="shared" si="71"/>
        <v>第八期</v>
      </c>
      <c r="M93" s="52" t="e">
        <f>IF(B9="","",第8期!CT$9)</f>
        <v>#DIV/0!</v>
      </c>
      <c r="N93" s="52" t="e">
        <f>IF(C9="","",第8期!CU$9)</f>
        <v>#DIV/0!</v>
      </c>
      <c r="O93" s="52" t="e">
        <f>IF(D9="","",第8期!CV$9)</f>
        <v>#DIV/0!</v>
      </c>
      <c r="P93" s="52" t="e">
        <f>IF(E9="","",第8期!CW$9)</f>
        <v>#DIV/0!</v>
      </c>
      <c r="Q93" s="51" t="e">
        <f>IF(B9="","",第8期!$F$24)</f>
        <v>#DIV/0!</v>
      </c>
      <c r="U93" s="25" t="str">
        <f>$A$3</f>
        <v>第二期</v>
      </c>
      <c r="V93" s="22" t="e">
        <f t="shared" ref="V93:V100" si="74">IF(B3="","",K3)</f>
        <v>#DIV/0!</v>
      </c>
      <c r="W93" s="22" t="e">
        <f t="shared" ref="W93:W100" si="75">IF(C3="","",K15)</f>
        <v>#DIV/0!</v>
      </c>
      <c r="X93" s="34" t="e">
        <f t="shared" ref="X93:X100" si="76">IF(D3="",0,K27)</f>
        <v>#DIV/0!</v>
      </c>
      <c r="Y93" s="22" t="e">
        <f t="shared" ref="Y93:Y100" si="77">IF(E3="","",K39)</f>
        <v>#DIV/0!</v>
      </c>
      <c r="Z93" s="41" t="e">
        <f t="shared" ref="Z93:Z100" si="78">IF(F3="","",K51)</f>
        <v>#DIV/0!</v>
      </c>
      <c r="AA93" s="22" t="e">
        <f t="shared" ref="AA93:AA100" si="79">IF(G3="","",K63)</f>
        <v>#DIV/0!</v>
      </c>
      <c r="AB93" s="22" t="e">
        <f t="shared" ref="AB93:AB100" si="80">IF(H3="","",K75)</f>
        <v>#DIV/0!</v>
      </c>
      <c r="AC93" s="22" t="e">
        <f>IF(X93=0,NA(),第2期!$BK$27)</f>
        <v>#DIV/0!</v>
      </c>
      <c r="AD93" s="42"/>
      <c r="AE93" s="42"/>
      <c r="AF93" s="43"/>
      <c r="AG93" s="47"/>
    </row>
    <row r="94" ht="14.25" spans="1:33">
      <c r="A94" s="26" t="str">
        <f t="shared" si="72"/>
        <v>第九期</v>
      </c>
      <c r="B94" s="27" t="e">
        <f>IF(B10="","",#REF!)</f>
        <v>#REF!</v>
      </c>
      <c r="C94" s="27" t="e">
        <f>IF(C10="","",#REF!)</f>
        <v>#REF!</v>
      </c>
      <c r="D94" s="27" t="e">
        <f>IF(D10="","",#REF!)</f>
        <v>#REF!</v>
      </c>
      <c r="E94" s="35" t="e">
        <f>IF(E10="","",#REF!)</f>
        <v>#REF!</v>
      </c>
      <c r="F94" s="49" t="str">
        <f t="shared" si="73"/>
        <v>第九期</v>
      </c>
      <c r="G94" s="50" t="e">
        <f>IF(B10="","",#REF!)</f>
        <v>#REF!</v>
      </c>
      <c r="H94" s="50" t="e">
        <f>IF(C10="","",#REF!)</f>
        <v>#REF!</v>
      </c>
      <c r="I94" s="50" t="e">
        <f>IF(D10="","",#REF!)</f>
        <v>#REF!</v>
      </c>
      <c r="J94" s="50" t="e">
        <f>IF(E10="","",#REF!)</f>
        <v>#REF!</v>
      </c>
      <c r="K94" s="53" t="e">
        <f>IF(B10="","",#REF!)</f>
        <v>#REF!</v>
      </c>
      <c r="L94" s="49" t="str">
        <f t="shared" si="71"/>
        <v>第九期</v>
      </c>
      <c r="M94" s="54" t="e">
        <f>IF(B10="","",#REF!)</f>
        <v>#REF!</v>
      </c>
      <c r="N94" s="54" t="e">
        <f>IF(C10="","",#REF!)</f>
        <v>#REF!</v>
      </c>
      <c r="O94" s="54" t="e">
        <f>IF(D10="","",#REF!)</f>
        <v>#REF!</v>
      </c>
      <c r="P94" s="54" t="e">
        <f>IF(E10="","",#REF!)</f>
        <v>#REF!</v>
      </c>
      <c r="Q94" s="53" t="e">
        <f>IF(B10="","",#REF!)</f>
        <v>#REF!</v>
      </c>
      <c r="U94" s="25" t="str">
        <f>$A$4</f>
        <v>第三期</v>
      </c>
      <c r="V94" s="22" t="e">
        <f t="shared" si="74"/>
        <v>#DIV/0!</v>
      </c>
      <c r="W94" s="22" t="e">
        <f t="shared" si="75"/>
        <v>#DIV/0!</v>
      </c>
      <c r="X94" s="34" t="e">
        <f t="shared" si="76"/>
        <v>#DIV/0!</v>
      </c>
      <c r="Y94" s="22" t="e">
        <f t="shared" si="77"/>
        <v>#DIV/0!</v>
      </c>
      <c r="Z94" s="41" t="e">
        <f t="shared" si="78"/>
        <v>#DIV/0!</v>
      </c>
      <c r="AA94" s="22" t="e">
        <f t="shared" si="79"/>
        <v>#DIV/0!</v>
      </c>
      <c r="AB94" s="22" t="e">
        <f t="shared" si="80"/>
        <v>#DIV/0!</v>
      </c>
      <c r="AC94" s="22" t="e">
        <f>IF(X94=0,NA(),第3期!$BK$27)</f>
        <v>#DIV/0!</v>
      </c>
      <c r="AD94" s="42"/>
      <c r="AE94" s="42"/>
      <c r="AF94" s="43"/>
      <c r="AG94" s="47"/>
    </row>
    <row r="95" spans="21:33">
      <c r="U95" s="25" t="str">
        <f>$A$5</f>
        <v>第四期</v>
      </c>
      <c r="V95" s="22" t="e">
        <f t="shared" si="74"/>
        <v>#DIV/0!</v>
      </c>
      <c r="W95" s="22" t="e">
        <f t="shared" si="75"/>
        <v>#DIV/0!</v>
      </c>
      <c r="X95" s="34" t="e">
        <f t="shared" si="76"/>
        <v>#DIV/0!</v>
      </c>
      <c r="Y95" s="22" t="e">
        <f t="shared" si="77"/>
        <v>#DIV/0!</v>
      </c>
      <c r="Z95" s="41" t="e">
        <f t="shared" si="78"/>
        <v>#DIV/0!</v>
      </c>
      <c r="AA95" s="22" t="e">
        <f t="shared" si="79"/>
        <v>#DIV/0!</v>
      </c>
      <c r="AB95" s="22" t="e">
        <f t="shared" si="80"/>
        <v>#DIV/0!</v>
      </c>
      <c r="AC95" s="22" t="e">
        <f>IF(X95=0,NA(),第4期!$BK$27)</f>
        <v>#DIV/0!</v>
      </c>
      <c r="AD95" s="42"/>
      <c r="AE95" s="42"/>
      <c r="AF95" s="43"/>
      <c r="AG95" s="47"/>
    </row>
    <row r="96" ht="14.25" spans="21:33">
      <c r="U96" s="25" t="str">
        <f>$A$6</f>
        <v>第五期</v>
      </c>
      <c r="V96" s="22" t="e">
        <f t="shared" si="74"/>
        <v>#DIV/0!</v>
      </c>
      <c r="W96" s="22" t="e">
        <f t="shared" si="75"/>
        <v>#DIV/0!</v>
      </c>
      <c r="X96" s="34" t="e">
        <f t="shared" si="76"/>
        <v>#DIV/0!</v>
      </c>
      <c r="Y96" s="22" t="e">
        <f t="shared" si="77"/>
        <v>#DIV/0!</v>
      </c>
      <c r="Z96" s="41" t="e">
        <f t="shared" si="78"/>
        <v>#DIV/0!</v>
      </c>
      <c r="AA96" s="22" t="e">
        <f t="shared" si="79"/>
        <v>#DIV/0!</v>
      </c>
      <c r="AB96" s="22" t="e">
        <f t="shared" si="80"/>
        <v>#DIV/0!</v>
      </c>
      <c r="AC96" s="22" t="e">
        <f>IF(X96=0,NA(),第5期!$BK$27)</f>
        <v>#DIV/0!</v>
      </c>
      <c r="AD96" s="42"/>
      <c r="AE96" s="42"/>
      <c r="AF96" s="43"/>
      <c r="AG96" s="47"/>
    </row>
    <row r="97" spans="1:33">
      <c r="A97" s="23" t="s">
        <v>856</v>
      </c>
      <c r="B97" s="32" t="s">
        <v>857</v>
      </c>
      <c r="C97" s="24" t="s">
        <v>858</v>
      </c>
      <c r="D97" s="32" t="s">
        <v>551</v>
      </c>
      <c r="E97" s="24" t="s">
        <v>859</v>
      </c>
      <c r="F97" s="24" t="s">
        <v>296</v>
      </c>
      <c r="G97" s="32" t="s">
        <v>574</v>
      </c>
      <c r="H97" s="24" t="s">
        <v>860</v>
      </c>
      <c r="I97" s="32" t="s">
        <v>861</v>
      </c>
      <c r="J97" s="55" t="s">
        <v>862</v>
      </c>
      <c r="K97" s="24" t="s">
        <v>863</v>
      </c>
      <c r="L97" s="32" t="s">
        <v>864</v>
      </c>
      <c r="M97" s="24" t="s">
        <v>618</v>
      </c>
      <c r="N97" s="32" t="s">
        <v>619</v>
      </c>
      <c r="O97" s="24" t="s">
        <v>865</v>
      </c>
      <c r="P97" s="32" t="s">
        <v>610</v>
      </c>
      <c r="Q97" s="24" t="s">
        <v>268</v>
      </c>
      <c r="R97" s="32" t="s">
        <v>281</v>
      </c>
      <c r="U97" s="25" t="str">
        <f>$A$7</f>
        <v>第六期</v>
      </c>
      <c r="V97" s="22" t="e">
        <f t="shared" si="74"/>
        <v>#DIV/0!</v>
      </c>
      <c r="W97" s="22" t="e">
        <f t="shared" si="75"/>
        <v>#DIV/0!</v>
      </c>
      <c r="X97" s="34" t="e">
        <f t="shared" si="76"/>
        <v>#DIV/0!</v>
      </c>
      <c r="Y97" s="22" t="e">
        <f t="shared" si="77"/>
        <v>#DIV/0!</v>
      </c>
      <c r="Z97" s="41" t="e">
        <f t="shared" si="78"/>
        <v>#DIV/0!</v>
      </c>
      <c r="AA97" s="22" t="e">
        <f t="shared" si="79"/>
        <v>#DIV/0!</v>
      </c>
      <c r="AB97" s="22" t="e">
        <f t="shared" si="80"/>
        <v>#DIV/0!</v>
      </c>
      <c r="AC97" s="22" t="e">
        <f>IF(X97=0,NA(),第6期!$BK$27)</f>
        <v>#DIV/0!</v>
      </c>
      <c r="AD97" s="22" t="s">
        <v>837</v>
      </c>
      <c r="AF97" s="33"/>
      <c r="AG97" s="47"/>
    </row>
    <row r="98" spans="1:33">
      <c r="A98" s="25" t="str">
        <f>A86</f>
        <v>第一期</v>
      </c>
      <c r="B98" s="33" t="e">
        <f>IF(B2="","",第1期!$N$49)</f>
        <v>#DIV/0!</v>
      </c>
      <c r="C98" s="22" t="e">
        <f>IF(C2="","",第1期!$H$17)</f>
        <v>#DIV/0!</v>
      </c>
      <c r="D98" s="33" t="e">
        <f>IF(D2="","",第1期!$B$22)</f>
        <v>#DIV/0!</v>
      </c>
      <c r="E98" s="22" t="e">
        <f>IF(E2="","",第1期!$C$28)</f>
        <v>#DIV/0!</v>
      </c>
      <c r="F98" s="22" t="e">
        <f>IF(F2="","",第1期!$F$64)</f>
        <v>#DIV/0!</v>
      </c>
      <c r="G98" s="33" t="e">
        <f>IF(G2="","",第1期!$E$60)</f>
        <v>#DIV/0!</v>
      </c>
      <c r="H98" s="22" t="e">
        <f>IF(H2="","",第1期!$P$37)</f>
        <v>#DIV/0!</v>
      </c>
      <c r="I98" s="33" t="e">
        <f>IF(I2="","",第1期!$E$24)</f>
        <v>#DIV/0!</v>
      </c>
      <c r="J98" s="56" t="e">
        <f>IF(J2="","",第1期!$D$22)</f>
        <v>#DIV/0!</v>
      </c>
      <c r="K98" s="22" t="e">
        <f>IF(K2="","",第1期!$I$43)</f>
        <v>#DIV/0!</v>
      </c>
      <c r="L98" s="33" t="e">
        <f>IF(L2="","",第1期!$E$22)</f>
        <v>#DIV/0!</v>
      </c>
      <c r="M98" s="22" t="e">
        <f>IF(M2="","",第1期!$P$35)</f>
        <v>#DIV/0!</v>
      </c>
      <c r="N98" s="33" t="e">
        <f>IF(N2="","",第1期!$C$24)</f>
        <v>#DIV/0!</v>
      </c>
      <c r="O98" s="22" t="e">
        <f>IF(O2="","",第1期!$B$24)</f>
        <v>#DIV/0!</v>
      </c>
      <c r="P98" s="33" t="e">
        <f>IF(P2="","",第1期!$P$33)</f>
        <v>#DIV/0!</v>
      </c>
      <c r="Q98" s="22" t="e">
        <f>IF(Q2="","",第1期!$F$82)</f>
        <v>#DIV/0!</v>
      </c>
      <c r="R98" s="33" t="e">
        <f>IF(B2="","",第1期!$F$77)</f>
        <v>#DIV/0!</v>
      </c>
      <c r="U98" s="25" t="str">
        <f>$A$8</f>
        <v>第七期</v>
      </c>
      <c r="V98" s="22" t="e">
        <f t="shared" si="74"/>
        <v>#DIV/0!</v>
      </c>
      <c r="W98" s="22" t="e">
        <f t="shared" si="75"/>
        <v>#DIV/0!</v>
      </c>
      <c r="X98" s="34" t="e">
        <f t="shared" si="76"/>
        <v>#DIV/0!</v>
      </c>
      <c r="Y98" s="22" t="e">
        <f t="shared" si="77"/>
        <v>#DIV/0!</v>
      </c>
      <c r="Z98" s="41" t="e">
        <f t="shared" si="78"/>
        <v>#DIV/0!</v>
      </c>
      <c r="AA98" s="22" t="e">
        <f t="shared" si="79"/>
        <v>#DIV/0!</v>
      </c>
      <c r="AB98" s="22" t="e">
        <f t="shared" si="80"/>
        <v>#DIV/0!</v>
      </c>
      <c r="AC98" s="22" t="e">
        <f>IF(X98=0,NA(),第7期!$BK$27)</f>
        <v>#DIV/0!</v>
      </c>
      <c r="AD98" s="22" t="s">
        <v>681</v>
      </c>
      <c r="AF98" s="33"/>
      <c r="AG98" s="47"/>
    </row>
    <row r="99" spans="1:33">
      <c r="A99" s="25" t="str">
        <f t="shared" ref="A99:A106" si="81">A87</f>
        <v>第二期</v>
      </c>
      <c r="B99" s="33" t="e">
        <f>IF(B3="","",第1期!$N$49)</f>
        <v>#DIV/0!</v>
      </c>
      <c r="C99" s="22" t="e">
        <f>IF(C3="","",第2期!$H$17)</f>
        <v>#DIV/0!</v>
      </c>
      <c r="D99" s="33" t="e">
        <f>IF(D3="","",第2期!$B$22)</f>
        <v>#DIV/0!</v>
      </c>
      <c r="E99" s="22" t="e">
        <f>IF(E3="","",第2期!$C$28)</f>
        <v>#DIV/0!</v>
      </c>
      <c r="F99" s="22" t="e">
        <f>IF(F3="","",第2期!$F$64)</f>
        <v>#DIV/0!</v>
      </c>
      <c r="G99" s="33" t="e">
        <f>IF(G3="","",第2期!$E$60)</f>
        <v>#DIV/0!</v>
      </c>
      <c r="H99" s="22" t="e">
        <f>IF(H3="","",第2期!$P$37)</f>
        <v>#DIV/0!</v>
      </c>
      <c r="I99" s="33" t="e">
        <f>IF(I3="","",第2期!$E$24)</f>
        <v>#DIV/0!</v>
      </c>
      <c r="J99" s="56" t="e">
        <f>IF(J3="","",第2期!$D$22)</f>
        <v>#DIV/0!</v>
      </c>
      <c r="K99" s="22" t="e">
        <f>IF(K3="","",第2期!$I$43)</f>
        <v>#DIV/0!</v>
      </c>
      <c r="L99" s="33" t="e">
        <f>IF(L3="","",第2期!$E$22)</f>
        <v>#DIV/0!</v>
      </c>
      <c r="M99" s="22" t="e">
        <f>IF(M3="","",第2期!$P$35)</f>
        <v>#DIV/0!</v>
      </c>
      <c r="N99" s="33" t="e">
        <f>IF(N3="","",第2期!$C$24)</f>
        <v>#DIV/0!</v>
      </c>
      <c r="O99" s="22" t="e">
        <f>IF(O3="","",第2期!$B$24)</f>
        <v>#DIV/0!</v>
      </c>
      <c r="P99" s="33" t="e">
        <f>IF(P3="","",第2期!$P$33)</f>
        <v>#DIV/0!</v>
      </c>
      <c r="Q99" s="22" t="e">
        <f>IF(Q3="","",第2期!$F$82)</f>
        <v>#DIV/0!</v>
      </c>
      <c r="R99" s="33" t="e">
        <f>IF(B3="","",第2期!$F$77)</f>
        <v>#DIV/0!</v>
      </c>
      <c r="U99" s="25" t="str">
        <f>$A$9</f>
        <v>第八期</v>
      </c>
      <c r="V99" s="22" t="e">
        <f t="shared" si="74"/>
        <v>#DIV/0!</v>
      </c>
      <c r="W99" s="22" t="e">
        <f t="shared" si="75"/>
        <v>#DIV/0!</v>
      </c>
      <c r="X99" s="34" t="e">
        <f t="shared" si="76"/>
        <v>#DIV/0!</v>
      </c>
      <c r="Y99" s="22" t="e">
        <f t="shared" si="77"/>
        <v>#DIV/0!</v>
      </c>
      <c r="Z99" s="41" t="e">
        <f t="shared" si="78"/>
        <v>#DIV/0!</v>
      </c>
      <c r="AA99" s="22" t="e">
        <f t="shared" si="79"/>
        <v>#DIV/0!</v>
      </c>
      <c r="AB99" s="22" t="e">
        <f t="shared" si="80"/>
        <v>#DIV/0!</v>
      </c>
      <c r="AC99" s="22" t="e">
        <f>IF(X99=0,NA(),第8期!$BK$27)</f>
        <v>#DIV/0!</v>
      </c>
      <c r="AF99" s="33"/>
      <c r="AG99" s="47"/>
    </row>
    <row r="100" ht="14.25" spans="1:33">
      <c r="A100" s="25" t="str">
        <f t="shared" si="81"/>
        <v>第三期</v>
      </c>
      <c r="B100" s="33" t="e">
        <f>IF(B4="","",第3期!$N$49)</f>
        <v>#DIV/0!</v>
      </c>
      <c r="C100" s="22" t="e">
        <f>IF(C4="","",第3期!$H$17)</f>
        <v>#DIV/0!</v>
      </c>
      <c r="D100" s="33" t="e">
        <f>IF(D4="","",第3期!$B$22)</f>
        <v>#DIV/0!</v>
      </c>
      <c r="E100" s="22" t="e">
        <f>IF(E4="","",第3期!$C$28)</f>
        <v>#DIV/0!</v>
      </c>
      <c r="F100" s="22" t="e">
        <f>IF(F4="","",第3期!$F$64)</f>
        <v>#DIV/0!</v>
      </c>
      <c r="G100" s="33" t="e">
        <f>IF(G4="","",第3期!$E$60)</f>
        <v>#DIV/0!</v>
      </c>
      <c r="H100" s="22" t="e">
        <f>IF(H4="","",第3期!$P$37)</f>
        <v>#DIV/0!</v>
      </c>
      <c r="I100" s="33" t="e">
        <f>IF(I4="","",第3期!$E$24)</f>
        <v>#DIV/0!</v>
      </c>
      <c r="J100" s="56" t="e">
        <f>IF(J4="","",第3期!$D$22)</f>
        <v>#DIV/0!</v>
      </c>
      <c r="K100" s="22" t="e">
        <f>IF(K4="","",第3期!$I$43)</f>
        <v>#DIV/0!</v>
      </c>
      <c r="L100" s="33" t="e">
        <f>IF(L4="","",第3期!$E$22)</f>
        <v>#DIV/0!</v>
      </c>
      <c r="M100" s="22" t="e">
        <f>IF(M4="","",第3期!$P$35)</f>
        <v>#DIV/0!</v>
      </c>
      <c r="N100" s="33" t="e">
        <f>IF(N4="","",第3期!$C$24)</f>
        <v>#DIV/0!</v>
      </c>
      <c r="O100" s="22" t="e">
        <f>IF(O4="","",第3期!$B$24)</f>
        <v>#DIV/0!</v>
      </c>
      <c r="P100" s="33" t="e">
        <f>IF(P4="","",第3期!$P$33)</f>
        <v>#DIV/0!</v>
      </c>
      <c r="Q100" s="22" t="e">
        <f>IF(Q4="","",第3期!$F$82)</f>
        <v>#DIV/0!</v>
      </c>
      <c r="R100" s="33" t="e">
        <f>IF(B4="","",第3期!$F$77)</f>
        <v>#DIV/0!</v>
      </c>
      <c r="U100" s="26" t="str">
        <f>$A$10</f>
        <v>第九期</v>
      </c>
      <c r="V100" s="27" t="e">
        <f t="shared" si="74"/>
        <v>#REF!</v>
      </c>
      <c r="W100" s="27" t="e">
        <f t="shared" si="75"/>
        <v>#REF!</v>
      </c>
      <c r="X100" s="34" t="e">
        <f t="shared" si="76"/>
        <v>#REF!</v>
      </c>
      <c r="Y100" s="27" t="e">
        <f t="shared" si="77"/>
        <v>#REF!</v>
      </c>
      <c r="Z100" s="44" t="e">
        <f t="shared" si="78"/>
        <v>#REF!</v>
      </c>
      <c r="AA100" s="27" t="e">
        <f t="shared" si="79"/>
        <v>#REF!</v>
      </c>
      <c r="AB100" s="27" t="e">
        <f t="shared" si="80"/>
        <v>#REF!</v>
      </c>
      <c r="AC100" s="22" t="e">
        <f>IF(X100=0,NA(),#REF!)</f>
        <v>#REF!</v>
      </c>
      <c r="AD100" s="27"/>
      <c r="AE100" s="27"/>
      <c r="AF100" s="35"/>
      <c r="AG100" s="47"/>
    </row>
    <row r="101" spans="1:33">
      <c r="A101" s="25" t="str">
        <f t="shared" si="81"/>
        <v>第四期</v>
      </c>
      <c r="B101" s="33" t="e">
        <f>IF(B5="","",第4期!$N$49)</f>
        <v>#DIV/0!</v>
      </c>
      <c r="C101" s="22" t="e">
        <f>IF(C5="","",第4期!$H$17)</f>
        <v>#DIV/0!</v>
      </c>
      <c r="D101" s="33" t="e">
        <f>IF(D5="","",第4期!$B$22)</f>
        <v>#DIV/0!</v>
      </c>
      <c r="E101" s="22" t="e">
        <f>IF(E5="","",第4期!$C$28)</f>
        <v>#DIV/0!</v>
      </c>
      <c r="F101" s="22" t="e">
        <f>IF(F5="","",第4期!$F$64)</f>
        <v>#DIV/0!</v>
      </c>
      <c r="G101" s="33" t="e">
        <f>IF(G5="","",第4期!$E$60)</f>
        <v>#DIV/0!</v>
      </c>
      <c r="H101" s="22" t="e">
        <f>IF(H5="","",第4期!$P$37)</f>
        <v>#DIV/0!</v>
      </c>
      <c r="I101" s="33" t="e">
        <f>IF(I5="","",第4期!$E$24)</f>
        <v>#DIV/0!</v>
      </c>
      <c r="J101" s="56" t="e">
        <f>IF(J5="","",第4期!$D$22)</f>
        <v>#DIV/0!</v>
      </c>
      <c r="K101" s="22" t="e">
        <f>IF(K5="","",第4期!$I$43)</f>
        <v>#DIV/0!</v>
      </c>
      <c r="L101" s="33" t="e">
        <f>IF(L5="","",第4期!$E$22)</f>
        <v>#DIV/0!</v>
      </c>
      <c r="M101" s="22" t="e">
        <f>IF(M5="","",第4期!$P$35)</f>
        <v>#DIV/0!</v>
      </c>
      <c r="N101" s="33" t="e">
        <f>IF(N5="","",第4期!$C$24)</f>
        <v>#DIV/0!</v>
      </c>
      <c r="O101" s="22" t="e">
        <f>IF(O5="","",第4期!$B$24)</f>
        <v>#DIV/0!</v>
      </c>
      <c r="P101" s="33" t="e">
        <f>IF(P5="","",第4期!$P$33)</f>
        <v>#DIV/0!</v>
      </c>
      <c r="Q101" s="22" t="e">
        <f>IF(Q5="","",第4期!$F$82)</f>
        <v>#DIV/0!</v>
      </c>
      <c r="R101" s="33" t="e">
        <f>IF(B5="","",第4期!$F$77)</f>
        <v>#DIV/0!</v>
      </c>
      <c r="U101" s="23" t="s">
        <v>866</v>
      </c>
      <c r="V101" s="24" t="s">
        <v>825</v>
      </c>
      <c r="W101" s="24" t="s">
        <v>826</v>
      </c>
      <c r="X101" s="24" t="s">
        <v>827</v>
      </c>
      <c r="Y101" s="24" t="s">
        <v>828</v>
      </c>
      <c r="Z101" s="24" t="s">
        <v>829</v>
      </c>
      <c r="AA101" s="24" t="s">
        <v>67</v>
      </c>
      <c r="AB101" s="24" t="s">
        <v>436</v>
      </c>
      <c r="AC101" s="24" t="s">
        <v>577</v>
      </c>
      <c r="AD101" s="24" t="s">
        <v>830</v>
      </c>
      <c r="AE101" s="24"/>
      <c r="AF101" s="32"/>
      <c r="AG101" s="47"/>
    </row>
    <row r="102" spans="1:33">
      <c r="A102" s="25" t="str">
        <f t="shared" si="81"/>
        <v>第五期</v>
      </c>
      <c r="B102" s="33" t="e">
        <f>IF(B6="","",第5期!$N$49)</f>
        <v>#DIV/0!</v>
      </c>
      <c r="C102" s="22" t="e">
        <f>IF(C6="","",第5期!$H$17)</f>
        <v>#DIV/0!</v>
      </c>
      <c r="D102" s="33" t="e">
        <f>IF(D6="","",第5期!$B$22)</f>
        <v>#DIV/0!</v>
      </c>
      <c r="E102" s="22" t="e">
        <f>IF(E6="","",第5期!$C$28)</f>
        <v>#DIV/0!</v>
      </c>
      <c r="F102" s="22" t="e">
        <f>IF(F6="","",第5期!$F$64)</f>
        <v>#DIV/0!</v>
      </c>
      <c r="G102" s="33" t="e">
        <f>IF(G6="","",第5期!$E$60)</f>
        <v>#DIV/0!</v>
      </c>
      <c r="H102" s="22" t="e">
        <f>IF(H6="","",第5期!$P$37)</f>
        <v>#DIV/0!</v>
      </c>
      <c r="I102" s="33" t="e">
        <f>IF(I6="","",第5期!$E$24)</f>
        <v>#DIV/0!</v>
      </c>
      <c r="J102" s="56" t="e">
        <f>IF(J6="","",第5期!$D$22)</f>
        <v>#DIV/0!</v>
      </c>
      <c r="K102" s="22" t="e">
        <f>IF(K6="","",第5期!$I$43)</f>
        <v>#DIV/0!</v>
      </c>
      <c r="L102" s="33" t="e">
        <f>IF(L6="","",第5期!$E$22)</f>
        <v>#DIV/0!</v>
      </c>
      <c r="M102" s="22" t="e">
        <f>IF(M6="","",第5期!$P$35)</f>
        <v>#DIV/0!</v>
      </c>
      <c r="N102" s="33" t="e">
        <f>IF(N6="","",第5期!$C$24)</f>
        <v>#DIV/0!</v>
      </c>
      <c r="O102" s="22" t="e">
        <f>IF(O6="","",第5期!$B$24)</f>
        <v>#DIV/0!</v>
      </c>
      <c r="P102" s="33" t="e">
        <f>IF(P6="","",第5期!$P$33)</f>
        <v>#DIV/0!</v>
      </c>
      <c r="Q102" s="22" t="e">
        <f>IF(Q6="","",第5期!$F$82)</f>
        <v>#DIV/0!</v>
      </c>
      <c r="R102" s="33" t="e">
        <f>IF(B6="","",第5期!$F$77)</f>
        <v>#DIV/0!</v>
      </c>
      <c r="U102" s="25" t="str">
        <f>$A$2</f>
        <v>第一期</v>
      </c>
      <c r="V102" s="22" t="e">
        <f>IF(B2="","",L2)</f>
        <v>#DIV/0!</v>
      </c>
      <c r="W102" s="22" t="e">
        <f>IF(C2="","",L14)</f>
        <v>#DIV/0!</v>
      </c>
      <c r="X102" s="34" t="e">
        <f>IF(D2="",0,L26)</f>
        <v>#DIV/0!</v>
      </c>
      <c r="Y102" s="22" t="e">
        <f>IF(E2="","",L38)</f>
        <v>#DIV/0!</v>
      </c>
      <c r="Z102" s="41" t="e">
        <f>IF(F2="","",L50)</f>
        <v>#DIV/0!</v>
      </c>
      <c r="AA102" s="22" t="e">
        <f>IF(G2="","",L62)</f>
        <v>#DIV/0!</v>
      </c>
      <c r="AB102" s="22" t="e">
        <f>IF(H2="","",L74)</f>
        <v>#DIV/0!</v>
      </c>
      <c r="AC102" s="22" t="e">
        <f>IF(X102=0,NA(),第1期!$BL$27)</f>
        <v>#DIV/0!</v>
      </c>
      <c r="AD102" s="42"/>
      <c r="AE102" s="42"/>
      <c r="AF102" s="43"/>
      <c r="AG102" s="47"/>
    </row>
    <row r="103" spans="1:33">
      <c r="A103" s="25" t="str">
        <f t="shared" si="81"/>
        <v>第六期</v>
      </c>
      <c r="B103" s="33" t="e">
        <f>IF(B7="","",第6期!$N$49)</f>
        <v>#DIV/0!</v>
      </c>
      <c r="C103" s="22" t="e">
        <f>IF(C7="","",第6期!$H$17)</f>
        <v>#DIV/0!</v>
      </c>
      <c r="D103" s="33" t="e">
        <f>IF(D7="","",第6期!$B$22)</f>
        <v>#DIV/0!</v>
      </c>
      <c r="E103" s="22" t="e">
        <f>IF(E7="","",第6期!$C$28)</f>
        <v>#DIV/0!</v>
      </c>
      <c r="F103" s="22" t="e">
        <f>IF(F7="","",第6期!$F$64)</f>
        <v>#DIV/0!</v>
      </c>
      <c r="G103" s="33" t="e">
        <f>IF(G7="","",第6期!$E$60)</f>
        <v>#DIV/0!</v>
      </c>
      <c r="H103" s="22" t="e">
        <f>IF(H7="","",第6期!$P$37)</f>
        <v>#DIV/0!</v>
      </c>
      <c r="I103" s="33" t="e">
        <f>IF(I7="","",第6期!$E$24)</f>
        <v>#DIV/0!</v>
      </c>
      <c r="J103" s="56" t="e">
        <f>IF(J7="","",第6期!$D$22)</f>
        <v>#DIV/0!</v>
      </c>
      <c r="K103" s="22" t="e">
        <f>IF(K7="","",第6期!$I$43)</f>
        <v>#DIV/0!</v>
      </c>
      <c r="L103" s="33" t="e">
        <f>IF(L7="","",第6期!$E$22)</f>
        <v>#DIV/0!</v>
      </c>
      <c r="M103" s="22" t="e">
        <f>IF(M7="","",第6期!$P$35)</f>
        <v>#DIV/0!</v>
      </c>
      <c r="N103" s="33" t="e">
        <f>IF(N7="","",第6期!$C$24)</f>
        <v>#DIV/0!</v>
      </c>
      <c r="O103" s="22" t="e">
        <f>IF(O7="","",第6期!$B$24)</f>
        <v>#DIV/0!</v>
      </c>
      <c r="P103" s="33" t="e">
        <f>IF(P7="","",第6期!$P$33)</f>
        <v>#DIV/0!</v>
      </c>
      <c r="Q103" s="22" t="e">
        <f>IF(Q7="","",第6期!$F$82)</f>
        <v>#DIV/0!</v>
      </c>
      <c r="R103" s="33" t="e">
        <f>IF(B7="","",第6期!$F$77)</f>
        <v>#DIV/0!</v>
      </c>
      <c r="U103" s="25" t="str">
        <f>$A$3</f>
        <v>第二期</v>
      </c>
      <c r="V103" s="22" t="e">
        <f t="shared" ref="V103:V110" si="82">IF(B3="","",L3)</f>
        <v>#DIV/0!</v>
      </c>
      <c r="W103" s="22" t="e">
        <f t="shared" ref="W103:W110" si="83">IF(C3="","",L15)</f>
        <v>#DIV/0!</v>
      </c>
      <c r="X103" s="34" t="e">
        <f t="shared" ref="X103:X110" si="84">IF(D3="",0,L27)</f>
        <v>#DIV/0!</v>
      </c>
      <c r="Y103" s="22" t="e">
        <f t="shared" ref="Y103:Y110" si="85">IF(E3="","",L39)</f>
        <v>#DIV/0!</v>
      </c>
      <c r="Z103" s="41" t="e">
        <f t="shared" ref="Z103:Z110" si="86">IF(F3="","",L51)</f>
        <v>#DIV/0!</v>
      </c>
      <c r="AA103" s="22" t="e">
        <f t="shared" ref="AA103:AA110" si="87">IF(G3="","",L63)</f>
        <v>#DIV/0!</v>
      </c>
      <c r="AB103" s="22" t="e">
        <f t="shared" ref="AB103:AB110" si="88">IF(H3="","",L75)</f>
        <v>#DIV/0!</v>
      </c>
      <c r="AC103" s="22" t="e">
        <f>IF(X103=0,NA(),第2期!$BL$27)</f>
        <v>#DIV/0!</v>
      </c>
      <c r="AD103" s="42"/>
      <c r="AE103" s="42"/>
      <c r="AF103" s="43"/>
      <c r="AG103" s="47"/>
    </row>
    <row r="104" spans="1:33">
      <c r="A104" s="25" t="str">
        <f t="shared" si="81"/>
        <v>第七期</v>
      </c>
      <c r="B104" s="33" t="e">
        <f>IF(B8="","",第7期!$N$49)</f>
        <v>#DIV/0!</v>
      </c>
      <c r="C104" s="22" t="e">
        <f>IF(C8="","",第7期!$H$17)</f>
        <v>#DIV/0!</v>
      </c>
      <c r="D104" s="33" t="e">
        <f>IF(D8="","",第7期!$B$22)</f>
        <v>#DIV/0!</v>
      </c>
      <c r="E104" s="22" t="e">
        <f>IF(E8="","",第7期!$C$28)</f>
        <v>#DIV/0!</v>
      </c>
      <c r="F104" s="22" t="e">
        <f>IF(F8="","",第7期!$F$64)</f>
        <v>#DIV/0!</v>
      </c>
      <c r="G104" s="33" t="e">
        <f>IF(G8="","",第7期!$E$60)</f>
        <v>#DIV/0!</v>
      </c>
      <c r="H104" s="22" t="e">
        <f>IF(H8="","",第7期!$P$37)</f>
        <v>#DIV/0!</v>
      </c>
      <c r="I104" s="33" t="e">
        <f>IF(I8="","",第7期!$E$24)</f>
        <v>#DIV/0!</v>
      </c>
      <c r="J104" s="56" t="e">
        <f>IF(J8="","",第7期!$D$22)</f>
        <v>#DIV/0!</v>
      </c>
      <c r="K104" s="22" t="e">
        <f>IF(K8="","",第7期!$I$43)</f>
        <v>#DIV/0!</v>
      </c>
      <c r="L104" s="33" t="e">
        <f>IF(L8="","",第7期!$E$22)</f>
        <v>#DIV/0!</v>
      </c>
      <c r="M104" s="22" t="e">
        <f>IF(M8="","",第7期!$P$35)</f>
        <v>#DIV/0!</v>
      </c>
      <c r="N104" s="33" t="e">
        <f>IF(N8="","",第7期!$C$24)</f>
        <v>#DIV/0!</v>
      </c>
      <c r="O104" s="22" t="e">
        <f>IF(O8="","",第7期!$B$24)</f>
        <v>#DIV/0!</v>
      </c>
      <c r="P104" s="33" t="e">
        <f>IF(P8="","",第7期!$P$33)</f>
        <v>#DIV/0!</v>
      </c>
      <c r="Q104" s="22" t="e">
        <f>IF(Q8="","",第7期!$F$82)</f>
        <v>#DIV/0!</v>
      </c>
      <c r="R104" s="33" t="e">
        <f>IF(B8="","",第7期!$F$77)</f>
        <v>#DIV/0!</v>
      </c>
      <c r="U104" s="25" t="str">
        <f>$A$4</f>
        <v>第三期</v>
      </c>
      <c r="V104" s="22" t="e">
        <f t="shared" si="82"/>
        <v>#DIV/0!</v>
      </c>
      <c r="W104" s="22" t="e">
        <f t="shared" si="83"/>
        <v>#DIV/0!</v>
      </c>
      <c r="X104" s="34" t="e">
        <f t="shared" si="84"/>
        <v>#DIV/0!</v>
      </c>
      <c r="Y104" s="22" t="e">
        <f t="shared" si="85"/>
        <v>#DIV/0!</v>
      </c>
      <c r="Z104" s="41" t="e">
        <f t="shared" si="86"/>
        <v>#DIV/0!</v>
      </c>
      <c r="AA104" s="22" t="e">
        <f t="shared" si="87"/>
        <v>#DIV/0!</v>
      </c>
      <c r="AB104" s="22" t="e">
        <f t="shared" si="88"/>
        <v>#DIV/0!</v>
      </c>
      <c r="AC104" s="22" t="e">
        <f>IF(X104=0,NA(),第3期!$BL$27)</f>
        <v>#DIV/0!</v>
      </c>
      <c r="AD104" s="42"/>
      <c r="AE104" s="42"/>
      <c r="AF104" s="43"/>
      <c r="AG104" s="47"/>
    </row>
    <row r="105" spans="1:33">
      <c r="A105" s="25" t="str">
        <f t="shared" si="81"/>
        <v>第八期</v>
      </c>
      <c r="B105" s="33" t="e">
        <f>IF(B9="","",第8期!$N$49)</f>
        <v>#DIV/0!</v>
      </c>
      <c r="C105" s="22" t="e">
        <f>IF(C9="","",第8期!$H$17)</f>
        <v>#DIV/0!</v>
      </c>
      <c r="D105" s="33" t="e">
        <f>IF(D9="","",第8期!$B$22)</f>
        <v>#DIV/0!</v>
      </c>
      <c r="E105" s="22" t="e">
        <f>IF(E9="","",第8期!$C$28)</f>
        <v>#DIV/0!</v>
      </c>
      <c r="F105" s="22" t="e">
        <f>IF(F9="","",第8期!$F$64)</f>
        <v>#DIV/0!</v>
      </c>
      <c r="G105" s="33" t="e">
        <f>IF(G9="","",第8期!$E$60)</f>
        <v>#DIV/0!</v>
      </c>
      <c r="H105" s="22" t="e">
        <f>IF(H9="","",第8期!$P$37)</f>
        <v>#DIV/0!</v>
      </c>
      <c r="I105" s="33" t="e">
        <f>IF(I9="","",第8期!$E$24)</f>
        <v>#DIV/0!</v>
      </c>
      <c r="J105" s="56" t="e">
        <f>IF(J9="","",第8期!$D$22)</f>
        <v>#DIV/0!</v>
      </c>
      <c r="K105" s="22" t="e">
        <f>IF(K9="","",第8期!$I$43)</f>
        <v>#DIV/0!</v>
      </c>
      <c r="L105" s="33" t="e">
        <f>IF(L9="","",第8期!$E$22)</f>
        <v>#DIV/0!</v>
      </c>
      <c r="M105" s="22" t="e">
        <f>IF(M9="","",第8期!$P$35)</f>
        <v>#DIV/0!</v>
      </c>
      <c r="N105" s="33" t="e">
        <f>IF(N9="","",第8期!$C$24)</f>
        <v>#DIV/0!</v>
      </c>
      <c r="O105" s="22" t="e">
        <f>IF(O9="","",第8期!$B$24)</f>
        <v>#DIV/0!</v>
      </c>
      <c r="P105" s="33" t="e">
        <f>IF(P9="","",第8期!$P$33)</f>
        <v>#DIV/0!</v>
      </c>
      <c r="Q105" s="22" t="e">
        <f>IF(Q9="","",第8期!$F$82)</f>
        <v>#DIV/0!</v>
      </c>
      <c r="R105" s="33" t="e">
        <f>IF(B9="","",第8期!$F$77)</f>
        <v>#DIV/0!</v>
      </c>
      <c r="U105" s="25" t="str">
        <f>$A$5</f>
        <v>第四期</v>
      </c>
      <c r="V105" s="22" t="e">
        <f t="shared" si="82"/>
        <v>#DIV/0!</v>
      </c>
      <c r="W105" s="22" t="e">
        <f t="shared" si="83"/>
        <v>#DIV/0!</v>
      </c>
      <c r="X105" s="34" t="e">
        <f t="shared" si="84"/>
        <v>#DIV/0!</v>
      </c>
      <c r="Y105" s="22" t="e">
        <f t="shared" si="85"/>
        <v>#DIV/0!</v>
      </c>
      <c r="Z105" s="41" t="e">
        <f t="shared" si="86"/>
        <v>#DIV/0!</v>
      </c>
      <c r="AA105" s="22" t="e">
        <f t="shared" si="87"/>
        <v>#DIV/0!</v>
      </c>
      <c r="AB105" s="22" t="e">
        <f t="shared" si="88"/>
        <v>#DIV/0!</v>
      </c>
      <c r="AC105" s="22" t="e">
        <f>IF(X105=0,NA(),第4期!$BL$27)</f>
        <v>#DIV/0!</v>
      </c>
      <c r="AD105" s="42"/>
      <c r="AE105" s="42"/>
      <c r="AF105" s="43"/>
      <c r="AG105" s="47"/>
    </row>
    <row r="106" ht="14.25" spans="1:33">
      <c r="A106" s="26" t="str">
        <f t="shared" si="81"/>
        <v>第九期</v>
      </c>
      <c r="B106" s="35" t="e">
        <f>IF(B10="","",#REF!)</f>
        <v>#REF!</v>
      </c>
      <c r="C106" s="27" t="e">
        <f>IF(C10="","",第1期!$H$17)</f>
        <v>#REF!</v>
      </c>
      <c r="D106" s="35" t="e">
        <f>IF(D10="","",#REF!)</f>
        <v>#REF!</v>
      </c>
      <c r="E106" s="27" t="e">
        <f>IF(E10="","",#REF!)</f>
        <v>#REF!</v>
      </c>
      <c r="F106" s="27" t="e">
        <f>IF(F10="","",#REF!)</f>
        <v>#REF!</v>
      </c>
      <c r="G106" s="35" t="e">
        <f>IF(G10="","",#REF!)</f>
        <v>#REF!</v>
      </c>
      <c r="H106" s="27" t="e">
        <f>IF(H10="","",#REF!)</f>
        <v>#REF!</v>
      </c>
      <c r="I106" s="35" t="e">
        <f>IF(I10="","",#REF!)</f>
        <v>#REF!</v>
      </c>
      <c r="J106" s="57" t="e">
        <f>IF(J10="","",#REF!)</f>
        <v>#REF!</v>
      </c>
      <c r="K106" s="27" t="e">
        <f>IF(K10="","",#REF!)</f>
        <v>#REF!</v>
      </c>
      <c r="L106" s="35" t="e">
        <f>IF(L10="","",#REF!)</f>
        <v>#REF!</v>
      </c>
      <c r="M106" s="27" t="e">
        <f>IF(M10="","",#REF!)</f>
        <v>#REF!</v>
      </c>
      <c r="N106" s="35" t="e">
        <f>IF(N10="","",#REF!)</f>
        <v>#REF!</v>
      </c>
      <c r="O106" s="27" t="e">
        <f>IF(O10="","",#REF!)</f>
        <v>#REF!</v>
      </c>
      <c r="P106" s="35" t="e">
        <f>IF(P10="","",#REF!)</f>
        <v>#REF!</v>
      </c>
      <c r="Q106" s="27" t="e">
        <f>IF(Q10="","",#REF!)</f>
        <v>#REF!</v>
      </c>
      <c r="R106" s="35" t="e">
        <f>IF(B10="","",#REF!)</f>
        <v>#REF!</v>
      </c>
      <c r="U106" s="25" t="str">
        <f>$A$6</f>
        <v>第五期</v>
      </c>
      <c r="V106" s="22" t="e">
        <f t="shared" si="82"/>
        <v>#DIV/0!</v>
      </c>
      <c r="W106" s="22" t="e">
        <f t="shared" si="83"/>
        <v>#DIV/0!</v>
      </c>
      <c r="X106" s="34" t="e">
        <f t="shared" si="84"/>
        <v>#DIV/0!</v>
      </c>
      <c r="Y106" s="22" t="e">
        <f t="shared" si="85"/>
        <v>#DIV/0!</v>
      </c>
      <c r="Z106" s="41" t="e">
        <f t="shared" si="86"/>
        <v>#DIV/0!</v>
      </c>
      <c r="AA106" s="22" t="e">
        <f t="shared" si="87"/>
        <v>#DIV/0!</v>
      </c>
      <c r="AB106" s="22" t="e">
        <f t="shared" si="88"/>
        <v>#DIV/0!</v>
      </c>
      <c r="AC106" s="22" t="e">
        <f>IF(X106=0,NA(),第5期!$BL$27)</f>
        <v>#DIV/0!</v>
      </c>
      <c r="AD106" s="42"/>
      <c r="AE106" s="42"/>
      <c r="AF106" s="43"/>
      <c r="AG106" s="47"/>
    </row>
    <row r="107" spans="21:33">
      <c r="U107" s="25" t="str">
        <f>$A$7</f>
        <v>第六期</v>
      </c>
      <c r="V107" s="22" t="e">
        <f t="shared" si="82"/>
        <v>#DIV/0!</v>
      </c>
      <c r="W107" s="22" t="e">
        <f t="shared" si="83"/>
        <v>#DIV/0!</v>
      </c>
      <c r="X107" s="34" t="e">
        <f t="shared" si="84"/>
        <v>#DIV/0!</v>
      </c>
      <c r="Y107" s="22" t="e">
        <f t="shared" si="85"/>
        <v>#DIV/0!</v>
      </c>
      <c r="Z107" s="41" t="e">
        <f t="shared" si="86"/>
        <v>#DIV/0!</v>
      </c>
      <c r="AA107" s="22" t="e">
        <f t="shared" si="87"/>
        <v>#DIV/0!</v>
      </c>
      <c r="AB107" s="22" t="e">
        <f t="shared" si="88"/>
        <v>#DIV/0!</v>
      </c>
      <c r="AC107" s="22" t="e">
        <f>IF(X107=0,NA(),第6期!$BL$27)</f>
        <v>#DIV/0!</v>
      </c>
      <c r="AD107" s="22" t="s">
        <v>837</v>
      </c>
      <c r="AF107" s="33"/>
      <c r="AG107" s="47"/>
    </row>
    <row r="108" ht="14.25" spans="21:33">
      <c r="U108" s="25" t="str">
        <f>$A$8</f>
        <v>第七期</v>
      </c>
      <c r="V108" s="22" t="e">
        <f t="shared" si="82"/>
        <v>#DIV/0!</v>
      </c>
      <c r="W108" s="22" t="e">
        <f t="shared" si="83"/>
        <v>#DIV/0!</v>
      </c>
      <c r="X108" s="34" t="e">
        <f t="shared" si="84"/>
        <v>#DIV/0!</v>
      </c>
      <c r="Y108" s="22" t="e">
        <f t="shared" si="85"/>
        <v>#DIV/0!</v>
      </c>
      <c r="Z108" s="41" t="e">
        <f t="shared" si="86"/>
        <v>#DIV/0!</v>
      </c>
      <c r="AA108" s="22" t="e">
        <f t="shared" si="87"/>
        <v>#DIV/0!</v>
      </c>
      <c r="AB108" s="22" t="e">
        <f t="shared" si="88"/>
        <v>#DIV/0!</v>
      </c>
      <c r="AC108" s="22" t="e">
        <f>IF(X108=0,NA(),第7期!$BL$27)</f>
        <v>#DIV/0!</v>
      </c>
      <c r="AD108" s="22" t="s">
        <v>681</v>
      </c>
      <c r="AF108" s="33"/>
      <c r="AG108" s="47"/>
    </row>
    <row r="109" spans="1:33">
      <c r="A109" s="23"/>
      <c r="B109" s="24" t="s">
        <v>255</v>
      </c>
      <c r="C109" s="24" t="str">
        <f>"权重："&amp;初始化表!B30</f>
        <v>权重：</v>
      </c>
      <c r="D109" s="24"/>
      <c r="E109" s="24" t="s">
        <v>508</v>
      </c>
      <c r="F109" s="24" t="str">
        <f>"权重："&amp;初始化表!B33</f>
        <v>权重：</v>
      </c>
      <c r="G109" s="24"/>
      <c r="H109" s="24" t="s">
        <v>264</v>
      </c>
      <c r="I109" s="24" t="str">
        <f>"权重："&amp;初始化表!B32</f>
        <v>权重：</v>
      </c>
      <c r="J109" s="24"/>
      <c r="K109" s="24" t="s">
        <v>268</v>
      </c>
      <c r="L109" s="24" t="str">
        <f>"权重："&amp;初始化表!B34</f>
        <v>权重：</v>
      </c>
      <c r="M109" s="32"/>
      <c r="U109" s="25" t="str">
        <f>$A$9</f>
        <v>第八期</v>
      </c>
      <c r="V109" s="22" t="e">
        <f t="shared" si="82"/>
        <v>#DIV/0!</v>
      </c>
      <c r="W109" s="22" t="e">
        <f t="shared" si="83"/>
        <v>#DIV/0!</v>
      </c>
      <c r="X109" s="34" t="e">
        <f t="shared" si="84"/>
        <v>#DIV/0!</v>
      </c>
      <c r="Y109" s="22" t="e">
        <f t="shared" si="85"/>
        <v>#DIV/0!</v>
      </c>
      <c r="Z109" s="41" t="e">
        <f t="shared" si="86"/>
        <v>#DIV/0!</v>
      </c>
      <c r="AA109" s="22" t="e">
        <f t="shared" si="87"/>
        <v>#DIV/0!</v>
      </c>
      <c r="AB109" s="22" t="e">
        <f t="shared" si="88"/>
        <v>#DIV/0!</v>
      </c>
      <c r="AC109" s="22" t="e">
        <f>IF(X109=0,NA(),第8期!$BL$27)</f>
        <v>#DIV/0!</v>
      </c>
      <c r="AF109" s="33"/>
      <c r="AG109" s="47"/>
    </row>
    <row r="110" ht="14.25" spans="1:33">
      <c r="A110" s="25" t="s">
        <v>856</v>
      </c>
      <c r="B110" s="21" t="s">
        <v>867</v>
      </c>
      <c r="C110" s="21" t="s">
        <v>570</v>
      </c>
      <c r="D110" s="21" t="s">
        <v>868</v>
      </c>
      <c r="E110" s="21" t="s">
        <v>867</v>
      </c>
      <c r="F110" s="21" t="s">
        <v>570</v>
      </c>
      <c r="G110" s="21" t="s">
        <v>868</v>
      </c>
      <c r="H110" s="21" t="s">
        <v>867</v>
      </c>
      <c r="I110" s="21" t="s">
        <v>570</v>
      </c>
      <c r="J110" s="21" t="s">
        <v>868</v>
      </c>
      <c r="K110" s="21" t="s">
        <v>867</v>
      </c>
      <c r="L110" s="21" t="s">
        <v>570</v>
      </c>
      <c r="M110" s="58" t="s">
        <v>868</v>
      </c>
      <c r="U110" s="26" t="str">
        <f>$A$10</f>
        <v>第九期</v>
      </c>
      <c r="V110" s="27" t="e">
        <f t="shared" si="82"/>
        <v>#REF!</v>
      </c>
      <c r="W110" s="27" t="e">
        <f t="shared" si="83"/>
        <v>#REF!</v>
      </c>
      <c r="X110" s="34" t="e">
        <f t="shared" si="84"/>
        <v>#REF!</v>
      </c>
      <c r="Y110" s="27" t="e">
        <f t="shared" si="85"/>
        <v>#REF!</v>
      </c>
      <c r="Z110" s="44" t="e">
        <f t="shared" si="86"/>
        <v>#REF!</v>
      </c>
      <c r="AA110" s="27" t="e">
        <f t="shared" si="87"/>
        <v>#REF!</v>
      </c>
      <c r="AB110" s="27" t="e">
        <f t="shared" si="88"/>
        <v>#REF!</v>
      </c>
      <c r="AC110" s="22" t="e">
        <f>IF(X110=0,NA(),#REF!)</f>
        <v>#REF!</v>
      </c>
      <c r="AD110" s="27"/>
      <c r="AE110" s="27"/>
      <c r="AF110" s="35"/>
      <c r="AG110" s="47"/>
    </row>
    <row r="111" spans="1:33">
      <c r="A111" s="25" t="s">
        <v>294</v>
      </c>
      <c r="B111" s="28"/>
      <c r="C111" s="28"/>
      <c r="D111" s="30"/>
      <c r="E111" s="28"/>
      <c r="F111" s="28"/>
      <c r="G111" s="30"/>
      <c r="H111" s="28"/>
      <c r="I111" s="28"/>
      <c r="J111" s="30"/>
      <c r="K111" s="28"/>
      <c r="L111" s="28"/>
      <c r="M111" s="39"/>
      <c r="U111" s="23" t="s">
        <v>869</v>
      </c>
      <c r="V111" s="24" t="s">
        <v>825</v>
      </c>
      <c r="W111" s="24" t="s">
        <v>826</v>
      </c>
      <c r="X111" s="24" t="s">
        <v>827</v>
      </c>
      <c r="Y111" s="24" t="s">
        <v>828</v>
      </c>
      <c r="Z111" s="24" t="s">
        <v>829</v>
      </c>
      <c r="AA111" s="24" t="s">
        <v>67</v>
      </c>
      <c r="AB111" s="24" t="s">
        <v>436</v>
      </c>
      <c r="AC111" s="24" t="s">
        <v>577</v>
      </c>
      <c r="AD111" s="24" t="s">
        <v>830</v>
      </c>
      <c r="AE111" s="24"/>
      <c r="AF111" s="32"/>
      <c r="AG111" s="47"/>
    </row>
    <row r="112" spans="1:33">
      <c r="A112" s="25" t="s">
        <v>870</v>
      </c>
      <c r="B112" s="28"/>
      <c r="C112" s="28"/>
      <c r="D112" s="30"/>
      <c r="E112" s="28"/>
      <c r="F112" s="28"/>
      <c r="G112" s="30"/>
      <c r="H112" s="28"/>
      <c r="I112" s="28"/>
      <c r="J112" s="30"/>
      <c r="K112" s="28"/>
      <c r="L112" s="28"/>
      <c r="M112" s="39"/>
      <c r="U112" s="25" t="str">
        <f>$A$2</f>
        <v>第一期</v>
      </c>
      <c r="V112" s="22" t="e">
        <f>IF(B2="","",M2)</f>
        <v>#DIV/0!</v>
      </c>
      <c r="W112" s="22" t="e">
        <f>IF(C2="","",M14)</f>
        <v>#DIV/0!</v>
      </c>
      <c r="X112" s="34" t="e">
        <f>IF(D2="",0,M26)</f>
        <v>#DIV/0!</v>
      </c>
      <c r="Y112" s="22" t="e">
        <f>IF(E2="","",M38)</f>
        <v>#DIV/0!</v>
      </c>
      <c r="Z112" s="41" t="e">
        <f>IF(F2="","",M50)</f>
        <v>#DIV/0!</v>
      </c>
      <c r="AA112" s="22" t="e">
        <f>IF(G2="","",M62)</f>
        <v>#DIV/0!</v>
      </c>
      <c r="AB112" s="22" t="e">
        <f>IF(H2="","",M74)</f>
        <v>#DIV/0!</v>
      </c>
      <c r="AC112" s="22" t="e">
        <f>IF(X112=0,NA(),第1期!$BM$27)</f>
        <v>#DIV/0!</v>
      </c>
      <c r="AD112" s="42"/>
      <c r="AE112" s="42"/>
      <c r="AF112" s="43"/>
      <c r="AG112" s="47"/>
    </row>
    <row r="113" spans="1:33">
      <c r="A113" s="25" t="s">
        <v>871</v>
      </c>
      <c r="B113" s="28"/>
      <c r="C113" s="28"/>
      <c r="D113" s="30"/>
      <c r="E113" s="28"/>
      <c r="F113" s="28"/>
      <c r="G113" s="30"/>
      <c r="H113" s="28"/>
      <c r="I113" s="28"/>
      <c r="J113" s="30"/>
      <c r="K113" s="28"/>
      <c r="L113" s="28"/>
      <c r="M113" s="39"/>
      <c r="U113" s="25" t="str">
        <f>$A$3</f>
        <v>第二期</v>
      </c>
      <c r="V113" s="22" t="e">
        <f t="shared" ref="V113:V120" si="89">IF(B3="","",M3)</f>
        <v>#DIV/0!</v>
      </c>
      <c r="W113" s="22" t="e">
        <f t="shared" ref="W113:W120" si="90">IF(C3="","",M15)</f>
        <v>#DIV/0!</v>
      </c>
      <c r="X113" s="34" t="e">
        <f t="shared" ref="X113:X120" si="91">IF(D3="",0,M27)</f>
        <v>#DIV/0!</v>
      </c>
      <c r="Y113" s="22" t="e">
        <f t="shared" ref="Y113:Y120" si="92">IF(E3="","",M39)</f>
        <v>#DIV/0!</v>
      </c>
      <c r="Z113" s="41" t="e">
        <f t="shared" ref="Z113:Z120" si="93">IF(F3="","",M51)</f>
        <v>#DIV/0!</v>
      </c>
      <c r="AA113" s="22" t="e">
        <f t="shared" ref="AA113:AA120" si="94">IF(G3="","",M63)</f>
        <v>#DIV/0!</v>
      </c>
      <c r="AB113" s="22" t="e">
        <f t="shared" ref="AB113:AB120" si="95">IF(H3="","",M75)</f>
        <v>#DIV/0!</v>
      </c>
      <c r="AC113" s="22" t="e">
        <f>IF(X113=0,NA(),第2期!$BM$27)</f>
        <v>#DIV/0!</v>
      </c>
      <c r="AD113" s="42"/>
      <c r="AE113" s="42"/>
      <c r="AF113" s="43"/>
      <c r="AG113" s="47"/>
    </row>
    <row r="114" spans="1:33">
      <c r="A114" s="25" t="s">
        <v>872</v>
      </c>
      <c r="B114" s="28"/>
      <c r="C114" s="28"/>
      <c r="D114" s="30"/>
      <c r="E114" s="28"/>
      <c r="F114" s="28"/>
      <c r="G114" s="30"/>
      <c r="H114" s="28"/>
      <c r="I114" s="28"/>
      <c r="J114" s="30"/>
      <c r="K114" s="28"/>
      <c r="L114" s="28"/>
      <c r="M114" s="39"/>
      <c r="U114" s="25" t="str">
        <f>$A$4</f>
        <v>第三期</v>
      </c>
      <c r="V114" s="22" t="e">
        <f t="shared" si="89"/>
        <v>#DIV/0!</v>
      </c>
      <c r="W114" s="22" t="e">
        <f t="shared" si="90"/>
        <v>#DIV/0!</v>
      </c>
      <c r="X114" s="34" t="e">
        <f t="shared" si="91"/>
        <v>#DIV/0!</v>
      </c>
      <c r="Y114" s="22" t="e">
        <f t="shared" si="92"/>
        <v>#DIV/0!</v>
      </c>
      <c r="Z114" s="41" t="e">
        <f t="shared" si="93"/>
        <v>#DIV/0!</v>
      </c>
      <c r="AA114" s="22" t="e">
        <f t="shared" si="94"/>
        <v>#DIV/0!</v>
      </c>
      <c r="AB114" s="22" t="e">
        <f t="shared" si="95"/>
        <v>#DIV/0!</v>
      </c>
      <c r="AC114" s="22" t="e">
        <f>IF(X114=0,NA(),第3期!$BM$27)</f>
        <v>#DIV/0!</v>
      </c>
      <c r="AD114" s="42"/>
      <c r="AE114" s="42"/>
      <c r="AF114" s="43"/>
      <c r="AG114" s="47"/>
    </row>
    <row r="115" spans="1:33">
      <c r="A115" s="25" t="s">
        <v>873</v>
      </c>
      <c r="B115" s="28"/>
      <c r="C115" s="28"/>
      <c r="D115" s="30"/>
      <c r="E115" s="28"/>
      <c r="F115" s="28"/>
      <c r="G115" s="30"/>
      <c r="H115" s="28"/>
      <c r="I115" s="28"/>
      <c r="J115" s="30"/>
      <c r="K115" s="28"/>
      <c r="L115" s="28"/>
      <c r="M115" s="39"/>
      <c r="U115" s="25" t="str">
        <f>$A$5</f>
        <v>第四期</v>
      </c>
      <c r="V115" s="22" t="e">
        <f t="shared" si="89"/>
        <v>#DIV/0!</v>
      </c>
      <c r="W115" s="22" t="e">
        <f t="shared" si="90"/>
        <v>#DIV/0!</v>
      </c>
      <c r="X115" s="34" t="e">
        <f t="shared" si="91"/>
        <v>#DIV/0!</v>
      </c>
      <c r="Y115" s="22" t="e">
        <f t="shared" si="92"/>
        <v>#DIV/0!</v>
      </c>
      <c r="Z115" s="41" t="e">
        <f t="shared" si="93"/>
        <v>#DIV/0!</v>
      </c>
      <c r="AA115" s="22" t="e">
        <f t="shared" si="94"/>
        <v>#DIV/0!</v>
      </c>
      <c r="AB115" s="22" t="e">
        <f t="shared" si="95"/>
        <v>#DIV/0!</v>
      </c>
      <c r="AC115" s="22" t="e">
        <f>IF(X115=0,NA(),第4期!$BM$27)</f>
        <v>#DIV/0!</v>
      </c>
      <c r="AD115" s="42"/>
      <c r="AE115" s="42"/>
      <c r="AF115" s="43"/>
      <c r="AG115" s="47"/>
    </row>
    <row r="116" spans="1:33">
      <c r="A116" s="25" t="s">
        <v>874</v>
      </c>
      <c r="B116" s="28"/>
      <c r="C116" s="28"/>
      <c r="D116" s="30"/>
      <c r="E116" s="28"/>
      <c r="F116" s="28"/>
      <c r="G116" s="30"/>
      <c r="H116" s="28"/>
      <c r="I116" s="28"/>
      <c r="J116" s="30"/>
      <c r="K116" s="28"/>
      <c r="L116" s="28"/>
      <c r="M116" s="39"/>
      <c r="U116" s="25" t="str">
        <f>$A$6</f>
        <v>第五期</v>
      </c>
      <c r="V116" s="22" t="e">
        <f t="shared" si="89"/>
        <v>#DIV/0!</v>
      </c>
      <c r="W116" s="22" t="e">
        <f t="shared" si="90"/>
        <v>#DIV/0!</v>
      </c>
      <c r="X116" s="34" t="e">
        <f t="shared" si="91"/>
        <v>#DIV/0!</v>
      </c>
      <c r="Y116" s="22" t="e">
        <f t="shared" si="92"/>
        <v>#DIV/0!</v>
      </c>
      <c r="Z116" s="41" t="e">
        <f t="shared" si="93"/>
        <v>#DIV/0!</v>
      </c>
      <c r="AA116" s="22" t="e">
        <f t="shared" si="94"/>
        <v>#DIV/0!</v>
      </c>
      <c r="AB116" s="22" t="e">
        <f t="shared" si="95"/>
        <v>#DIV/0!</v>
      </c>
      <c r="AC116" s="22" t="e">
        <f>IF(X116=0,NA(),第5期!$BM$27)</f>
        <v>#DIV/0!</v>
      </c>
      <c r="AD116" s="42"/>
      <c r="AE116" s="42"/>
      <c r="AF116" s="43"/>
      <c r="AG116" s="47"/>
    </row>
    <row r="117" spans="1:33">
      <c r="A117" s="25" t="s">
        <v>875</v>
      </c>
      <c r="B117" s="28"/>
      <c r="C117" s="28"/>
      <c r="D117" s="30"/>
      <c r="E117" s="28"/>
      <c r="F117" s="28"/>
      <c r="G117" s="30"/>
      <c r="H117" s="28"/>
      <c r="I117" s="28"/>
      <c r="J117" s="30"/>
      <c r="K117" s="28"/>
      <c r="L117" s="28"/>
      <c r="M117" s="39"/>
      <c r="U117" s="25" t="str">
        <f>$A$7</f>
        <v>第六期</v>
      </c>
      <c r="V117" s="22" t="e">
        <f t="shared" si="89"/>
        <v>#DIV/0!</v>
      </c>
      <c r="W117" s="22" t="e">
        <f t="shared" si="90"/>
        <v>#DIV/0!</v>
      </c>
      <c r="X117" s="34" t="e">
        <f t="shared" si="91"/>
        <v>#DIV/0!</v>
      </c>
      <c r="Y117" s="22" t="e">
        <f t="shared" si="92"/>
        <v>#DIV/0!</v>
      </c>
      <c r="Z117" s="41" t="e">
        <f t="shared" si="93"/>
        <v>#DIV/0!</v>
      </c>
      <c r="AA117" s="22" t="e">
        <f t="shared" si="94"/>
        <v>#DIV/0!</v>
      </c>
      <c r="AB117" s="22" t="e">
        <f t="shared" si="95"/>
        <v>#DIV/0!</v>
      </c>
      <c r="AC117" s="22" t="e">
        <f>IF(X117=0,NA(),第6期!$BM$27)</f>
        <v>#DIV/0!</v>
      </c>
      <c r="AD117" s="22" t="s">
        <v>837</v>
      </c>
      <c r="AF117" s="33"/>
      <c r="AG117" s="47"/>
    </row>
    <row r="118" spans="1:33">
      <c r="A118" s="25" t="s">
        <v>876</v>
      </c>
      <c r="B118" s="28"/>
      <c r="C118" s="28"/>
      <c r="D118" s="30"/>
      <c r="E118" s="28"/>
      <c r="F118" s="28"/>
      <c r="G118" s="30"/>
      <c r="H118" s="28"/>
      <c r="I118" s="28"/>
      <c r="J118" s="30"/>
      <c r="K118" s="28"/>
      <c r="L118" s="28"/>
      <c r="M118" s="39"/>
      <c r="U118" s="25" t="str">
        <f>$A$8</f>
        <v>第七期</v>
      </c>
      <c r="V118" s="22" t="e">
        <f t="shared" si="89"/>
        <v>#DIV/0!</v>
      </c>
      <c r="W118" s="22" t="e">
        <f t="shared" si="90"/>
        <v>#DIV/0!</v>
      </c>
      <c r="X118" s="34" t="e">
        <f t="shared" si="91"/>
        <v>#DIV/0!</v>
      </c>
      <c r="Y118" s="22" t="e">
        <f t="shared" si="92"/>
        <v>#DIV/0!</v>
      </c>
      <c r="Z118" s="41" t="e">
        <f t="shared" si="93"/>
        <v>#DIV/0!</v>
      </c>
      <c r="AA118" s="22" t="e">
        <f t="shared" si="94"/>
        <v>#DIV/0!</v>
      </c>
      <c r="AB118" s="22" t="e">
        <f t="shared" si="95"/>
        <v>#DIV/0!</v>
      </c>
      <c r="AC118" s="22" t="e">
        <f>IF(X118=0,NA(),第7期!$BM$27)</f>
        <v>#DIV/0!</v>
      </c>
      <c r="AD118" s="22" t="s">
        <v>681</v>
      </c>
      <c r="AF118" s="33"/>
      <c r="AG118" s="47"/>
    </row>
    <row r="119" spans="1:33">
      <c r="A119" s="25" t="s">
        <v>877</v>
      </c>
      <c r="B119" s="28" t="e">
        <f>IF(B2="","",第1期!$BW$25)</f>
        <v>#DIV/0!</v>
      </c>
      <c r="C119" s="28" t="e">
        <f>IF(C2="","",第1期!$BW$26)</f>
        <v>#DIV/0!</v>
      </c>
      <c r="D119" s="30" t="e">
        <f>IF(C2="","",C119/B119)</f>
        <v>#DIV/0!</v>
      </c>
      <c r="E119" s="28" t="e">
        <f>IF(E2="","",第1期!$BX$25)</f>
        <v>#DIV/0!</v>
      </c>
      <c r="F119" s="28" t="e">
        <f>IF(F2="","",第1期!$BX$26)</f>
        <v>#DIV/0!</v>
      </c>
      <c r="G119" s="30" t="e">
        <f>IF(F2="","",F119/E119)</f>
        <v>#DIV/0!</v>
      </c>
      <c r="H119" s="28" t="e">
        <f>IF(H2="","",第1期!$BY$25)</f>
        <v>#DIV/0!</v>
      </c>
      <c r="I119" s="28" t="e">
        <f>IF(I2="","",第1期!$BY$26)</f>
        <v>#DIV/0!</v>
      </c>
      <c r="J119" s="30" t="e">
        <f>IF(I2="","",I119/H119)</f>
        <v>#DIV/0!</v>
      </c>
      <c r="K119" s="28" t="e">
        <f>IF(K2="","",第1期!$BZ$25)</f>
        <v>#DIV/0!</v>
      </c>
      <c r="L119" s="28" t="e">
        <f>IF(L2="","",第1期!$BZ$26)</f>
        <v>#DIV/0!</v>
      </c>
      <c r="M119" s="39" t="e">
        <f>IF(L2="","",L119/K119)</f>
        <v>#DIV/0!</v>
      </c>
      <c r="U119" s="25" t="str">
        <f>$A$9</f>
        <v>第八期</v>
      </c>
      <c r="V119" s="22" t="e">
        <f t="shared" si="89"/>
        <v>#DIV/0!</v>
      </c>
      <c r="W119" s="22" t="e">
        <f t="shared" si="90"/>
        <v>#DIV/0!</v>
      </c>
      <c r="X119" s="34" t="e">
        <f t="shared" si="91"/>
        <v>#DIV/0!</v>
      </c>
      <c r="Y119" s="22" t="e">
        <f t="shared" si="92"/>
        <v>#DIV/0!</v>
      </c>
      <c r="Z119" s="41" t="e">
        <f t="shared" si="93"/>
        <v>#DIV/0!</v>
      </c>
      <c r="AA119" s="22" t="e">
        <f t="shared" si="94"/>
        <v>#DIV/0!</v>
      </c>
      <c r="AB119" s="22" t="e">
        <f t="shared" si="95"/>
        <v>#DIV/0!</v>
      </c>
      <c r="AC119" s="22" t="e">
        <f>IF(X119=0,NA(),第8期!$BM$27)</f>
        <v>#DIV/0!</v>
      </c>
      <c r="AF119" s="33"/>
      <c r="AG119" s="47"/>
    </row>
    <row r="120" ht="14.25" spans="1:33">
      <c r="A120" s="25" t="s">
        <v>878</v>
      </c>
      <c r="B120" s="28" t="e">
        <f>IF(B3="","",第2期!$BW$25)</f>
        <v>#DIV/0!</v>
      </c>
      <c r="C120" s="28" t="e">
        <f>IF(C3="","",第2期!$BW$26)</f>
        <v>#DIV/0!</v>
      </c>
      <c r="D120" s="30" t="e">
        <f t="shared" ref="D120:D127" si="96">IF(C3="","",C120/B120)</f>
        <v>#DIV/0!</v>
      </c>
      <c r="E120" s="28" t="e">
        <f>IF(E3="","",第2期!$BX$25)</f>
        <v>#DIV/0!</v>
      </c>
      <c r="F120" s="28" t="e">
        <f>IF(F3="","",第2期!$BX$26)</f>
        <v>#DIV/0!</v>
      </c>
      <c r="G120" s="30" t="e">
        <f t="shared" ref="G120:G127" si="97">IF(F3="","",F120/E120)</f>
        <v>#DIV/0!</v>
      </c>
      <c r="H120" s="28" t="e">
        <f>IF(H3="","",第2期!$BY$25)</f>
        <v>#DIV/0!</v>
      </c>
      <c r="I120" s="28" t="e">
        <f>IF(I3="","",第2期!$BY$26)</f>
        <v>#DIV/0!</v>
      </c>
      <c r="J120" s="30" t="e">
        <f t="shared" ref="J120:J127" si="98">IF(I3="","",I120/H120)</f>
        <v>#DIV/0!</v>
      </c>
      <c r="K120" s="28" t="e">
        <f>IF(K3="","",第2期!$BZ$25)</f>
        <v>#DIV/0!</v>
      </c>
      <c r="L120" s="28" t="e">
        <f>IF(L3="","",第2期!$BZ$26)</f>
        <v>#DIV/0!</v>
      </c>
      <c r="M120" s="39" t="e">
        <f t="shared" ref="M120:M127" si="99">IF(L3="","",L120/K120)</f>
        <v>#DIV/0!</v>
      </c>
      <c r="U120" s="26" t="str">
        <f>$A$10</f>
        <v>第九期</v>
      </c>
      <c r="V120" s="27" t="e">
        <f t="shared" si="89"/>
        <v>#REF!</v>
      </c>
      <c r="W120" s="27" t="e">
        <f t="shared" si="90"/>
        <v>#REF!</v>
      </c>
      <c r="X120" s="34" t="e">
        <f t="shared" si="91"/>
        <v>#REF!</v>
      </c>
      <c r="Y120" s="27" t="e">
        <f t="shared" si="92"/>
        <v>#REF!</v>
      </c>
      <c r="Z120" s="44" t="e">
        <f t="shared" si="93"/>
        <v>#REF!</v>
      </c>
      <c r="AA120" s="27" t="e">
        <f t="shared" si="94"/>
        <v>#REF!</v>
      </c>
      <c r="AB120" s="27" t="e">
        <f t="shared" si="95"/>
        <v>#REF!</v>
      </c>
      <c r="AC120" s="22" t="e">
        <f>IF(X120=0,NA(),#REF!)</f>
        <v>#REF!</v>
      </c>
      <c r="AD120" s="27"/>
      <c r="AE120" s="27"/>
      <c r="AF120" s="35"/>
      <c r="AG120" s="47"/>
    </row>
    <row r="121" spans="1:33">
      <c r="A121" s="25" t="s">
        <v>879</v>
      </c>
      <c r="B121" s="28" t="e">
        <f>IF(B4="","",第3期!$BW$25)</f>
        <v>#DIV/0!</v>
      </c>
      <c r="C121" s="28" t="e">
        <f>IF(C4="","",第3期!$BW$26)</f>
        <v>#DIV/0!</v>
      </c>
      <c r="D121" s="30" t="e">
        <f t="shared" si="96"/>
        <v>#DIV/0!</v>
      </c>
      <c r="E121" s="28" t="e">
        <f>IF(E4="","",第3期!$BX$25)</f>
        <v>#DIV/0!</v>
      </c>
      <c r="F121" s="28" t="e">
        <f>IF(F4="","",第3期!$BX$26)</f>
        <v>#DIV/0!</v>
      </c>
      <c r="G121" s="30" t="e">
        <f t="shared" si="97"/>
        <v>#DIV/0!</v>
      </c>
      <c r="H121" s="28" t="e">
        <f>IF(H4="","",第3期!$BY$25)</f>
        <v>#DIV/0!</v>
      </c>
      <c r="I121" s="28" t="e">
        <f>IF(I4="","",第3期!$BY$26)</f>
        <v>#DIV/0!</v>
      </c>
      <c r="J121" s="30" t="e">
        <f t="shared" si="98"/>
        <v>#DIV/0!</v>
      </c>
      <c r="K121" s="28" t="e">
        <f>IF(K4="","",第3期!$BZ$25)</f>
        <v>#DIV/0!</v>
      </c>
      <c r="L121" s="28" t="e">
        <f>IF(L4="","",第3期!$BZ$26)</f>
        <v>#DIV/0!</v>
      </c>
      <c r="M121" s="39" t="e">
        <f t="shared" si="99"/>
        <v>#DIV/0!</v>
      </c>
      <c r="U121" s="23" t="s">
        <v>880</v>
      </c>
      <c r="V121" s="24" t="s">
        <v>825</v>
      </c>
      <c r="W121" s="24" t="s">
        <v>826</v>
      </c>
      <c r="X121" s="24" t="s">
        <v>827</v>
      </c>
      <c r="Y121" s="24" t="s">
        <v>828</v>
      </c>
      <c r="Z121" s="24" t="s">
        <v>829</v>
      </c>
      <c r="AA121" s="24" t="s">
        <v>67</v>
      </c>
      <c r="AB121" s="24" t="s">
        <v>436</v>
      </c>
      <c r="AC121" s="24" t="s">
        <v>577</v>
      </c>
      <c r="AD121" s="24" t="s">
        <v>830</v>
      </c>
      <c r="AE121" s="24"/>
      <c r="AF121" s="32"/>
      <c r="AG121" s="47"/>
    </row>
    <row r="122" spans="1:33">
      <c r="A122" s="25" t="s">
        <v>881</v>
      </c>
      <c r="B122" s="28" t="e">
        <f>IF(B5="","",第4期!$BW$25)</f>
        <v>#DIV/0!</v>
      </c>
      <c r="C122" s="28" t="e">
        <f>IF(C5="","",第4期!$BW$26)</f>
        <v>#DIV/0!</v>
      </c>
      <c r="D122" s="30" t="e">
        <f t="shared" si="96"/>
        <v>#DIV/0!</v>
      </c>
      <c r="E122" s="28" t="e">
        <f>IF(E5="","",第4期!$BX$25)</f>
        <v>#DIV/0!</v>
      </c>
      <c r="F122" s="28" t="e">
        <f>IF(F5="","",第4期!$BX$26)</f>
        <v>#DIV/0!</v>
      </c>
      <c r="G122" s="30" t="e">
        <f t="shared" si="97"/>
        <v>#DIV/0!</v>
      </c>
      <c r="H122" s="28" t="e">
        <f>IF(H5="","",第4期!$BY$25)</f>
        <v>#DIV/0!</v>
      </c>
      <c r="I122" s="28" t="e">
        <f>IF(I5="","",第4期!$BY$26)</f>
        <v>#DIV/0!</v>
      </c>
      <c r="J122" s="30" t="e">
        <f t="shared" si="98"/>
        <v>#DIV/0!</v>
      </c>
      <c r="K122" s="28" t="e">
        <f>IF(K5="","",第4期!$BZ$25)</f>
        <v>#DIV/0!</v>
      </c>
      <c r="L122" s="28" t="e">
        <f>IF(L5="","",第4期!$BZ$26)</f>
        <v>#DIV/0!</v>
      </c>
      <c r="M122" s="39" t="e">
        <f t="shared" si="99"/>
        <v>#DIV/0!</v>
      </c>
      <c r="U122" s="25" t="str">
        <f>$A$2</f>
        <v>第一期</v>
      </c>
      <c r="V122" s="22" t="e">
        <f>IF(B2="","",N2)</f>
        <v>#DIV/0!</v>
      </c>
      <c r="W122" s="22" t="e">
        <f>IF(C2="","",N14)</f>
        <v>#DIV/0!</v>
      </c>
      <c r="X122" s="34" t="e">
        <f>IF(D2="",0,N26)</f>
        <v>#DIV/0!</v>
      </c>
      <c r="Y122" s="22" t="e">
        <f>IF(E2="","",N38)</f>
        <v>#DIV/0!</v>
      </c>
      <c r="Z122" s="41" t="e">
        <f>IF(F2="","",N50)</f>
        <v>#DIV/0!</v>
      </c>
      <c r="AA122" s="22" t="e">
        <f>IF(G2="","",N62)</f>
        <v>#DIV/0!</v>
      </c>
      <c r="AB122" s="22" t="e">
        <f>IF(H2="","",N74)</f>
        <v>#DIV/0!</v>
      </c>
      <c r="AC122" s="22" t="e">
        <f>IF(X122=0,NA(),第1期!$BN$27)</f>
        <v>#DIV/0!</v>
      </c>
      <c r="AD122" s="42"/>
      <c r="AE122" s="42"/>
      <c r="AF122" s="43"/>
      <c r="AG122" s="47"/>
    </row>
    <row r="123" spans="1:33">
      <c r="A123" s="25" t="s">
        <v>882</v>
      </c>
      <c r="B123" s="28" t="e">
        <f>IF(B6="","",第5期!$BW$25)</f>
        <v>#DIV/0!</v>
      </c>
      <c r="C123" s="28" t="e">
        <f>IF(C6="","",第5期!$BW$26)</f>
        <v>#DIV/0!</v>
      </c>
      <c r="D123" s="30" t="e">
        <f t="shared" si="96"/>
        <v>#DIV/0!</v>
      </c>
      <c r="E123" s="28" t="e">
        <f>IF(E6="","",第5期!$BX$25)</f>
        <v>#DIV/0!</v>
      </c>
      <c r="F123" s="28" t="e">
        <f>IF(F6="","",第5期!$BX$26)</f>
        <v>#DIV/0!</v>
      </c>
      <c r="G123" s="30" t="e">
        <f t="shared" si="97"/>
        <v>#DIV/0!</v>
      </c>
      <c r="H123" s="28" t="e">
        <f>IF(H6="","",第5期!$BY$25)</f>
        <v>#DIV/0!</v>
      </c>
      <c r="I123" s="28" t="e">
        <f>IF(I6="","",第5期!$BY$26)</f>
        <v>#DIV/0!</v>
      </c>
      <c r="J123" s="30" t="e">
        <f t="shared" si="98"/>
        <v>#DIV/0!</v>
      </c>
      <c r="K123" s="28" t="e">
        <f>IF(K6="","",第5期!$BZ$25)</f>
        <v>#DIV/0!</v>
      </c>
      <c r="L123" s="28" t="e">
        <f>IF(L6="","",第5期!$BZ$26)</f>
        <v>#DIV/0!</v>
      </c>
      <c r="M123" s="39" t="e">
        <f t="shared" si="99"/>
        <v>#DIV/0!</v>
      </c>
      <c r="U123" s="25" t="str">
        <f>$A$3</f>
        <v>第二期</v>
      </c>
      <c r="V123" s="22" t="e">
        <f t="shared" ref="V123:V130" si="100">IF(B3="","",N3)</f>
        <v>#DIV/0!</v>
      </c>
      <c r="W123" s="22" t="e">
        <f t="shared" ref="W123:W130" si="101">IF(C3="","",N15)</f>
        <v>#DIV/0!</v>
      </c>
      <c r="X123" s="34" t="e">
        <f t="shared" ref="X123:X130" si="102">IF(D3="",0,N27)</f>
        <v>#DIV/0!</v>
      </c>
      <c r="Y123" s="22" t="e">
        <f t="shared" ref="Y123:Y130" si="103">IF(E3="","",N39)</f>
        <v>#DIV/0!</v>
      </c>
      <c r="Z123" s="41" t="e">
        <f t="shared" ref="Z123:Z130" si="104">IF(F3="","",N51)</f>
        <v>#DIV/0!</v>
      </c>
      <c r="AA123" s="22" t="e">
        <f t="shared" ref="AA123:AA130" si="105">IF(G3="","",N63)</f>
        <v>#DIV/0!</v>
      </c>
      <c r="AB123" s="22" t="e">
        <f t="shared" ref="AB123:AB130" si="106">IF(H3="","",N75)</f>
        <v>#DIV/0!</v>
      </c>
      <c r="AC123" s="22" t="e">
        <f>IF(X123=0,NA(),第2期!$BN$27)</f>
        <v>#DIV/0!</v>
      </c>
      <c r="AD123" s="42"/>
      <c r="AE123" s="42"/>
      <c r="AF123" s="43"/>
      <c r="AG123" s="47"/>
    </row>
    <row r="124" spans="1:33">
      <c r="A124" s="25" t="s">
        <v>883</v>
      </c>
      <c r="B124" s="28" t="e">
        <f>IF(B7="","",第6期!$BW$25)</f>
        <v>#DIV/0!</v>
      </c>
      <c r="C124" s="28" t="e">
        <f>IF(C7="","",第6期!$BW$26)</f>
        <v>#DIV/0!</v>
      </c>
      <c r="D124" s="30" t="e">
        <f t="shared" si="96"/>
        <v>#DIV/0!</v>
      </c>
      <c r="E124" s="28" t="e">
        <f>IF(E7="","",第6期!$BX$25)</f>
        <v>#DIV/0!</v>
      </c>
      <c r="F124" s="28" t="e">
        <f>IF(F7="","",第6期!$BX$26)</f>
        <v>#DIV/0!</v>
      </c>
      <c r="G124" s="30" t="e">
        <f t="shared" si="97"/>
        <v>#DIV/0!</v>
      </c>
      <c r="H124" s="28" t="e">
        <f>IF(H7="","",第6期!$BY$25)</f>
        <v>#DIV/0!</v>
      </c>
      <c r="I124" s="28" t="e">
        <f>IF(I7="","",第6期!$BY$26)</f>
        <v>#DIV/0!</v>
      </c>
      <c r="J124" s="30" t="e">
        <f t="shared" si="98"/>
        <v>#DIV/0!</v>
      </c>
      <c r="K124" s="28" t="e">
        <f>IF(K7="","",第6期!$BZ$25)</f>
        <v>#DIV/0!</v>
      </c>
      <c r="L124" s="28" t="e">
        <f>IF(L7="","",第6期!$BZ$26)</f>
        <v>#DIV/0!</v>
      </c>
      <c r="M124" s="39" t="e">
        <f t="shared" si="99"/>
        <v>#DIV/0!</v>
      </c>
      <c r="U124" s="25" t="str">
        <f>$A$4</f>
        <v>第三期</v>
      </c>
      <c r="V124" s="22" t="e">
        <f t="shared" si="100"/>
        <v>#DIV/0!</v>
      </c>
      <c r="W124" s="22" t="e">
        <f t="shared" si="101"/>
        <v>#DIV/0!</v>
      </c>
      <c r="X124" s="34" t="e">
        <f t="shared" si="102"/>
        <v>#DIV/0!</v>
      </c>
      <c r="Y124" s="22" t="e">
        <f t="shared" si="103"/>
        <v>#DIV/0!</v>
      </c>
      <c r="Z124" s="41" t="e">
        <f t="shared" si="104"/>
        <v>#DIV/0!</v>
      </c>
      <c r="AA124" s="22" t="e">
        <f t="shared" si="105"/>
        <v>#DIV/0!</v>
      </c>
      <c r="AB124" s="22" t="e">
        <f t="shared" si="106"/>
        <v>#DIV/0!</v>
      </c>
      <c r="AC124" s="22" t="e">
        <f>IF(X124=0,NA(),第3期!$BN$27)</f>
        <v>#DIV/0!</v>
      </c>
      <c r="AD124" s="42"/>
      <c r="AE124" s="42"/>
      <c r="AF124" s="43"/>
      <c r="AG124" s="47"/>
    </row>
    <row r="125" spans="1:33">
      <c r="A125" s="25" t="s">
        <v>884</v>
      </c>
      <c r="B125" s="28" t="e">
        <f>IF(B8="","",第7期!$BW$25)</f>
        <v>#DIV/0!</v>
      </c>
      <c r="C125" s="28" t="e">
        <f>IF(C8="","",第7期!$BW$26)</f>
        <v>#DIV/0!</v>
      </c>
      <c r="D125" s="30" t="e">
        <f t="shared" si="96"/>
        <v>#DIV/0!</v>
      </c>
      <c r="E125" s="28" t="e">
        <f>IF(E8="","",第7期!$BX$25)</f>
        <v>#DIV/0!</v>
      </c>
      <c r="F125" s="28" t="e">
        <f>IF(F8="","",第7期!$BX$26)</f>
        <v>#DIV/0!</v>
      </c>
      <c r="G125" s="30" t="e">
        <f t="shared" si="97"/>
        <v>#DIV/0!</v>
      </c>
      <c r="H125" s="28" t="e">
        <f>IF(H8="","",第7期!$BY$25)</f>
        <v>#DIV/0!</v>
      </c>
      <c r="I125" s="28" t="e">
        <f>IF(I8="","",第7期!$BY$26)</f>
        <v>#DIV/0!</v>
      </c>
      <c r="J125" s="30" t="e">
        <f t="shared" si="98"/>
        <v>#DIV/0!</v>
      </c>
      <c r="K125" s="28" t="e">
        <f>IF(K8="","",第7期!$BZ$25)</f>
        <v>#DIV/0!</v>
      </c>
      <c r="L125" s="28" t="e">
        <f>IF(L8="","",第7期!$BZ$26)</f>
        <v>#DIV/0!</v>
      </c>
      <c r="M125" s="39" t="e">
        <f t="shared" si="99"/>
        <v>#DIV/0!</v>
      </c>
      <c r="U125" s="25" t="str">
        <f>$A$5</f>
        <v>第四期</v>
      </c>
      <c r="V125" s="22" t="e">
        <f t="shared" si="100"/>
        <v>#DIV/0!</v>
      </c>
      <c r="W125" s="22" t="e">
        <f t="shared" si="101"/>
        <v>#DIV/0!</v>
      </c>
      <c r="X125" s="34" t="e">
        <f t="shared" si="102"/>
        <v>#DIV/0!</v>
      </c>
      <c r="Y125" s="22" t="e">
        <f t="shared" si="103"/>
        <v>#DIV/0!</v>
      </c>
      <c r="Z125" s="41" t="e">
        <f t="shared" si="104"/>
        <v>#DIV/0!</v>
      </c>
      <c r="AA125" s="22" t="e">
        <f t="shared" si="105"/>
        <v>#DIV/0!</v>
      </c>
      <c r="AB125" s="22" t="e">
        <f t="shared" si="106"/>
        <v>#DIV/0!</v>
      </c>
      <c r="AC125" s="22" t="e">
        <f>IF(X125=0,NA(),第4期!$BN$27)</f>
        <v>#DIV/0!</v>
      </c>
      <c r="AD125" s="42"/>
      <c r="AE125" s="42"/>
      <c r="AF125" s="43"/>
      <c r="AG125" s="47"/>
    </row>
    <row r="126" spans="1:33">
      <c r="A126" s="25" t="s">
        <v>885</v>
      </c>
      <c r="B126" s="28" t="e">
        <f>IF(B9="","",第8期!$BW$25)</f>
        <v>#DIV/0!</v>
      </c>
      <c r="C126" s="28" t="e">
        <f>IF(C9="","",第8期!$BW$26)</f>
        <v>#DIV/0!</v>
      </c>
      <c r="D126" s="30" t="e">
        <f t="shared" si="96"/>
        <v>#DIV/0!</v>
      </c>
      <c r="E126" s="28" t="e">
        <f>IF(E9="","",第8期!$BX$25)</f>
        <v>#DIV/0!</v>
      </c>
      <c r="F126" s="28" t="e">
        <f>IF(F9="","",第8期!$BX$26)</f>
        <v>#DIV/0!</v>
      </c>
      <c r="G126" s="30" t="e">
        <f t="shared" si="97"/>
        <v>#DIV/0!</v>
      </c>
      <c r="H126" s="28" t="e">
        <f>IF(H9="","",第8期!$BY$25)</f>
        <v>#DIV/0!</v>
      </c>
      <c r="I126" s="28" t="e">
        <f>IF(I9="","",第8期!$BY$26)</f>
        <v>#DIV/0!</v>
      </c>
      <c r="J126" s="30" t="e">
        <f t="shared" si="98"/>
        <v>#DIV/0!</v>
      </c>
      <c r="K126" s="28" t="e">
        <f>IF(K9="","",第8期!$BZ$25)</f>
        <v>#DIV/0!</v>
      </c>
      <c r="L126" s="28" t="e">
        <f>IF(L9="","",第8期!$BZ$26)</f>
        <v>#DIV/0!</v>
      </c>
      <c r="M126" s="39" t="e">
        <f t="shared" si="99"/>
        <v>#DIV/0!</v>
      </c>
      <c r="U126" s="25" t="str">
        <f>$A$6</f>
        <v>第五期</v>
      </c>
      <c r="V126" s="22" t="e">
        <f t="shared" si="100"/>
        <v>#DIV/0!</v>
      </c>
      <c r="W126" s="22" t="e">
        <f t="shared" si="101"/>
        <v>#DIV/0!</v>
      </c>
      <c r="X126" s="34" t="e">
        <f t="shared" si="102"/>
        <v>#DIV/0!</v>
      </c>
      <c r="Y126" s="22" t="e">
        <f t="shared" si="103"/>
        <v>#DIV/0!</v>
      </c>
      <c r="Z126" s="41" t="e">
        <f t="shared" si="104"/>
        <v>#DIV/0!</v>
      </c>
      <c r="AA126" s="22" t="e">
        <f t="shared" si="105"/>
        <v>#DIV/0!</v>
      </c>
      <c r="AB126" s="22" t="e">
        <f t="shared" si="106"/>
        <v>#DIV/0!</v>
      </c>
      <c r="AC126" s="22" t="e">
        <f>IF(X126=0,NA(),第5期!$BN$27)</f>
        <v>#DIV/0!</v>
      </c>
      <c r="AD126" s="42"/>
      <c r="AE126" s="42"/>
      <c r="AF126" s="43"/>
      <c r="AG126" s="47"/>
    </row>
    <row r="127" ht="14.25" spans="1:33">
      <c r="A127" s="26" t="s">
        <v>886</v>
      </c>
      <c r="B127" s="29" t="e">
        <f>IF(B10="","",#REF!)</f>
        <v>#REF!</v>
      </c>
      <c r="C127" s="29" t="e">
        <f>IF(C10="","",#REF!)</f>
        <v>#REF!</v>
      </c>
      <c r="D127" s="31" t="e">
        <f t="shared" si="96"/>
        <v>#REF!</v>
      </c>
      <c r="E127" s="29" t="e">
        <f>IF(E10="","",#REF!)</f>
        <v>#REF!</v>
      </c>
      <c r="F127" s="29" t="e">
        <f>IF(F10="","",#REF!)</f>
        <v>#REF!</v>
      </c>
      <c r="G127" s="31" t="e">
        <f t="shared" si="97"/>
        <v>#REF!</v>
      </c>
      <c r="H127" s="29" t="e">
        <f>IF(H10="","",#REF!)</f>
        <v>#REF!</v>
      </c>
      <c r="I127" s="29" t="e">
        <f>IF(I10="","",#REF!)</f>
        <v>#REF!</v>
      </c>
      <c r="J127" s="31" t="e">
        <f t="shared" si="98"/>
        <v>#REF!</v>
      </c>
      <c r="K127" s="29" t="e">
        <f>IF(K10="","",#REF!)</f>
        <v>#REF!</v>
      </c>
      <c r="L127" s="29" t="e">
        <f>IF(L10="","",#REF!)</f>
        <v>#REF!</v>
      </c>
      <c r="M127" s="40" t="e">
        <f t="shared" si="99"/>
        <v>#REF!</v>
      </c>
      <c r="U127" s="25" t="str">
        <f>$A$7</f>
        <v>第六期</v>
      </c>
      <c r="V127" s="22" t="e">
        <f t="shared" si="100"/>
        <v>#DIV/0!</v>
      </c>
      <c r="W127" s="22" t="e">
        <f t="shared" si="101"/>
        <v>#DIV/0!</v>
      </c>
      <c r="X127" s="34" t="e">
        <f t="shared" si="102"/>
        <v>#DIV/0!</v>
      </c>
      <c r="Y127" s="22" t="e">
        <f t="shared" si="103"/>
        <v>#DIV/0!</v>
      </c>
      <c r="Z127" s="41" t="e">
        <f t="shared" si="104"/>
        <v>#DIV/0!</v>
      </c>
      <c r="AA127" s="22" t="e">
        <f t="shared" si="105"/>
        <v>#DIV/0!</v>
      </c>
      <c r="AB127" s="22" t="e">
        <f t="shared" si="106"/>
        <v>#DIV/0!</v>
      </c>
      <c r="AC127" s="22" t="e">
        <f>IF(X127=0,NA(),第6期!$BN$27)</f>
        <v>#DIV/0!</v>
      </c>
      <c r="AD127" s="22" t="s">
        <v>837</v>
      </c>
      <c r="AF127" s="33"/>
      <c r="AG127" s="47"/>
    </row>
    <row r="128" spans="21:33">
      <c r="U128" s="25" t="str">
        <f>$A$8</f>
        <v>第七期</v>
      </c>
      <c r="V128" s="22" t="e">
        <f t="shared" si="100"/>
        <v>#DIV/0!</v>
      </c>
      <c r="W128" s="22" t="e">
        <f t="shared" si="101"/>
        <v>#DIV/0!</v>
      </c>
      <c r="X128" s="34" t="e">
        <f t="shared" si="102"/>
        <v>#DIV/0!</v>
      </c>
      <c r="Y128" s="22" t="e">
        <f t="shared" si="103"/>
        <v>#DIV/0!</v>
      </c>
      <c r="Z128" s="41" t="e">
        <f t="shared" si="104"/>
        <v>#DIV/0!</v>
      </c>
      <c r="AA128" s="22" t="e">
        <f t="shared" si="105"/>
        <v>#DIV/0!</v>
      </c>
      <c r="AB128" s="22" t="e">
        <f t="shared" si="106"/>
        <v>#DIV/0!</v>
      </c>
      <c r="AC128" s="22" t="e">
        <f>IF(X128=0,NA(),第7期!$BN$27)</f>
        <v>#DIV/0!</v>
      </c>
      <c r="AD128" s="22" t="s">
        <v>681</v>
      </c>
      <c r="AF128" s="33"/>
      <c r="AG128" s="47"/>
    </row>
    <row r="129" spans="21:33">
      <c r="U129" s="25" t="str">
        <f>$A$9</f>
        <v>第八期</v>
      </c>
      <c r="V129" s="22" t="e">
        <f t="shared" si="100"/>
        <v>#DIV/0!</v>
      </c>
      <c r="W129" s="22" t="e">
        <f t="shared" si="101"/>
        <v>#DIV/0!</v>
      </c>
      <c r="X129" s="34" t="e">
        <f t="shared" si="102"/>
        <v>#DIV/0!</v>
      </c>
      <c r="Y129" s="22" t="e">
        <f t="shared" si="103"/>
        <v>#DIV/0!</v>
      </c>
      <c r="Z129" s="41" t="e">
        <f t="shared" si="104"/>
        <v>#DIV/0!</v>
      </c>
      <c r="AA129" s="22" t="e">
        <f t="shared" si="105"/>
        <v>#DIV/0!</v>
      </c>
      <c r="AB129" s="22" t="e">
        <f t="shared" si="106"/>
        <v>#DIV/0!</v>
      </c>
      <c r="AC129" s="22" t="e">
        <f>IF(X129=0,NA(),第8期!$BN$27)</f>
        <v>#DIV/0!</v>
      </c>
      <c r="AF129" s="33"/>
      <c r="AG129" s="47"/>
    </row>
    <row r="130" ht="14.25" spans="21:33">
      <c r="U130" s="26" t="str">
        <f>$A$10</f>
        <v>第九期</v>
      </c>
      <c r="V130" s="27" t="e">
        <f t="shared" si="100"/>
        <v>#REF!</v>
      </c>
      <c r="W130" s="27" t="e">
        <f t="shared" si="101"/>
        <v>#REF!</v>
      </c>
      <c r="X130" s="34" t="e">
        <f t="shared" si="102"/>
        <v>#REF!</v>
      </c>
      <c r="Y130" s="27" t="e">
        <f t="shared" si="103"/>
        <v>#REF!</v>
      </c>
      <c r="Z130" s="44" t="e">
        <f t="shared" si="104"/>
        <v>#REF!</v>
      </c>
      <c r="AA130" s="27" t="e">
        <f t="shared" si="105"/>
        <v>#REF!</v>
      </c>
      <c r="AB130" s="27" t="e">
        <f t="shared" si="106"/>
        <v>#REF!</v>
      </c>
      <c r="AC130" s="22" t="e">
        <f>IF(X130=0,NA(),#REF!)</f>
        <v>#REF!</v>
      </c>
      <c r="AD130" s="27"/>
      <c r="AE130" s="27"/>
      <c r="AF130" s="35"/>
      <c r="AG130" s="47"/>
    </row>
    <row r="131" spans="21:33">
      <c r="U131" s="23" t="s">
        <v>887</v>
      </c>
      <c r="V131" s="24" t="s">
        <v>825</v>
      </c>
      <c r="W131" s="24" t="s">
        <v>826</v>
      </c>
      <c r="X131" s="24" t="s">
        <v>827</v>
      </c>
      <c r="Y131" s="24" t="s">
        <v>828</v>
      </c>
      <c r="Z131" s="24" t="s">
        <v>829</v>
      </c>
      <c r="AA131" s="24" t="s">
        <v>67</v>
      </c>
      <c r="AB131" s="24" t="s">
        <v>436</v>
      </c>
      <c r="AC131" s="24" t="s">
        <v>577</v>
      </c>
      <c r="AD131" s="24" t="s">
        <v>830</v>
      </c>
      <c r="AE131" s="24"/>
      <c r="AF131" s="32"/>
      <c r="AG131" s="47"/>
    </row>
    <row r="132" spans="21:33">
      <c r="U132" s="25" t="str">
        <f>$A$2</f>
        <v>第一期</v>
      </c>
      <c r="V132" s="22" t="e">
        <f>IF(B2="","",O2)</f>
        <v>#DIV/0!</v>
      </c>
      <c r="W132" s="22" t="e">
        <f>IF(C2="","",O14)</f>
        <v>#DIV/0!</v>
      </c>
      <c r="X132" s="34" t="e">
        <f>IF(D2="",0,O26)</f>
        <v>#DIV/0!</v>
      </c>
      <c r="Y132" s="22" t="e">
        <f>IF(E2="","",O38)</f>
        <v>#DIV/0!</v>
      </c>
      <c r="Z132" s="41" t="e">
        <f>IF(F2="","",O50)</f>
        <v>#DIV/0!</v>
      </c>
      <c r="AA132" s="22" t="e">
        <f>IF(G2="","",O62)</f>
        <v>#DIV/0!</v>
      </c>
      <c r="AB132" s="22" t="e">
        <f>IF(H2="","",O74)</f>
        <v>#DIV/0!</v>
      </c>
      <c r="AC132" s="22" t="e">
        <f>IF(X132=0,NA(),第1期!$BO$27)</f>
        <v>#DIV/0!</v>
      </c>
      <c r="AD132" s="42"/>
      <c r="AE132" s="42"/>
      <c r="AF132" s="43"/>
      <c r="AG132" s="47"/>
    </row>
    <row r="133" spans="21:33">
      <c r="U133" s="25" t="str">
        <f>$A$3</f>
        <v>第二期</v>
      </c>
      <c r="V133" s="22" t="e">
        <f t="shared" ref="V133:V140" si="107">IF(B3="","",O3)</f>
        <v>#DIV/0!</v>
      </c>
      <c r="W133" s="22" t="e">
        <f t="shared" ref="W133:W140" si="108">IF(C3="","",O15)</f>
        <v>#DIV/0!</v>
      </c>
      <c r="X133" s="34" t="e">
        <f t="shared" ref="X133:X140" si="109">IF(D3="",0,O27)</f>
        <v>#DIV/0!</v>
      </c>
      <c r="Y133" s="22" t="e">
        <f t="shared" ref="Y133:Y140" si="110">IF(E3="","",O39)</f>
        <v>#DIV/0!</v>
      </c>
      <c r="Z133" s="41" t="e">
        <f t="shared" ref="Z133:Z140" si="111">IF(F3="","",O51)</f>
        <v>#DIV/0!</v>
      </c>
      <c r="AA133" s="22" t="e">
        <f t="shared" ref="AA133:AA140" si="112">IF(G3="","",O63)</f>
        <v>#DIV/0!</v>
      </c>
      <c r="AB133" s="22" t="e">
        <f t="shared" ref="AB133:AB140" si="113">IF(H3="","",O75)</f>
        <v>#DIV/0!</v>
      </c>
      <c r="AC133" s="22" t="e">
        <f>IF(X133=0,NA(),第2期!$BO$27)</f>
        <v>#DIV/0!</v>
      </c>
      <c r="AD133" s="42"/>
      <c r="AE133" s="42"/>
      <c r="AF133" s="43"/>
      <c r="AG133" s="47"/>
    </row>
    <row r="134" spans="21:33">
      <c r="U134" s="25" t="str">
        <f>$A$4</f>
        <v>第三期</v>
      </c>
      <c r="V134" s="22" t="e">
        <f t="shared" si="107"/>
        <v>#DIV/0!</v>
      </c>
      <c r="W134" s="22" t="e">
        <f t="shared" si="108"/>
        <v>#DIV/0!</v>
      </c>
      <c r="X134" s="34" t="e">
        <f t="shared" si="109"/>
        <v>#DIV/0!</v>
      </c>
      <c r="Y134" s="22" t="e">
        <f t="shared" si="110"/>
        <v>#DIV/0!</v>
      </c>
      <c r="Z134" s="41" t="e">
        <f t="shared" si="111"/>
        <v>#DIV/0!</v>
      </c>
      <c r="AA134" s="22" t="e">
        <f t="shared" si="112"/>
        <v>#DIV/0!</v>
      </c>
      <c r="AB134" s="22" t="e">
        <f t="shared" si="113"/>
        <v>#DIV/0!</v>
      </c>
      <c r="AC134" s="22" t="e">
        <f>IF(X134=0,NA(),第3期!$BO$27)</f>
        <v>#DIV/0!</v>
      </c>
      <c r="AD134" s="42"/>
      <c r="AE134" s="42"/>
      <c r="AF134" s="43"/>
      <c r="AG134" s="47"/>
    </row>
    <row r="135" spans="21:33">
      <c r="U135" s="25" t="str">
        <f>$A$5</f>
        <v>第四期</v>
      </c>
      <c r="V135" s="22" t="e">
        <f t="shared" si="107"/>
        <v>#DIV/0!</v>
      </c>
      <c r="W135" s="22" t="e">
        <f t="shared" si="108"/>
        <v>#DIV/0!</v>
      </c>
      <c r="X135" s="34" t="e">
        <f t="shared" si="109"/>
        <v>#DIV/0!</v>
      </c>
      <c r="Y135" s="22" t="e">
        <f t="shared" si="110"/>
        <v>#DIV/0!</v>
      </c>
      <c r="Z135" s="41" t="e">
        <f t="shared" si="111"/>
        <v>#DIV/0!</v>
      </c>
      <c r="AA135" s="22" t="e">
        <f t="shared" si="112"/>
        <v>#DIV/0!</v>
      </c>
      <c r="AB135" s="22" t="e">
        <f t="shared" si="113"/>
        <v>#DIV/0!</v>
      </c>
      <c r="AC135" s="22" t="e">
        <f>IF(X135=0,NA(),第4期!$BO$27)</f>
        <v>#DIV/0!</v>
      </c>
      <c r="AD135" s="42"/>
      <c r="AE135" s="42"/>
      <c r="AF135" s="43"/>
      <c r="AG135" s="47"/>
    </row>
    <row r="136" spans="21:33">
      <c r="U136" s="25" t="str">
        <f>$A$6</f>
        <v>第五期</v>
      </c>
      <c r="V136" s="22" t="e">
        <f t="shared" si="107"/>
        <v>#DIV/0!</v>
      </c>
      <c r="W136" s="22" t="e">
        <f t="shared" si="108"/>
        <v>#DIV/0!</v>
      </c>
      <c r="X136" s="34" t="e">
        <f t="shared" si="109"/>
        <v>#DIV/0!</v>
      </c>
      <c r="Y136" s="22" t="e">
        <f t="shared" si="110"/>
        <v>#DIV/0!</v>
      </c>
      <c r="Z136" s="41" t="e">
        <f t="shared" si="111"/>
        <v>#DIV/0!</v>
      </c>
      <c r="AA136" s="22" t="e">
        <f t="shared" si="112"/>
        <v>#DIV/0!</v>
      </c>
      <c r="AB136" s="22" t="e">
        <f t="shared" si="113"/>
        <v>#DIV/0!</v>
      </c>
      <c r="AC136" s="22" t="e">
        <f>IF(X136=0,NA(),第5期!$BO$27)</f>
        <v>#DIV/0!</v>
      </c>
      <c r="AD136" s="42"/>
      <c r="AE136" s="42"/>
      <c r="AF136" s="43"/>
      <c r="AG136" s="47"/>
    </row>
    <row r="137" spans="21:33">
      <c r="U137" s="25" t="str">
        <f>$A$7</f>
        <v>第六期</v>
      </c>
      <c r="V137" s="22" t="e">
        <f t="shared" si="107"/>
        <v>#DIV/0!</v>
      </c>
      <c r="W137" s="22" t="e">
        <f t="shared" si="108"/>
        <v>#DIV/0!</v>
      </c>
      <c r="X137" s="34" t="e">
        <f t="shared" si="109"/>
        <v>#DIV/0!</v>
      </c>
      <c r="Y137" s="22" t="e">
        <f t="shared" si="110"/>
        <v>#DIV/0!</v>
      </c>
      <c r="Z137" s="41" t="e">
        <f t="shared" si="111"/>
        <v>#DIV/0!</v>
      </c>
      <c r="AA137" s="22" t="e">
        <f t="shared" si="112"/>
        <v>#DIV/0!</v>
      </c>
      <c r="AB137" s="22" t="e">
        <f t="shared" si="113"/>
        <v>#DIV/0!</v>
      </c>
      <c r="AC137" s="22" t="e">
        <f>IF(X137=0,NA(),第6期!$BO$27)</f>
        <v>#DIV/0!</v>
      </c>
      <c r="AD137" s="22" t="s">
        <v>837</v>
      </c>
      <c r="AF137" s="33"/>
      <c r="AG137" s="47"/>
    </row>
    <row r="138" spans="21:33">
      <c r="U138" s="25" t="str">
        <f>$A$8</f>
        <v>第七期</v>
      </c>
      <c r="V138" s="22" t="e">
        <f t="shared" si="107"/>
        <v>#DIV/0!</v>
      </c>
      <c r="W138" s="22" t="e">
        <f t="shared" si="108"/>
        <v>#DIV/0!</v>
      </c>
      <c r="X138" s="34" t="e">
        <f t="shared" si="109"/>
        <v>#DIV/0!</v>
      </c>
      <c r="Y138" s="22" t="e">
        <f t="shared" si="110"/>
        <v>#DIV/0!</v>
      </c>
      <c r="Z138" s="41" t="e">
        <f t="shared" si="111"/>
        <v>#DIV/0!</v>
      </c>
      <c r="AA138" s="22" t="e">
        <f t="shared" si="112"/>
        <v>#DIV/0!</v>
      </c>
      <c r="AB138" s="22" t="e">
        <f t="shared" si="113"/>
        <v>#DIV/0!</v>
      </c>
      <c r="AC138" s="22" t="e">
        <f>IF(X138=0,NA(),第7期!$BO$27)</f>
        <v>#DIV/0!</v>
      </c>
      <c r="AD138" s="22" t="s">
        <v>681</v>
      </c>
      <c r="AF138" s="33"/>
      <c r="AG138" s="47"/>
    </row>
    <row r="139" spans="21:33">
      <c r="U139" s="25" t="str">
        <f>$A$9</f>
        <v>第八期</v>
      </c>
      <c r="V139" s="22" t="e">
        <f t="shared" si="107"/>
        <v>#DIV/0!</v>
      </c>
      <c r="W139" s="22" t="e">
        <f t="shared" si="108"/>
        <v>#DIV/0!</v>
      </c>
      <c r="X139" s="34" t="e">
        <f t="shared" si="109"/>
        <v>#DIV/0!</v>
      </c>
      <c r="Y139" s="22" t="e">
        <f t="shared" si="110"/>
        <v>#DIV/0!</v>
      </c>
      <c r="Z139" s="41" t="e">
        <f t="shared" si="111"/>
        <v>#DIV/0!</v>
      </c>
      <c r="AA139" s="22" t="e">
        <f t="shared" si="112"/>
        <v>#DIV/0!</v>
      </c>
      <c r="AB139" s="22" t="e">
        <f t="shared" si="113"/>
        <v>#DIV/0!</v>
      </c>
      <c r="AC139" s="22" t="e">
        <f>IF(X139=0,NA(),第8期!$BO$27)</f>
        <v>#DIV/0!</v>
      </c>
      <c r="AF139" s="33"/>
      <c r="AG139" s="47"/>
    </row>
    <row r="140" ht="14.25" spans="21:33">
      <c r="U140" s="26" t="str">
        <f>$A$10</f>
        <v>第九期</v>
      </c>
      <c r="V140" s="27" t="e">
        <f t="shared" si="107"/>
        <v>#REF!</v>
      </c>
      <c r="W140" s="27" t="e">
        <f t="shared" si="108"/>
        <v>#REF!</v>
      </c>
      <c r="X140" s="34" t="e">
        <f t="shared" si="109"/>
        <v>#REF!</v>
      </c>
      <c r="Y140" s="27" t="e">
        <f t="shared" si="110"/>
        <v>#REF!</v>
      </c>
      <c r="Z140" s="44" t="e">
        <f t="shared" si="111"/>
        <v>#REF!</v>
      </c>
      <c r="AA140" s="27" t="e">
        <f t="shared" si="112"/>
        <v>#REF!</v>
      </c>
      <c r="AB140" s="27" t="e">
        <f t="shared" si="113"/>
        <v>#REF!</v>
      </c>
      <c r="AC140" s="22" t="e">
        <f>IF(X140=0,NA(),#REF!)</f>
        <v>#REF!</v>
      </c>
      <c r="AD140" s="27"/>
      <c r="AE140" s="27"/>
      <c r="AF140" s="35"/>
      <c r="AG140" s="47"/>
    </row>
    <row r="141" spans="21:33">
      <c r="U141" s="23" t="s">
        <v>888</v>
      </c>
      <c r="V141" s="24" t="s">
        <v>825</v>
      </c>
      <c r="W141" s="24" t="s">
        <v>826</v>
      </c>
      <c r="X141" s="24" t="s">
        <v>827</v>
      </c>
      <c r="Y141" s="24" t="s">
        <v>828</v>
      </c>
      <c r="Z141" s="24" t="s">
        <v>829</v>
      </c>
      <c r="AA141" s="24" t="s">
        <v>67</v>
      </c>
      <c r="AB141" s="24" t="s">
        <v>436</v>
      </c>
      <c r="AC141" s="24" t="s">
        <v>577</v>
      </c>
      <c r="AD141" s="24" t="s">
        <v>830</v>
      </c>
      <c r="AE141" s="24"/>
      <c r="AF141" s="32"/>
      <c r="AG141" s="47"/>
    </row>
    <row r="142" spans="21:33">
      <c r="U142" s="25" t="str">
        <f>$A$2</f>
        <v>第一期</v>
      </c>
      <c r="V142" s="22" t="e">
        <f>IF(B2="","",P2)</f>
        <v>#DIV/0!</v>
      </c>
      <c r="W142" s="22" t="e">
        <f>IF(C2="","",P14)</f>
        <v>#DIV/0!</v>
      </c>
      <c r="X142" s="34" t="e">
        <f>IF(D2="",0,P26)</f>
        <v>#DIV/0!</v>
      </c>
      <c r="Y142" s="22" t="e">
        <f>IF(E2="","",P38)</f>
        <v>#DIV/0!</v>
      </c>
      <c r="Z142" s="41" t="e">
        <f>IF(F2="","",P50)</f>
        <v>#DIV/0!</v>
      </c>
      <c r="AA142" s="22" t="e">
        <f>IF(G2="","",P62)</f>
        <v>#DIV/0!</v>
      </c>
      <c r="AB142" s="22" t="e">
        <f>IF(H2="","",P74)</f>
        <v>#DIV/0!</v>
      </c>
      <c r="AC142" s="22" t="e">
        <f>IF(X142=0,NA(),第1期!$BP$27)</f>
        <v>#DIV/0!</v>
      </c>
      <c r="AD142" s="42"/>
      <c r="AE142" s="42"/>
      <c r="AF142" s="43"/>
      <c r="AG142" s="47"/>
    </row>
    <row r="143" spans="21:33">
      <c r="U143" s="25" t="str">
        <f>$A$3</f>
        <v>第二期</v>
      </c>
      <c r="V143" s="22" t="e">
        <f t="shared" ref="V143:V150" si="114">IF(B3="","",P3)</f>
        <v>#DIV/0!</v>
      </c>
      <c r="W143" s="22" t="e">
        <f t="shared" ref="W143:W150" si="115">IF(C3="","",P15)</f>
        <v>#DIV/0!</v>
      </c>
      <c r="X143" s="34" t="e">
        <f t="shared" ref="X143:X150" si="116">IF(D3="",0,P27)</f>
        <v>#DIV/0!</v>
      </c>
      <c r="Y143" s="22" t="e">
        <f t="shared" ref="Y143:Y150" si="117">IF(E3="","",P39)</f>
        <v>#DIV/0!</v>
      </c>
      <c r="Z143" s="41" t="e">
        <f t="shared" ref="Z143:Z150" si="118">IF(F3="","",P51)</f>
        <v>#DIV/0!</v>
      </c>
      <c r="AA143" s="22" t="e">
        <f t="shared" ref="AA143:AA150" si="119">IF(G3="","",P63)</f>
        <v>#DIV/0!</v>
      </c>
      <c r="AB143" s="22" t="e">
        <f t="shared" ref="AB143:AB150" si="120">IF(H3="","",P75)</f>
        <v>#DIV/0!</v>
      </c>
      <c r="AC143" s="22" t="e">
        <f>IF(X143=0,NA(),第2期!$BP$27)</f>
        <v>#DIV/0!</v>
      </c>
      <c r="AD143" s="42"/>
      <c r="AE143" s="42"/>
      <c r="AF143" s="43"/>
      <c r="AG143" s="47"/>
    </row>
    <row r="144" spans="21:33">
      <c r="U144" s="25" t="str">
        <f>$A$4</f>
        <v>第三期</v>
      </c>
      <c r="V144" s="22" t="e">
        <f t="shared" si="114"/>
        <v>#DIV/0!</v>
      </c>
      <c r="W144" s="22" t="e">
        <f t="shared" si="115"/>
        <v>#DIV/0!</v>
      </c>
      <c r="X144" s="34" t="e">
        <f t="shared" si="116"/>
        <v>#DIV/0!</v>
      </c>
      <c r="Y144" s="22" t="e">
        <f t="shared" si="117"/>
        <v>#DIV/0!</v>
      </c>
      <c r="Z144" s="41" t="e">
        <f t="shared" si="118"/>
        <v>#DIV/0!</v>
      </c>
      <c r="AA144" s="22" t="e">
        <f t="shared" si="119"/>
        <v>#DIV/0!</v>
      </c>
      <c r="AB144" s="22" t="e">
        <f t="shared" si="120"/>
        <v>#DIV/0!</v>
      </c>
      <c r="AC144" s="22" t="e">
        <f>IF(X144=0,NA(),第3期!$BP$27)</f>
        <v>#DIV/0!</v>
      </c>
      <c r="AD144" s="42"/>
      <c r="AE144" s="42"/>
      <c r="AF144" s="43"/>
      <c r="AG144" s="47"/>
    </row>
    <row r="145" spans="21:33">
      <c r="U145" s="25" t="str">
        <f>$A$5</f>
        <v>第四期</v>
      </c>
      <c r="V145" s="22" t="e">
        <f t="shared" si="114"/>
        <v>#DIV/0!</v>
      </c>
      <c r="W145" s="22" t="e">
        <f t="shared" si="115"/>
        <v>#DIV/0!</v>
      </c>
      <c r="X145" s="34" t="e">
        <f t="shared" si="116"/>
        <v>#DIV/0!</v>
      </c>
      <c r="Y145" s="22" t="e">
        <f t="shared" si="117"/>
        <v>#DIV/0!</v>
      </c>
      <c r="Z145" s="41" t="e">
        <f t="shared" si="118"/>
        <v>#DIV/0!</v>
      </c>
      <c r="AA145" s="22" t="e">
        <f t="shared" si="119"/>
        <v>#DIV/0!</v>
      </c>
      <c r="AB145" s="22" t="e">
        <f t="shared" si="120"/>
        <v>#DIV/0!</v>
      </c>
      <c r="AC145" s="22" t="e">
        <f>IF(X145=0,NA(),第4期!$BP$27)</f>
        <v>#DIV/0!</v>
      </c>
      <c r="AD145" s="42"/>
      <c r="AE145" s="42"/>
      <c r="AF145" s="43"/>
      <c r="AG145" s="47"/>
    </row>
    <row r="146" spans="21:33">
      <c r="U146" s="25" t="str">
        <f>$A$6</f>
        <v>第五期</v>
      </c>
      <c r="V146" s="22" t="e">
        <f t="shared" si="114"/>
        <v>#DIV/0!</v>
      </c>
      <c r="W146" s="22" t="e">
        <f t="shared" si="115"/>
        <v>#DIV/0!</v>
      </c>
      <c r="X146" s="34" t="e">
        <f t="shared" si="116"/>
        <v>#DIV/0!</v>
      </c>
      <c r="Y146" s="22" t="e">
        <f t="shared" si="117"/>
        <v>#DIV/0!</v>
      </c>
      <c r="Z146" s="41" t="e">
        <f t="shared" si="118"/>
        <v>#DIV/0!</v>
      </c>
      <c r="AA146" s="22" t="e">
        <f t="shared" si="119"/>
        <v>#DIV/0!</v>
      </c>
      <c r="AB146" s="22" t="e">
        <f t="shared" si="120"/>
        <v>#DIV/0!</v>
      </c>
      <c r="AC146" s="22" t="e">
        <f>IF(X146=0,NA(),第5期!$BP$27)</f>
        <v>#DIV/0!</v>
      </c>
      <c r="AD146" s="42"/>
      <c r="AE146" s="42"/>
      <c r="AF146" s="43"/>
      <c r="AG146" s="47"/>
    </row>
    <row r="147" spans="21:33">
      <c r="U147" s="25" t="str">
        <f>$A$7</f>
        <v>第六期</v>
      </c>
      <c r="V147" s="22" t="e">
        <f t="shared" si="114"/>
        <v>#DIV/0!</v>
      </c>
      <c r="W147" s="22" t="e">
        <f t="shared" si="115"/>
        <v>#DIV/0!</v>
      </c>
      <c r="X147" s="34" t="e">
        <f t="shared" si="116"/>
        <v>#DIV/0!</v>
      </c>
      <c r="Y147" s="22" t="e">
        <f t="shared" si="117"/>
        <v>#DIV/0!</v>
      </c>
      <c r="Z147" s="41" t="e">
        <f t="shared" si="118"/>
        <v>#DIV/0!</v>
      </c>
      <c r="AA147" s="22" t="e">
        <f t="shared" si="119"/>
        <v>#DIV/0!</v>
      </c>
      <c r="AB147" s="22" t="e">
        <f t="shared" si="120"/>
        <v>#DIV/0!</v>
      </c>
      <c r="AC147" s="22" t="e">
        <f>IF(X147=0,NA(),第6期!$BP$27)</f>
        <v>#DIV/0!</v>
      </c>
      <c r="AD147" s="22" t="s">
        <v>837</v>
      </c>
      <c r="AF147" s="33"/>
      <c r="AG147" s="47"/>
    </row>
    <row r="148" spans="21:33">
      <c r="U148" s="25" t="str">
        <f>$A$8</f>
        <v>第七期</v>
      </c>
      <c r="V148" s="22" t="e">
        <f t="shared" si="114"/>
        <v>#DIV/0!</v>
      </c>
      <c r="W148" s="22" t="e">
        <f t="shared" si="115"/>
        <v>#DIV/0!</v>
      </c>
      <c r="X148" s="34" t="e">
        <f t="shared" si="116"/>
        <v>#DIV/0!</v>
      </c>
      <c r="Y148" s="22" t="e">
        <f t="shared" si="117"/>
        <v>#DIV/0!</v>
      </c>
      <c r="Z148" s="41" t="e">
        <f t="shared" si="118"/>
        <v>#DIV/0!</v>
      </c>
      <c r="AA148" s="22" t="e">
        <f t="shared" si="119"/>
        <v>#DIV/0!</v>
      </c>
      <c r="AB148" s="22" t="e">
        <f t="shared" si="120"/>
        <v>#DIV/0!</v>
      </c>
      <c r="AC148" s="22" t="e">
        <f>IF(X148=0,NA(),第7期!$BP$27)</f>
        <v>#DIV/0!</v>
      </c>
      <c r="AD148" s="22" t="s">
        <v>681</v>
      </c>
      <c r="AF148" s="33"/>
      <c r="AG148" s="47"/>
    </row>
    <row r="149" spans="21:33">
      <c r="U149" s="25" t="str">
        <f>$A$9</f>
        <v>第八期</v>
      </c>
      <c r="V149" s="22" t="e">
        <f t="shared" si="114"/>
        <v>#DIV/0!</v>
      </c>
      <c r="W149" s="22" t="e">
        <f t="shared" si="115"/>
        <v>#DIV/0!</v>
      </c>
      <c r="X149" s="34" t="e">
        <f t="shared" si="116"/>
        <v>#DIV/0!</v>
      </c>
      <c r="Y149" s="22" t="e">
        <f t="shared" si="117"/>
        <v>#DIV/0!</v>
      </c>
      <c r="Z149" s="41" t="e">
        <f t="shared" si="118"/>
        <v>#DIV/0!</v>
      </c>
      <c r="AA149" s="22" t="e">
        <f t="shared" si="119"/>
        <v>#DIV/0!</v>
      </c>
      <c r="AB149" s="22" t="e">
        <f t="shared" si="120"/>
        <v>#DIV/0!</v>
      </c>
      <c r="AC149" s="22" t="e">
        <f>IF(X149=0,NA(),第8期!$BP$27)</f>
        <v>#DIV/0!</v>
      </c>
      <c r="AF149" s="33"/>
      <c r="AG149" s="47"/>
    </row>
    <row r="150" ht="14.25" spans="21:33">
      <c r="U150" s="26" t="str">
        <f>$A$10</f>
        <v>第九期</v>
      </c>
      <c r="V150" s="27" t="e">
        <f t="shared" si="114"/>
        <v>#REF!</v>
      </c>
      <c r="W150" s="27" t="e">
        <f t="shared" si="115"/>
        <v>#REF!</v>
      </c>
      <c r="X150" s="34" t="e">
        <f t="shared" si="116"/>
        <v>#REF!</v>
      </c>
      <c r="Y150" s="27" t="e">
        <f t="shared" si="117"/>
        <v>#REF!</v>
      </c>
      <c r="Z150" s="44" t="e">
        <f t="shared" si="118"/>
        <v>#REF!</v>
      </c>
      <c r="AA150" s="27" t="e">
        <f t="shared" si="119"/>
        <v>#REF!</v>
      </c>
      <c r="AB150" s="27" t="e">
        <f t="shared" si="120"/>
        <v>#REF!</v>
      </c>
      <c r="AC150" s="22" t="e">
        <f>IF(X150=0,NA(),#REF!)</f>
        <v>#REF!</v>
      </c>
      <c r="AD150" s="27"/>
      <c r="AE150" s="27"/>
      <c r="AF150" s="35"/>
      <c r="AG150" s="47"/>
    </row>
    <row r="151" spans="21:33">
      <c r="U151" s="23" t="s">
        <v>889</v>
      </c>
      <c r="V151" s="24" t="s">
        <v>825</v>
      </c>
      <c r="W151" s="24" t="s">
        <v>826</v>
      </c>
      <c r="X151" s="24" t="s">
        <v>827</v>
      </c>
      <c r="Y151" s="24" t="s">
        <v>828</v>
      </c>
      <c r="Z151" s="24" t="s">
        <v>829</v>
      </c>
      <c r="AA151" s="24" t="s">
        <v>67</v>
      </c>
      <c r="AB151" s="24" t="s">
        <v>436</v>
      </c>
      <c r="AC151" s="24" t="s">
        <v>577</v>
      </c>
      <c r="AD151" s="24" t="s">
        <v>830</v>
      </c>
      <c r="AE151" s="24"/>
      <c r="AF151" s="32"/>
      <c r="AG151" s="47"/>
    </row>
    <row r="152" spans="21:33">
      <c r="U152" s="25" t="str">
        <f>$A$2</f>
        <v>第一期</v>
      </c>
      <c r="V152" s="22" t="e">
        <f>IF(B2="","",Q2)</f>
        <v>#DIV/0!</v>
      </c>
      <c r="W152" s="22" t="e">
        <f>IF(C2="","",Q14)</f>
        <v>#DIV/0!</v>
      </c>
      <c r="X152" s="34" t="e">
        <f>IF(D2="",0,Q26)</f>
        <v>#DIV/0!</v>
      </c>
      <c r="Y152" s="22" t="e">
        <f>IF(E2="","",Q38)</f>
        <v>#DIV/0!</v>
      </c>
      <c r="Z152" s="41" t="e">
        <f>IF(F2="","",Q50)</f>
        <v>#DIV/0!</v>
      </c>
      <c r="AA152" s="22" t="e">
        <f>IF(G2="","",Q62)</f>
        <v>#DIV/0!</v>
      </c>
      <c r="AB152" s="22" t="e">
        <f>IF(H2="","",Q74)</f>
        <v>#DIV/0!</v>
      </c>
      <c r="AC152" s="22" t="e">
        <f>IF(X152=0,NA(),第1期!$BQ$27)</f>
        <v>#DIV/0!</v>
      </c>
      <c r="AD152" s="42"/>
      <c r="AE152" s="42"/>
      <c r="AF152" s="43"/>
      <c r="AG152" s="47"/>
    </row>
    <row r="153" spans="21:33">
      <c r="U153" s="25" t="str">
        <f>$A$3</f>
        <v>第二期</v>
      </c>
      <c r="V153" s="22" t="e">
        <f t="shared" ref="V153:V160" si="121">IF(B3="","",Q3)</f>
        <v>#DIV/0!</v>
      </c>
      <c r="W153" s="22" t="e">
        <f t="shared" ref="W153:W160" si="122">IF(C3="","",Q15)</f>
        <v>#DIV/0!</v>
      </c>
      <c r="X153" s="34" t="e">
        <f t="shared" ref="X153:X160" si="123">IF(D3="",0,Q27)</f>
        <v>#DIV/0!</v>
      </c>
      <c r="Y153" s="22" t="e">
        <f t="shared" ref="Y153:Y160" si="124">IF(E3="","",Q39)</f>
        <v>#DIV/0!</v>
      </c>
      <c r="Z153" s="41" t="e">
        <f t="shared" ref="Z153:Z160" si="125">IF(F3="","",Q51)</f>
        <v>#DIV/0!</v>
      </c>
      <c r="AA153" s="22" t="e">
        <f t="shared" ref="AA153:AA160" si="126">IF(G3="","",Q63)</f>
        <v>#DIV/0!</v>
      </c>
      <c r="AB153" s="22" t="e">
        <f t="shared" ref="AB153:AB160" si="127">IF(H3="","",Q75)</f>
        <v>#DIV/0!</v>
      </c>
      <c r="AC153" s="22" t="e">
        <f>IF(X153=0,NA(),第2期!$BQ$27)</f>
        <v>#DIV/0!</v>
      </c>
      <c r="AD153" s="42"/>
      <c r="AE153" s="42"/>
      <c r="AF153" s="43"/>
      <c r="AG153" s="47"/>
    </row>
    <row r="154" spans="21:33">
      <c r="U154" s="25" t="str">
        <f>$A$4</f>
        <v>第三期</v>
      </c>
      <c r="V154" s="22" t="e">
        <f t="shared" si="121"/>
        <v>#DIV/0!</v>
      </c>
      <c r="W154" s="22" t="e">
        <f t="shared" si="122"/>
        <v>#DIV/0!</v>
      </c>
      <c r="X154" s="34" t="e">
        <f t="shared" si="123"/>
        <v>#DIV/0!</v>
      </c>
      <c r="Y154" s="22" t="e">
        <f t="shared" si="124"/>
        <v>#DIV/0!</v>
      </c>
      <c r="Z154" s="41" t="e">
        <f t="shared" si="125"/>
        <v>#DIV/0!</v>
      </c>
      <c r="AA154" s="22" t="e">
        <f t="shared" si="126"/>
        <v>#DIV/0!</v>
      </c>
      <c r="AB154" s="22" t="e">
        <f t="shared" si="127"/>
        <v>#DIV/0!</v>
      </c>
      <c r="AC154" s="22" t="e">
        <f>IF(X154=0,NA(),第3期!$BQ$27)</f>
        <v>#DIV/0!</v>
      </c>
      <c r="AD154" s="42"/>
      <c r="AE154" s="42"/>
      <c r="AF154" s="43"/>
      <c r="AG154" s="47"/>
    </row>
    <row r="155" spans="21:33">
      <c r="U155" s="25" t="str">
        <f>$A$5</f>
        <v>第四期</v>
      </c>
      <c r="V155" s="22" t="e">
        <f t="shared" si="121"/>
        <v>#DIV/0!</v>
      </c>
      <c r="W155" s="22" t="e">
        <f t="shared" si="122"/>
        <v>#DIV/0!</v>
      </c>
      <c r="X155" s="34" t="e">
        <f t="shared" si="123"/>
        <v>#DIV/0!</v>
      </c>
      <c r="Y155" s="22" t="e">
        <f t="shared" si="124"/>
        <v>#DIV/0!</v>
      </c>
      <c r="Z155" s="41" t="e">
        <f t="shared" si="125"/>
        <v>#DIV/0!</v>
      </c>
      <c r="AA155" s="22" t="e">
        <f t="shared" si="126"/>
        <v>#DIV/0!</v>
      </c>
      <c r="AB155" s="22" t="e">
        <f t="shared" si="127"/>
        <v>#DIV/0!</v>
      </c>
      <c r="AC155" s="22" t="e">
        <f>IF(X155=0,NA(),第4期!$BQ$27)</f>
        <v>#DIV/0!</v>
      </c>
      <c r="AD155" s="42"/>
      <c r="AE155" s="42"/>
      <c r="AF155" s="43"/>
      <c r="AG155" s="47"/>
    </row>
    <row r="156" spans="21:33">
      <c r="U156" s="25" t="str">
        <f>$A$6</f>
        <v>第五期</v>
      </c>
      <c r="V156" s="22" t="e">
        <f t="shared" si="121"/>
        <v>#DIV/0!</v>
      </c>
      <c r="W156" s="22" t="e">
        <f t="shared" si="122"/>
        <v>#DIV/0!</v>
      </c>
      <c r="X156" s="34" t="e">
        <f t="shared" si="123"/>
        <v>#DIV/0!</v>
      </c>
      <c r="Y156" s="22" t="e">
        <f t="shared" si="124"/>
        <v>#DIV/0!</v>
      </c>
      <c r="Z156" s="41" t="e">
        <f t="shared" si="125"/>
        <v>#DIV/0!</v>
      </c>
      <c r="AA156" s="22" t="e">
        <f t="shared" si="126"/>
        <v>#DIV/0!</v>
      </c>
      <c r="AB156" s="22" t="e">
        <f t="shared" si="127"/>
        <v>#DIV/0!</v>
      </c>
      <c r="AC156" s="22" t="e">
        <f>IF(X156=0,NA(),第5期!$BQ$27)</f>
        <v>#DIV/0!</v>
      </c>
      <c r="AD156" s="42"/>
      <c r="AE156" s="42"/>
      <c r="AF156" s="43"/>
      <c r="AG156" s="47"/>
    </row>
    <row r="157" spans="21:33">
      <c r="U157" s="25" t="str">
        <f>$A$7</f>
        <v>第六期</v>
      </c>
      <c r="V157" s="22" t="e">
        <f t="shared" si="121"/>
        <v>#DIV/0!</v>
      </c>
      <c r="W157" s="22" t="e">
        <f t="shared" si="122"/>
        <v>#DIV/0!</v>
      </c>
      <c r="X157" s="34" t="e">
        <f t="shared" si="123"/>
        <v>#DIV/0!</v>
      </c>
      <c r="Y157" s="22" t="e">
        <f t="shared" si="124"/>
        <v>#DIV/0!</v>
      </c>
      <c r="Z157" s="41" t="e">
        <f t="shared" si="125"/>
        <v>#DIV/0!</v>
      </c>
      <c r="AA157" s="22" t="e">
        <f t="shared" si="126"/>
        <v>#DIV/0!</v>
      </c>
      <c r="AB157" s="22" t="e">
        <f t="shared" si="127"/>
        <v>#DIV/0!</v>
      </c>
      <c r="AC157" s="22" t="e">
        <f>IF(X157=0,NA(),第6期!$BQ$27)</f>
        <v>#DIV/0!</v>
      </c>
      <c r="AD157" s="22" t="s">
        <v>837</v>
      </c>
      <c r="AF157" s="33"/>
      <c r="AG157" s="47"/>
    </row>
    <row r="158" spans="21:33">
      <c r="U158" s="25" t="str">
        <f>$A$8</f>
        <v>第七期</v>
      </c>
      <c r="V158" s="22" t="e">
        <f t="shared" si="121"/>
        <v>#DIV/0!</v>
      </c>
      <c r="W158" s="22" t="e">
        <f t="shared" si="122"/>
        <v>#DIV/0!</v>
      </c>
      <c r="X158" s="34" t="e">
        <f t="shared" si="123"/>
        <v>#DIV/0!</v>
      </c>
      <c r="Y158" s="22" t="e">
        <f t="shared" si="124"/>
        <v>#DIV/0!</v>
      </c>
      <c r="Z158" s="41" t="e">
        <f t="shared" si="125"/>
        <v>#DIV/0!</v>
      </c>
      <c r="AA158" s="22" t="e">
        <f t="shared" si="126"/>
        <v>#DIV/0!</v>
      </c>
      <c r="AB158" s="22" t="e">
        <f t="shared" si="127"/>
        <v>#DIV/0!</v>
      </c>
      <c r="AC158" s="22" t="e">
        <f>IF(X158=0,NA(),第7期!$BQ$27)</f>
        <v>#DIV/0!</v>
      </c>
      <c r="AD158" s="22" t="s">
        <v>681</v>
      </c>
      <c r="AF158" s="33"/>
      <c r="AG158" s="47"/>
    </row>
    <row r="159" spans="21:33">
      <c r="U159" s="25" t="str">
        <f>$A$9</f>
        <v>第八期</v>
      </c>
      <c r="V159" s="22" t="e">
        <f t="shared" si="121"/>
        <v>#DIV/0!</v>
      </c>
      <c r="W159" s="22" t="e">
        <f t="shared" si="122"/>
        <v>#DIV/0!</v>
      </c>
      <c r="X159" s="34" t="e">
        <f t="shared" si="123"/>
        <v>#DIV/0!</v>
      </c>
      <c r="Y159" s="22" t="e">
        <f t="shared" si="124"/>
        <v>#DIV/0!</v>
      </c>
      <c r="Z159" s="41" t="e">
        <f t="shared" si="125"/>
        <v>#DIV/0!</v>
      </c>
      <c r="AA159" s="22" t="e">
        <f t="shared" si="126"/>
        <v>#DIV/0!</v>
      </c>
      <c r="AB159" s="22" t="e">
        <f t="shared" si="127"/>
        <v>#DIV/0!</v>
      </c>
      <c r="AC159" s="22" t="e">
        <f>IF(X159=0,NA(),第8期!$BQ$27)</f>
        <v>#DIV/0!</v>
      </c>
      <c r="AF159" s="33"/>
      <c r="AG159" s="47"/>
    </row>
    <row r="160" ht="14.25" spans="21:33">
      <c r="U160" s="26" t="str">
        <f>$A$10</f>
        <v>第九期</v>
      </c>
      <c r="V160" s="27" t="e">
        <f t="shared" si="121"/>
        <v>#REF!</v>
      </c>
      <c r="W160" s="27" t="e">
        <f t="shared" si="122"/>
        <v>#REF!</v>
      </c>
      <c r="X160" s="36" t="e">
        <f t="shared" si="123"/>
        <v>#REF!</v>
      </c>
      <c r="Y160" s="27" t="e">
        <f t="shared" si="124"/>
        <v>#REF!</v>
      </c>
      <c r="Z160" s="44" t="e">
        <f t="shared" si="125"/>
        <v>#REF!</v>
      </c>
      <c r="AA160" s="27" t="e">
        <f t="shared" si="126"/>
        <v>#REF!</v>
      </c>
      <c r="AB160" s="27" t="e">
        <f t="shared" si="127"/>
        <v>#REF!</v>
      </c>
      <c r="AC160" s="27" t="e">
        <f>IF(X160=0,NA(),#REF!)</f>
        <v>#REF!</v>
      </c>
      <c r="AD160" s="27"/>
      <c r="AE160" s="27"/>
      <c r="AF160" s="35"/>
      <c r="AG160" s="47"/>
    </row>
  </sheetData>
  <mergeCells count="36">
    <mergeCell ref="AD1:AF1"/>
    <mergeCell ref="AD11:AF11"/>
    <mergeCell ref="AD21:AF21"/>
    <mergeCell ref="AD31:AF31"/>
    <mergeCell ref="AD41:AF41"/>
    <mergeCell ref="AD51:AF51"/>
    <mergeCell ref="AD61:AF61"/>
    <mergeCell ref="AD71:AF71"/>
    <mergeCell ref="AD81:AF81"/>
    <mergeCell ref="AD91:AF91"/>
    <mergeCell ref="AD101:AF101"/>
    <mergeCell ref="C109:D109"/>
    <mergeCell ref="F109:G109"/>
    <mergeCell ref="I109:J109"/>
    <mergeCell ref="L109:M109"/>
    <mergeCell ref="AD111:AF111"/>
    <mergeCell ref="AD121:AF121"/>
    <mergeCell ref="AD131:AF131"/>
    <mergeCell ref="AD141:AF141"/>
    <mergeCell ref="AD151:AF151"/>
    <mergeCell ref="AD152:AF156"/>
    <mergeCell ref="AD122:AF126"/>
    <mergeCell ref="AD132:AF136"/>
    <mergeCell ref="AD142:AF146"/>
    <mergeCell ref="AD42:AF46"/>
    <mergeCell ref="AD82:AF86"/>
    <mergeCell ref="AD102:AF106"/>
    <mergeCell ref="AD62:AF66"/>
    <mergeCell ref="AD72:AF76"/>
    <mergeCell ref="AD92:AF96"/>
    <mergeCell ref="AD112:AF116"/>
    <mergeCell ref="AD52:AF56"/>
    <mergeCell ref="AD2:AF6"/>
    <mergeCell ref="AD12:AF16"/>
    <mergeCell ref="AD22:AF26"/>
    <mergeCell ref="AD32:AF36"/>
  </mergeCells>
  <pageMargins left="0.698611111111111" right="0.698611111111111" top="0.75" bottom="0.75" header="0.3" footer="0.3"/>
  <pageSetup paperSize="1" firstPageNumber="4294963191" orientation="landscape" useFirstPageNumber="1" horizontalDpi="200" verticalDpi="200"/>
  <headerFooter alignWithMargins="0"/>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R66"/>
  <sheetViews>
    <sheetView showRowColHeaders="0" topLeftCell="A2" workbookViewId="0">
      <selection activeCell="C66" sqref="C66"/>
    </sheetView>
  </sheetViews>
  <sheetFormatPr defaultColWidth="9" defaultRowHeight="15.75"/>
  <cols>
    <col min="1" max="1" width="13.0884955752212" style="1" customWidth="1"/>
    <col min="2" max="3" width="9" style="1"/>
    <col min="4" max="4" width="11.9026548672566" style="1" customWidth="1"/>
    <col min="5" max="5" width="10.9026548672566" style="1" customWidth="1"/>
    <col min="6" max="16384" width="9" style="1"/>
  </cols>
  <sheetData>
    <row r="1" spans="1:14">
      <c r="A1" s="2"/>
      <c r="B1" s="3" t="s">
        <v>890</v>
      </c>
      <c r="C1" s="3" t="s">
        <v>891</v>
      </c>
      <c r="D1" s="3" t="s">
        <v>892</v>
      </c>
      <c r="E1" s="3"/>
      <c r="F1" s="4"/>
      <c r="G1" s="4"/>
      <c r="H1" s="4"/>
      <c r="I1" s="4"/>
      <c r="J1" s="4"/>
      <c r="K1" s="3" t="s">
        <v>893</v>
      </c>
      <c r="L1" s="3"/>
      <c r="M1" s="3"/>
      <c r="N1" s="3"/>
    </row>
    <row r="2" ht="16.5" spans="5:14">
      <c r="E2" s="3"/>
      <c r="K2" s="8">
        <v>5522</v>
      </c>
      <c r="L2" s="8">
        <v>2211</v>
      </c>
      <c r="M2" s="8">
        <v>3322</v>
      </c>
      <c r="N2" s="8">
        <v>1111</v>
      </c>
    </row>
    <row r="3" spans="5:10">
      <c r="E3" s="5" t="s">
        <v>894</v>
      </c>
      <c r="F3" s="6">
        <v>100</v>
      </c>
      <c r="G3" s="6">
        <v>200</v>
      </c>
      <c r="H3" s="6">
        <v>400</v>
      </c>
      <c r="I3" s="15">
        <v>500</v>
      </c>
      <c r="J3" s="8"/>
    </row>
    <row r="4" spans="1:14">
      <c r="A4" s="3" t="s">
        <v>895</v>
      </c>
      <c r="B4" s="7" t="s">
        <v>896</v>
      </c>
      <c r="C4" s="8">
        <v>6</v>
      </c>
      <c r="D4" s="8">
        <v>270</v>
      </c>
      <c r="E4" s="9" t="s">
        <v>897</v>
      </c>
      <c r="F4" s="8">
        <v>150</v>
      </c>
      <c r="G4" s="8">
        <v>250</v>
      </c>
      <c r="H4" s="8">
        <v>180</v>
      </c>
      <c r="I4" s="16">
        <v>160</v>
      </c>
      <c r="J4" s="8"/>
      <c r="K4" s="17">
        <v>1.87</v>
      </c>
      <c r="L4" s="17">
        <v>1.74</v>
      </c>
      <c r="M4" s="17">
        <v>1.515</v>
      </c>
      <c r="N4" s="17">
        <v>1.344</v>
      </c>
    </row>
    <row r="5" spans="1:14">
      <c r="A5" s="10"/>
      <c r="B5" s="7"/>
      <c r="C5" s="8"/>
      <c r="D5" s="8"/>
      <c r="E5" s="11" t="s">
        <v>441</v>
      </c>
      <c r="F5" s="12">
        <v>300</v>
      </c>
      <c r="G5" s="12">
        <v>1500</v>
      </c>
      <c r="H5" s="12">
        <v>2000</v>
      </c>
      <c r="I5" s="18">
        <v>3000</v>
      </c>
      <c r="J5" s="8"/>
      <c r="K5" s="17"/>
      <c r="L5" s="17"/>
      <c r="M5" s="17"/>
      <c r="N5" s="17"/>
    </row>
    <row r="6" spans="5:10">
      <c r="E6" s="5" t="s">
        <v>894</v>
      </c>
      <c r="F6" s="6">
        <v>100</v>
      </c>
      <c r="G6" s="6">
        <v>250</v>
      </c>
      <c r="H6" s="6">
        <v>360</v>
      </c>
      <c r="I6" s="15">
        <v>420</v>
      </c>
      <c r="J6" s="8"/>
    </row>
    <row r="7" spans="1:14">
      <c r="A7" s="3" t="s">
        <v>898</v>
      </c>
      <c r="B7" s="7" t="s">
        <v>896</v>
      </c>
      <c r="C7" s="8">
        <v>8</v>
      </c>
      <c r="D7" s="8">
        <v>270</v>
      </c>
      <c r="E7" s="9" t="s">
        <v>897</v>
      </c>
      <c r="F7" s="8">
        <v>150</v>
      </c>
      <c r="G7" s="8">
        <v>200</v>
      </c>
      <c r="H7" s="8">
        <v>220</v>
      </c>
      <c r="I7" s="16">
        <v>240</v>
      </c>
      <c r="J7" s="8"/>
      <c r="K7" s="17">
        <v>1.731</v>
      </c>
      <c r="L7" s="17">
        <v>1.674</v>
      </c>
      <c r="M7" s="17">
        <v>1.601</v>
      </c>
      <c r="N7" s="17">
        <v>1.506</v>
      </c>
    </row>
    <row r="8" spans="1:14">
      <c r="A8" s="10"/>
      <c r="B8" s="7"/>
      <c r="C8" s="8"/>
      <c r="D8" s="8"/>
      <c r="E8" s="11" t="s">
        <v>441</v>
      </c>
      <c r="F8" s="12">
        <v>300</v>
      </c>
      <c r="G8" s="12">
        <v>1200</v>
      </c>
      <c r="H8" s="12">
        <v>2000</v>
      </c>
      <c r="I8" s="18">
        <v>2800</v>
      </c>
      <c r="J8" s="8"/>
      <c r="K8" s="17"/>
      <c r="L8" s="17"/>
      <c r="M8" s="17"/>
      <c r="N8" s="17"/>
    </row>
    <row r="9" spans="5:10">
      <c r="E9" s="5" t="s">
        <v>894</v>
      </c>
      <c r="F9" s="6">
        <v>100</v>
      </c>
      <c r="G9" s="6">
        <v>200</v>
      </c>
      <c r="H9" s="6">
        <v>400</v>
      </c>
      <c r="I9" s="15">
        <v>500</v>
      </c>
      <c r="J9" s="8"/>
    </row>
    <row r="10" spans="1:14">
      <c r="A10" s="3" t="s">
        <v>899</v>
      </c>
      <c r="B10" s="7" t="s">
        <v>896</v>
      </c>
      <c r="C10" s="8">
        <v>8</v>
      </c>
      <c r="D10" s="8">
        <v>270</v>
      </c>
      <c r="E10" s="9" t="s">
        <v>897</v>
      </c>
      <c r="F10" s="8">
        <v>150</v>
      </c>
      <c r="G10" s="8">
        <v>250</v>
      </c>
      <c r="H10" s="8">
        <v>180</v>
      </c>
      <c r="I10" s="16">
        <v>160</v>
      </c>
      <c r="J10" s="8"/>
      <c r="K10" s="17">
        <v>1.87</v>
      </c>
      <c r="L10" s="17">
        <v>1.74</v>
      </c>
      <c r="M10" s="17">
        <v>1.515</v>
      </c>
      <c r="N10" s="17">
        <v>1.344</v>
      </c>
    </row>
    <row r="11" spans="1:14">
      <c r="A11" s="10"/>
      <c r="B11" s="7"/>
      <c r="C11" s="8"/>
      <c r="D11" s="8"/>
      <c r="E11" s="11" t="s">
        <v>441</v>
      </c>
      <c r="F11" s="12">
        <v>700</v>
      </c>
      <c r="G11" s="12">
        <v>1200</v>
      </c>
      <c r="H11" s="12">
        <v>2500</v>
      </c>
      <c r="I11" s="18">
        <v>3000</v>
      </c>
      <c r="J11" s="8"/>
      <c r="K11" s="17"/>
      <c r="L11" s="17"/>
      <c r="M11" s="17"/>
      <c r="N11" s="17"/>
    </row>
    <row r="12" spans="5:10">
      <c r="E12" s="5" t="s">
        <v>894</v>
      </c>
      <c r="F12" s="6">
        <v>120</v>
      </c>
      <c r="G12" s="6">
        <v>180</v>
      </c>
      <c r="H12" s="6">
        <v>400</v>
      </c>
      <c r="I12" s="15">
        <v>450</v>
      </c>
      <c r="J12" s="8"/>
    </row>
    <row r="13" spans="1:14">
      <c r="A13" s="3" t="s">
        <v>900</v>
      </c>
      <c r="B13" s="7" t="s">
        <v>896</v>
      </c>
      <c r="C13" s="8">
        <v>10</v>
      </c>
      <c r="D13" s="8">
        <v>275</v>
      </c>
      <c r="E13" s="9" t="s">
        <v>897</v>
      </c>
      <c r="F13" s="8">
        <v>160</v>
      </c>
      <c r="G13" s="8">
        <v>200</v>
      </c>
      <c r="H13" s="8">
        <v>180</v>
      </c>
      <c r="I13" s="16">
        <v>160</v>
      </c>
      <c r="J13" s="8"/>
      <c r="K13" s="17">
        <v>1.76</v>
      </c>
      <c r="L13" s="17">
        <v>1.65</v>
      </c>
      <c r="M13" s="17">
        <v>1.515</v>
      </c>
      <c r="N13" s="17">
        <v>1.344</v>
      </c>
    </row>
    <row r="14" spans="1:14">
      <c r="A14" s="10"/>
      <c r="B14" s="7"/>
      <c r="C14" s="8"/>
      <c r="D14" s="8"/>
      <c r="E14" s="11" t="s">
        <v>441</v>
      </c>
      <c r="F14" s="12">
        <v>600</v>
      </c>
      <c r="G14" s="12">
        <v>1200</v>
      </c>
      <c r="H14" s="12">
        <v>2000</v>
      </c>
      <c r="I14" s="18">
        <v>2800</v>
      </c>
      <c r="J14" s="8"/>
      <c r="K14" s="17"/>
      <c r="L14" s="17"/>
      <c r="M14" s="17"/>
      <c r="N14" s="17"/>
    </row>
    <row r="15" spans="5:10">
      <c r="E15" s="5" t="s">
        <v>894</v>
      </c>
      <c r="F15" s="6">
        <v>120</v>
      </c>
      <c r="G15" s="6">
        <v>220</v>
      </c>
      <c r="H15" s="6">
        <v>350</v>
      </c>
      <c r="I15" s="15">
        <v>500</v>
      </c>
      <c r="J15" s="8"/>
    </row>
    <row r="16" spans="1:14">
      <c r="A16" s="3" t="s">
        <v>901</v>
      </c>
      <c r="B16" s="7" t="s">
        <v>896</v>
      </c>
      <c r="C16" s="8">
        <v>10</v>
      </c>
      <c r="D16" s="8">
        <v>260</v>
      </c>
      <c r="E16" s="9" t="s">
        <v>897</v>
      </c>
      <c r="F16" s="8">
        <v>180</v>
      </c>
      <c r="G16" s="8">
        <v>200</v>
      </c>
      <c r="H16" s="8">
        <v>280</v>
      </c>
      <c r="I16" s="16">
        <v>160</v>
      </c>
      <c r="J16" s="8"/>
      <c r="K16" s="17">
        <v>1.884</v>
      </c>
      <c r="L16" s="17">
        <v>1.801</v>
      </c>
      <c r="M16" s="17">
        <v>1.697</v>
      </c>
      <c r="N16" s="17">
        <v>1.563</v>
      </c>
    </row>
    <row r="17" spans="1:14">
      <c r="A17" s="10"/>
      <c r="B17" s="7"/>
      <c r="C17" s="8"/>
      <c r="D17" s="8"/>
      <c r="E17" s="11" t="s">
        <v>441</v>
      </c>
      <c r="F17" s="12">
        <v>800</v>
      </c>
      <c r="G17" s="12">
        <v>1500</v>
      </c>
      <c r="H17" s="12">
        <v>2200</v>
      </c>
      <c r="I17" s="18">
        <v>3000</v>
      </c>
      <c r="J17" s="8"/>
      <c r="K17" s="17"/>
      <c r="L17" s="17"/>
      <c r="M17" s="17"/>
      <c r="N17" s="17"/>
    </row>
    <row r="18" spans="1:14">
      <c r="A18" s="10"/>
      <c r="B18" s="7"/>
      <c r="C18" s="8"/>
      <c r="D18" s="8"/>
      <c r="E18" s="5" t="s">
        <v>894</v>
      </c>
      <c r="F18" s="6">
        <v>120</v>
      </c>
      <c r="G18" s="6">
        <v>180</v>
      </c>
      <c r="H18" s="6">
        <v>380</v>
      </c>
      <c r="I18" s="15">
        <v>450</v>
      </c>
      <c r="J18" s="8"/>
      <c r="K18" s="17"/>
      <c r="L18" s="17"/>
      <c r="M18" s="17"/>
      <c r="N18" s="17"/>
    </row>
    <row r="19" spans="1:14">
      <c r="A19" s="3" t="s">
        <v>902</v>
      </c>
      <c r="B19" s="7" t="s">
        <v>896</v>
      </c>
      <c r="C19" s="8">
        <v>12</v>
      </c>
      <c r="D19" s="8">
        <v>270</v>
      </c>
      <c r="E19" s="9" t="s">
        <v>897</v>
      </c>
      <c r="F19" s="8">
        <v>180</v>
      </c>
      <c r="G19" s="8">
        <v>240</v>
      </c>
      <c r="H19" s="8">
        <v>280</v>
      </c>
      <c r="I19" s="16">
        <v>200</v>
      </c>
      <c r="J19" s="8"/>
      <c r="K19" s="17">
        <v>2.199</v>
      </c>
      <c r="L19" s="17">
        <v>2.085</v>
      </c>
      <c r="M19" s="17">
        <v>1.946</v>
      </c>
      <c r="N19" s="17">
        <v>1.769</v>
      </c>
    </row>
    <row r="20" spans="1:14">
      <c r="A20" s="10"/>
      <c r="B20" s="7"/>
      <c r="C20" s="8"/>
      <c r="D20" s="8"/>
      <c r="E20" s="11" t="s">
        <v>441</v>
      </c>
      <c r="F20" s="12">
        <v>600</v>
      </c>
      <c r="G20" s="12">
        <v>1200</v>
      </c>
      <c r="H20" s="12">
        <v>1800</v>
      </c>
      <c r="I20" s="18">
        <v>2800</v>
      </c>
      <c r="J20" s="8"/>
      <c r="K20" s="17"/>
      <c r="L20" s="17"/>
      <c r="M20" s="17"/>
      <c r="N20" s="17"/>
    </row>
    <row r="21" spans="1:14">
      <c r="A21" s="10"/>
      <c r="B21" s="7"/>
      <c r="C21" s="8"/>
      <c r="D21" s="8"/>
      <c r="E21" s="5" t="s">
        <v>894</v>
      </c>
      <c r="F21" s="6">
        <v>90</v>
      </c>
      <c r="G21" s="6">
        <v>180</v>
      </c>
      <c r="H21" s="6">
        <v>370</v>
      </c>
      <c r="I21" s="15">
        <v>510</v>
      </c>
      <c r="J21" s="8"/>
      <c r="K21" s="17"/>
      <c r="L21" s="17"/>
      <c r="M21" s="17"/>
      <c r="N21" s="17"/>
    </row>
    <row r="22" spans="1:14">
      <c r="A22" s="3" t="s">
        <v>903</v>
      </c>
      <c r="B22" s="7" t="s">
        <v>904</v>
      </c>
      <c r="C22" s="8">
        <v>9</v>
      </c>
      <c r="D22" s="8">
        <v>273</v>
      </c>
      <c r="E22" s="9" t="s">
        <v>897</v>
      </c>
      <c r="F22" s="8">
        <v>140</v>
      </c>
      <c r="G22" s="8">
        <v>250</v>
      </c>
      <c r="H22" s="8">
        <v>190</v>
      </c>
      <c r="I22" s="16">
        <v>160</v>
      </c>
      <c r="J22" s="8"/>
      <c r="K22" s="17">
        <v>1.973</v>
      </c>
      <c r="L22" s="17">
        <v>1.833</v>
      </c>
      <c r="M22" s="17">
        <v>1.662</v>
      </c>
      <c r="N22" s="17">
        <v>1.452</v>
      </c>
    </row>
    <row r="23" spans="1:14">
      <c r="A23" s="10"/>
      <c r="B23" s="7"/>
      <c r="C23" s="8"/>
      <c r="D23" s="8"/>
      <c r="E23" s="11" t="s">
        <v>441</v>
      </c>
      <c r="F23" s="12">
        <v>280</v>
      </c>
      <c r="G23" s="12">
        <v>1650</v>
      </c>
      <c r="H23" s="12">
        <v>2200</v>
      </c>
      <c r="I23" s="18">
        <v>3100</v>
      </c>
      <c r="J23" s="8"/>
      <c r="K23" s="17"/>
      <c r="L23" s="17"/>
      <c r="M23" s="17"/>
      <c r="N23" s="17"/>
    </row>
    <row r="24" spans="1:14">
      <c r="A24" s="10"/>
      <c r="B24" s="7"/>
      <c r="C24" s="8"/>
      <c r="D24" s="8"/>
      <c r="E24" s="5" t="s">
        <v>894</v>
      </c>
      <c r="F24" s="6">
        <v>100</v>
      </c>
      <c r="G24" s="6">
        <v>180</v>
      </c>
      <c r="H24" s="6">
        <v>380</v>
      </c>
      <c r="I24" s="15">
        <v>500</v>
      </c>
      <c r="J24" s="8"/>
      <c r="K24" s="17"/>
      <c r="L24" s="17"/>
      <c r="M24" s="17"/>
      <c r="N24" s="17"/>
    </row>
    <row r="25" spans="1:14">
      <c r="A25" s="3" t="s">
        <v>905</v>
      </c>
      <c r="B25" s="7" t="s">
        <v>904</v>
      </c>
      <c r="C25" s="8">
        <v>9</v>
      </c>
      <c r="D25" s="8">
        <v>275</v>
      </c>
      <c r="E25" s="9" t="s">
        <v>897</v>
      </c>
      <c r="F25" s="8">
        <v>150</v>
      </c>
      <c r="G25" s="8">
        <v>220</v>
      </c>
      <c r="H25" s="8">
        <v>200</v>
      </c>
      <c r="I25" s="16">
        <v>180</v>
      </c>
      <c r="J25" s="8"/>
      <c r="K25" s="17">
        <v>1.885</v>
      </c>
      <c r="L25" s="17">
        <v>1.764</v>
      </c>
      <c r="M25" s="17">
        <v>1.618</v>
      </c>
      <c r="N25" s="17">
        <v>1.436</v>
      </c>
    </row>
    <row r="26" spans="1:14">
      <c r="A26" s="10"/>
      <c r="B26" s="7"/>
      <c r="C26" s="8"/>
      <c r="D26" s="8"/>
      <c r="E26" s="11" t="s">
        <v>441</v>
      </c>
      <c r="F26" s="12">
        <v>300</v>
      </c>
      <c r="G26" s="12">
        <v>1200</v>
      </c>
      <c r="H26" s="12">
        <v>2000</v>
      </c>
      <c r="I26" s="18">
        <v>3000</v>
      </c>
      <c r="J26" s="8"/>
      <c r="K26" s="17"/>
      <c r="L26" s="17"/>
      <c r="M26" s="17"/>
      <c r="N26" s="17"/>
    </row>
    <row r="27" spans="1:14">
      <c r="A27" s="10"/>
      <c r="B27" s="7"/>
      <c r="C27" s="8"/>
      <c r="D27" s="8"/>
      <c r="E27" s="5" t="s">
        <v>894</v>
      </c>
      <c r="F27" s="6">
        <v>200</v>
      </c>
      <c r="G27" s="6">
        <v>290</v>
      </c>
      <c r="H27" s="6">
        <v>420</v>
      </c>
      <c r="I27" s="15">
        <v>650</v>
      </c>
      <c r="J27" s="8"/>
      <c r="K27" s="17"/>
      <c r="L27" s="17"/>
      <c r="M27" s="17"/>
      <c r="N27" s="17"/>
    </row>
    <row r="28" spans="1:14">
      <c r="A28" s="3" t="s">
        <v>906</v>
      </c>
      <c r="B28" s="7" t="s">
        <v>904</v>
      </c>
      <c r="C28" s="8">
        <v>10</v>
      </c>
      <c r="D28" s="8">
        <v>275</v>
      </c>
      <c r="E28" s="9" t="s">
        <v>897</v>
      </c>
      <c r="F28" s="8">
        <v>220</v>
      </c>
      <c r="G28" s="8">
        <v>180</v>
      </c>
      <c r="H28" s="8">
        <v>200</v>
      </c>
      <c r="I28" s="16">
        <v>240</v>
      </c>
      <c r="J28" s="8"/>
      <c r="K28" s="17">
        <v>1.384</v>
      </c>
      <c r="L28" s="17">
        <v>1.328</v>
      </c>
      <c r="M28" s="17">
        <v>1.256</v>
      </c>
      <c r="N28" s="17">
        <v>1.162</v>
      </c>
    </row>
    <row r="29" spans="1:14">
      <c r="A29" s="10"/>
      <c r="B29" s="7"/>
      <c r="C29" s="8"/>
      <c r="D29" s="8"/>
      <c r="E29" s="11" t="s">
        <v>441</v>
      </c>
      <c r="F29" s="12">
        <v>500</v>
      </c>
      <c r="G29" s="12">
        <v>1500</v>
      </c>
      <c r="H29" s="12">
        <v>2800</v>
      </c>
      <c r="I29" s="18">
        <v>3500</v>
      </c>
      <c r="J29" s="8"/>
      <c r="K29" s="17"/>
      <c r="L29" s="17"/>
      <c r="M29" s="17"/>
      <c r="N29" s="17"/>
    </row>
    <row r="30" spans="1:14">
      <c r="A30" s="10"/>
      <c r="B30" s="7"/>
      <c r="C30" s="8"/>
      <c r="D30" s="8"/>
      <c r="E30" s="5" t="s">
        <v>894</v>
      </c>
      <c r="F30" s="6">
        <v>100</v>
      </c>
      <c r="G30" s="6">
        <v>250</v>
      </c>
      <c r="H30" s="6">
        <v>380</v>
      </c>
      <c r="I30" s="15">
        <v>520</v>
      </c>
      <c r="J30" s="8"/>
      <c r="K30" s="17"/>
      <c r="L30" s="17"/>
      <c r="M30" s="17"/>
      <c r="N30" s="17"/>
    </row>
    <row r="31" spans="1:14">
      <c r="A31" s="3" t="s">
        <v>907</v>
      </c>
      <c r="B31" s="7" t="s">
        <v>904</v>
      </c>
      <c r="C31" s="8">
        <v>8</v>
      </c>
      <c r="D31" s="8">
        <v>275</v>
      </c>
      <c r="E31" s="9" t="s">
        <v>897</v>
      </c>
      <c r="F31" s="8">
        <v>120</v>
      </c>
      <c r="G31" s="8">
        <v>150</v>
      </c>
      <c r="H31" s="8">
        <v>160</v>
      </c>
      <c r="I31" s="16">
        <v>180</v>
      </c>
      <c r="J31" s="8"/>
      <c r="K31" s="17">
        <v>1.257</v>
      </c>
      <c r="L31" s="17">
        <v>1.202</v>
      </c>
      <c r="M31" s="17">
        <v>1.134</v>
      </c>
      <c r="N31" s="17">
        <v>1.047</v>
      </c>
    </row>
    <row r="32" spans="1:14">
      <c r="A32" s="10"/>
      <c r="B32" s="7"/>
      <c r="C32" s="8"/>
      <c r="D32" s="8"/>
      <c r="E32" s="11" t="s">
        <v>441</v>
      </c>
      <c r="F32" s="12">
        <v>300</v>
      </c>
      <c r="G32" s="12">
        <v>1200</v>
      </c>
      <c r="H32" s="12">
        <v>2200</v>
      </c>
      <c r="I32" s="18">
        <v>3200</v>
      </c>
      <c r="J32" s="8"/>
      <c r="K32" s="17"/>
      <c r="L32" s="17"/>
      <c r="M32" s="17"/>
      <c r="N32" s="17"/>
    </row>
    <row r="33" spans="1:14">
      <c r="A33" s="10"/>
      <c r="B33" s="7"/>
      <c r="C33" s="8"/>
      <c r="D33" s="8"/>
      <c r="E33" s="5" t="s">
        <v>894</v>
      </c>
      <c r="F33" s="6">
        <v>150</v>
      </c>
      <c r="G33" s="6">
        <v>250</v>
      </c>
      <c r="H33" s="6">
        <v>400</v>
      </c>
      <c r="I33" s="15">
        <v>520</v>
      </c>
      <c r="J33" s="8"/>
      <c r="K33" s="17"/>
      <c r="L33" s="17"/>
      <c r="M33" s="17"/>
      <c r="N33" s="17"/>
    </row>
    <row r="34" spans="1:14">
      <c r="A34" s="3" t="s">
        <v>908</v>
      </c>
      <c r="B34" s="7" t="s">
        <v>904</v>
      </c>
      <c r="C34" s="8">
        <v>10</v>
      </c>
      <c r="D34" s="8">
        <v>265</v>
      </c>
      <c r="E34" s="9" t="s">
        <v>897</v>
      </c>
      <c r="F34" s="8">
        <v>125</v>
      </c>
      <c r="G34" s="8">
        <v>180</v>
      </c>
      <c r="H34" s="8">
        <v>160</v>
      </c>
      <c r="I34" s="16">
        <v>150</v>
      </c>
      <c r="J34" s="8"/>
      <c r="K34" s="17">
        <v>1.252</v>
      </c>
      <c r="L34" s="17">
        <v>1.193</v>
      </c>
      <c r="M34" s="17">
        <v>1.118</v>
      </c>
      <c r="N34" s="17">
        <v>1.021</v>
      </c>
    </row>
    <row r="35" spans="1:14">
      <c r="A35" s="10"/>
      <c r="B35" s="7"/>
      <c r="C35" s="8"/>
      <c r="D35" s="8"/>
      <c r="E35" s="11" t="s">
        <v>441</v>
      </c>
      <c r="F35" s="12">
        <v>500</v>
      </c>
      <c r="G35" s="12">
        <v>1500</v>
      </c>
      <c r="H35" s="12">
        <v>2400</v>
      </c>
      <c r="I35" s="18">
        <v>3500</v>
      </c>
      <c r="J35" s="8"/>
      <c r="K35" s="17"/>
      <c r="L35" s="17"/>
      <c r="M35" s="17"/>
      <c r="N35" s="17"/>
    </row>
    <row r="36" spans="1:14">
      <c r="A36" s="10"/>
      <c r="B36" s="7"/>
      <c r="C36" s="8"/>
      <c r="D36" s="8"/>
      <c r="E36" s="5" t="s">
        <v>894</v>
      </c>
      <c r="F36" s="6">
        <v>100</v>
      </c>
      <c r="G36" s="6">
        <v>180</v>
      </c>
      <c r="H36" s="6">
        <v>360</v>
      </c>
      <c r="I36" s="15">
        <v>500</v>
      </c>
      <c r="J36" s="8"/>
      <c r="K36" s="17"/>
      <c r="L36" s="17"/>
      <c r="M36" s="17"/>
      <c r="N36" s="17"/>
    </row>
    <row r="37" spans="1:14">
      <c r="A37" s="3" t="s">
        <v>909</v>
      </c>
      <c r="B37" s="7" t="s">
        <v>904</v>
      </c>
      <c r="C37" s="8">
        <v>9</v>
      </c>
      <c r="D37" s="8">
        <v>240</v>
      </c>
      <c r="E37" s="9" t="s">
        <v>897</v>
      </c>
      <c r="F37" s="8">
        <v>150</v>
      </c>
      <c r="G37" s="8">
        <v>200</v>
      </c>
      <c r="H37" s="8">
        <v>250</v>
      </c>
      <c r="I37" s="16">
        <v>220</v>
      </c>
      <c r="J37" s="8"/>
      <c r="K37" s="17">
        <v>1.935</v>
      </c>
      <c r="L37" s="17">
        <v>1.84</v>
      </c>
      <c r="M37" s="17">
        <v>1.723</v>
      </c>
      <c r="N37" s="17">
        <v>1.578</v>
      </c>
    </row>
    <row r="38" spans="1:14">
      <c r="A38" s="10"/>
      <c r="B38" s="7"/>
      <c r="C38" s="8"/>
      <c r="D38" s="8"/>
      <c r="E38" s="11" t="s">
        <v>441</v>
      </c>
      <c r="F38" s="12">
        <v>480</v>
      </c>
      <c r="G38" s="12">
        <v>1620</v>
      </c>
      <c r="H38" s="12">
        <v>2300</v>
      </c>
      <c r="I38" s="18">
        <v>3000</v>
      </c>
      <c r="J38" s="8"/>
      <c r="K38" s="17"/>
      <c r="L38" s="17"/>
      <c r="M38" s="17"/>
      <c r="N38" s="17"/>
    </row>
    <row r="39" spans="1:14">
      <c r="A39" s="10"/>
      <c r="B39" s="7"/>
      <c r="C39" s="8"/>
      <c r="D39" s="8"/>
      <c r="E39" s="5" t="s">
        <v>894</v>
      </c>
      <c r="F39" s="6">
        <v>120</v>
      </c>
      <c r="G39" s="6">
        <v>170</v>
      </c>
      <c r="H39" s="6">
        <v>300</v>
      </c>
      <c r="I39" s="15">
        <v>400</v>
      </c>
      <c r="J39" s="8"/>
      <c r="K39" s="17"/>
      <c r="L39" s="17"/>
      <c r="M39" s="17"/>
      <c r="N39" s="17"/>
    </row>
    <row r="40" spans="1:14">
      <c r="A40" s="3" t="s">
        <v>910</v>
      </c>
      <c r="B40" s="7" t="s">
        <v>904</v>
      </c>
      <c r="C40" s="8">
        <v>10</v>
      </c>
      <c r="D40" s="8">
        <v>255</v>
      </c>
      <c r="E40" s="9" t="s">
        <v>897</v>
      </c>
      <c r="F40" s="8">
        <v>150</v>
      </c>
      <c r="G40" s="8">
        <v>200</v>
      </c>
      <c r="H40" s="8">
        <v>220</v>
      </c>
      <c r="I40" s="16">
        <v>250</v>
      </c>
      <c r="J40" s="8"/>
      <c r="K40" s="17">
        <v>2.047</v>
      </c>
      <c r="L40" s="17">
        <v>1.973</v>
      </c>
      <c r="M40" s="17">
        <v>1.879</v>
      </c>
      <c r="N40" s="17">
        <v>1.758</v>
      </c>
    </row>
    <row r="41" spans="1:14">
      <c r="A41" s="10"/>
      <c r="B41" s="7"/>
      <c r="C41" s="8"/>
      <c r="D41" s="8"/>
      <c r="E41" s="11" t="s">
        <v>441</v>
      </c>
      <c r="F41" s="12">
        <v>320</v>
      </c>
      <c r="G41" s="12">
        <v>1200</v>
      </c>
      <c r="H41" s="12">
        <v>2000</v>
      </c>
      <c r="I41" s="18">
        <v>2800</v>
      </c>
      <c r="J41" s="8"/>
      <c r="K41" s="17"/>
      <c r="L41" s="17"/>
      <c r="M41" s="17"/>
      <c r="N41" s="17"/>
    </row>
    <row r="42" spans="1:14">
      <c r="A42" s="10"/>
      <c r="B42" s="7"/>
      <c r="C42" s="8"/>
      <c r="D42" s="8"/>
      <c r="E42" s="5" t="s">
        <v>894</v>
      </c>
      <c r="F42" s="6">
        <v>100</v>
      </c>
      <c r="G42" s="6">
        <v>160</v>
      </c>
      <c r="H42" s="6">
        <v>450</v>
      </c>
      <c r="I42" s="15">
        <v>640</v>
      </c>
      <c r="J42" s="8"/>
      <c r="K42" s="17"/>
      <c r="L42" s="17"/>
      <c r="M42" s="17"/>
      <c r="N42" s="17"/>
    </row>
    <row r="43" spans="1:14">
      <c r="A43" s="3" t="s">
        <v>911</v>
      </c>
      <c r="B43" s="7" t="s">
        <v>904</v>
      </c>
      <c r="C43" s="8">
        <v>8</v>
      </c>
      <c r="D43" s="8">
        <v>264</v>
      </c>
      <c r="E43" s="9" t="s">
        <v>897</v>
      </c>
      <c r="F43" s="8">
        <v>200</v>
      </c>
      <c r="G43" s="8">
        <v>250</v>
      </c>
      <c r="H43" s="8">
        <v>280</v>
      </c>
      <c r="I43" s="16">
        <v>320</v>
      </c>
      <c r="J43" s="8"/>
      <c r="K43" s="17">
        <v>2.228</v>
      </c>
      <c r="L43" s="17">
        <v>2.079</v>
      </c>
      <c r="M43" s="17">
        <v>1.904</v>
      </c>
      <c r="N43" s="17">
        <v>1.694</v>
      </c>
    </row>
    <row r="44" spans="1:14">
      <c r="A44" s="10"/>
      <c r="B44" s="7"/>
      <c r="C44" s="8"/>
      <c r="D44" s="8"/>
      <c r="E44" s="11" t="s">
        <v>441</v>
      </c>
      <c r="F44" s="12">
        <v>600</v>
      </c>
      <c r="G44" s="12">
        <v>1000</v>
      </c>
      <c r="H44" s="12">
        <v>1500</v>
      </c>
      <c r="I44" s="18">
        <v>3000</v>
      </c>
      <c r="J44" s="8"/>
      <c r="K44" s="17"/>
      <c r="L44" s="17"/>
      <c r="M44" s="17"/>
      <c r="N44" s="17"/>
    </row>
    <row r="45" spans="1:14">
      <c r="A45" s="10"/>
      <c r="B45" s="7"/>
      <c r="C45" s="8"/>
      <c r="D45" s="8"/>
      <c r="E45" s="5" t="s">
        <v>894</v>
      </c>
      <c r="F45" s="6">
        <v>100</v>
      </c>
      <c r="G45" s="6">
        <v>160</v>
      </c>
      <c r="H45" s="6">
        <v>450</v>
      </c>
      <c r="I45" s="15">
        <v>640</v>
      </c>
      <c r="J45" s="8"/>
      <c r="K45" s="17"/>
      <c r="L45" s="17"/>
      <c r="M45" s="17"/>
      <c r="N45" s="17"/>
    </row>
    <row r="46" spans="1:14">
      <c r="A46" s="3" t="s">
        <v>912</v>
      </c>
      <c r="B46" s="7" t="s">
        <v>904</v>
      </c>
      <c r="C46" s="8">
        <v>8</v>
      </c>
      <c r="D46" s="8">
        <v>239</v>
      </c>
      <c r="E46" s="9" t="s">
        <v>897</v>
      </c>
      <c r="F46" s="8">
        <v>200</v>
      </c>
      <c r="G46" s="8">
        <v>250</v>
      </c>
      <c r="H46" s="8">
        <v>280</v>
      </c>
      <c r="I46" s="16">
        <v>320</v>
      </c>
      <c r="J46" s="8"/>
      <c r="K46" s="17">
        <v>2.228</v>
      </c>
      <c r="L46" s="17">
        <v>2.079</v>
      </c>
      <c r="M46" s="17">
        <v>1.904</v>
      </c>
      <c r="N46" s="17">
        <v>1.694</v>
      </c>
    </row>
    <row r="47" spans="5:14">
      <c r="E47" s="11" t="s">
        <v>441</v>
      </c>
      <c r="F47" s="12">
        <v>700</v>
      </c>
      <c r="G47" s="12">
        <v>1200</v>
      </c>
      <c r="H47" s="12">
        <v>1800</v>
      </c>
      <c r="I47" s="18">
        <v>3500</v>
      </c>
      <c r="K47" s="17"/>
      <c r="L47" s="17"/>
      <c r="M47" s="17"/>
      <c r="N47" s="17"/>
    </row>
    <row r="48" spans="1:14">
      <c r="A48" s="10"/>
      <c r="B48" s="7"/>
      <c r="C48" s="8"/>
      <c r="D48" s="8"/>
      <c r="E48" s="5" t="s">
        <v>894</v>
      </c>
      <c r="F48" s="6">
        <v>100</v>
      </c>
      <c r="G48" s="6">
        <v>150</v>
      </c>
      <c r="H48" s="6">
        <v>450</v>
      </c>
      <c r="I48" s="15">
        <v>650</v>
      </c>
      <c r="J48" s="8"/>
      <c r="K48" s="17"/>
      <c r="L48" s="17"/>
      <c r="M48" s="17"/>
      <c r="N48" s="17"/>
    </row>
    <row r="49" spans="1:14">
      <c r="A49" s="13" t="s">
        <v>913</v>
      </c>
      <c r="B49" s="7" t="s">
        <v>904</v>
      </c>
      <c r="C49" s="8">
        <v>8</v>
      </c>
      <c r="D49" s="8">
        <v>280</v>
      </c>
      <c r="E49" s="9" t="s">
        <v>897</v>
      </c>
      <c r="F49" s="8">
        <v>200</v>
      </c>
      <c r="G49" s="8">
        <v>250</v>
      </c>
      <c r="H49" s="8">
        <v>300</v>
      </c>
      <c r="I49" s="16">
        <v>300</v>
      </c>
      <c r="J49" s="8"/>
      <c r="K49" s="17"/>
      <c r="L49" s="17"/>
      <c r="M49" s="17"/>
      <c r="N49" s="17"/>
    </row>
    <row r="50" spans="1:14">
      <c r="A50" s="10"/>
      <c r="B50" s="7"/>
      <c r="C50" s="8"/>
      <c r="D50" s="8"/>
      <c r="E50" s="11" t="s">
        <v>441</v>
      </c>
      <c r="F50" s="12">
        <v>800</v>
      </c>
      <c r="G50" s="12">
        <v>1300</v>
      </c>
      <c r="H50" s="12">
        <v>1800</v>
      </c>
      <c r="I50" s="18">
        <v>3600</v>
      </c>
      <c r="J50" s="8"/>
      <c r="K50" s="17"/>
      <c r="L50" s="17"/>
      <c r="M50" s="17"/>
      <c r="N50" s="17"/>
    </row>
    <row r="51" spans="1:14">
      <c r="A51" s="10"/>
      <c r="B51" s="7"/>
      <c r="C51" s="8"/>
      <c r="D51" s="8"/>
      <c r="E51" s="5" t="s">
        <v>894</v>
      </c>
      <c r="F51" s="6">
        <v>100</v>
      </c>
      <c r="G51" s="6">
        <v>140</v>
      </c>
      <c r="H51" s="6">
        <v>440</v>
      </c>
      <c r="I51" s="15">
        <v>640</v>
      </c>
      <c r="J51" s="8"/>
      <c r="K51" s="17"/>
      <c r="L51" s="17"/>
      <c r="M51" s="17"/>
      <c r="N51" s="17"/>
    </row>
    <row r="52" spans="1:14">
      <c r="A52" s="13" t="s">
        <v>914</v>
      </c>
      <c r="B52" s="7" t="s">
        <v>904</v>
      </c>
      <c r="C52" s="8">
        <v>8</v>
      </c>
      <c r="D52" s="8">
        <v>245</v>
      </c>
      <c r="E52" s="9" t="s">
        <v>897</v>
      </c>
      <c r="F52" s="8">
        <v>200</v>
      </c>
      <c r="G52" s="8">
        <v>240</v>
      </c>
      <c r="H52" s="8">
        <v>300</v>
      </c>
      <c r="I52" s="16">
        <v>300</v>
      </c>
      <c r="J52" s="8"/>
      <c r="K52" s="17"/>
      <c r="L52" s="17"/>
      <c r="M52" s="17"/>
      <c r="N52" s="17"/>
    </row>
    <row r="53" spans="1:14">
      <c r="A53" s="10"/>
      <c r="B53" s="7"/>
      <c r="C53" s="8"/>
      <c r="D53" s="8"/>
      <c r="E53" s="11" t="s">
        <v>441</v>
      </c>
      <c r="F53" s="12">
        <v>750</v>
      </c>
      <c r="G53" s="12">
        <v>1250</v>
      </c>
      <c r="H53" s="12">
        <v>1750</v>
      </c>
      <c r="I53" s="18">
        <v>3550</v>
      </c>
      <c r="J53" s="8"/>
      <c r="K53" s="17"/>
      <c r="L53" s="17"/>
      <c r="M53" s="17"/>
      <c r="N53" s="17"/>
    </row>
    <row r="54" spans="1:14">
      <c r="A54" s="10"/>
      <c r="B54" s="7"/>
      <c r="C54" s="8"/>
      <c r="D54" s="8"/>
      <c r="E54" s="5" t="s">
        <v>894</v>
      </c>
      <c r="F54" s="6">
        <v>100</v>
      </c>
      <c r="G54" s="6">
        <v>160</v>
      </c>
      <c r="H54" s="6">
        <v>240</v>
      </c>
      <c r="I54" s="15">
        <v>300</v>
      </c>
      <c r="J54" s="8"/>
      <c r="K54" s="17"/>
      <c r="L54" s="17"/>
      <c r="M54" s="17"/>
      <c r="N54" s="17"/>
    </row>
    <row r="55" spans="1:18">
      <c r="A55" s="13" t="s">
        <v>915</v>
      </c>
      <c r="B55" s="7" t="s">
        <v>904</v>
      </c>
      <c r="C55" s="8">
        <v>14</v>
      </c>
      <c r="D55" s="8">
        <v>260</v>
      </c>
      <c r="E55" s="9" t="s">
        <v>897</v>
      </c>
      <c r="F55" s="8">
        <v>90</v>
      </c>
      <c r="G55" s="8">
        <v>125</v>
      </c>
      <c r="H55" s="8">
        <v>160</v>
      </c>
      <c r="I55" s="16">
        <v>170</v>
      </c>
      <c r="J55" s="8"/>
      <c r="K55" s="17"/>
      <c r="L55" s="17"/>
      <c r="M55" s="17"/>
      <c r="N55" s="17"/>
      <c r="O55" s="19">
        <v>2.43</v>
      </c>
      <c r="P55" s="19">
        <v>2.43</v>
      </c>
      <c r="Q55" s="19">
        <v>2.16</v>
      </c>
      <c r="R55" s="19">
        <v>2.16</v>
      </c>
    </row>
    <row r="56" spans="1:14">
      <c r="A56" s="10"/>
      <c r="B56" s="7"/>
      <c r="C56" s="8"/>
      <c r="D56" s="8"/>
      <c r="E56" s="11" t="s">
        <v>441</v>
      </c>
      <c r="F56" s="12">
        <v>500</v>
      </c>
      <c r="G56" s="12">
        <v>1000</v>
      </c>
      <c r="H56" s="12">
        <v>1600</v>
      </c>
      <c r="I56" s="18">
        <v>2600</v>
      </c>
      <c r="J56" s="8"/>
      <c r="K56" s="17"/>
      <c r="L56" s="17"/>
      <c r="M56" s="17"/>
      <c r="N56" s="17"/>
    </row>
    <row r="57" spans="1:14">
      <c r="A57" s="10"/>
      <c r="B57" s="7"/>
      <c r="C57" s="8"/>
      <c r="D57" s="8"/>
      <c r="E57" s="5" t="s">
        <v>894</v>
      </c>
      <c r="F57" s="6">
        <v>120</v>
      </c>
      <c r="G57" s="6">
        <v>170</v>
      </c>
      <c r="H57" s="6">
        <v>250</v>
      </c>
      <c r="I57" s="15">
        <v>350</v>
      </c>
      <c r="J57" s="8"/>
      <c r="K57" s="17"/>
      <c r="L57" s="17"/>
      <c r="M57" s="17"/>
      <c r="N57" s="17"/>
    </row>
    <row r="58" spans="1:18">
      <c r="A58" s="13" t="s">
        <v>916</v>
      </c>
      <c r="B58" s="7" t="s">
        <v>904</v>
      </c>
      <c r="C58" s="8">
        <v>12</v>
      </c>
      <c r="D58" s="8">
        <v>250</v>
      </c>
      <c r="E58" s="9" t="s">
        <v>897</v>
      </c>
      <c r="F58" s="8">
        <v>80</v>
      </c>
      <c r="G58" s="8">
        <v>100</v>
      </c>
      <c r="H58" s="8">
        <v>130</v>
      </c>
      <c r="I58" s="16">
        <v>160</v>
      </c>
      <c r="J58" s="8"/>
      <c r="K58" s="17"/>
      <c r="L58" s="17"/>
      <c r="M58" s="17"/>
      <c r="N58" s="17"/>
      <c r="O58" s="20">
        <v>2.57</v>
      </c>
      <c r="P58" s="20">
        <v>2.396</v>
      </c>
      <c r="Q58" s="20">
        <v>2.299</v>
      </c>
      <c r="R58" s="20">
        <v>2.094</v>
      </c>
    </row>
    <row r="59" ht="16.1" spans="1:14">
      <c r="A59" s="14"/>
      <c r="E59" s="11" t="s">
        <v>441</v>
      </c>
      <c r="F59" s="12">
        <v>600</v>
      </c>
      <c r="G59" s="12">
        <v>1000</v>
      </c>
      <c r="H59" s="12">
        <v>1600</v>
      </c>
      <c r="I59" s="18">
        <v>2600</v>
      </c>
      <c r="K59" s="17"/>
      <c r="L59" s="17"/>
      <c r="M59" s="17"/>
      <c r="N59" s="17"/>
    </row>
    <row r="60" spans="5:9">
      <c r="E60" s="1" t="s">
        <v>229</v>
      </c>
      <c r="F60" s="1">
        <v>100</v>
      </c>
      <c r="G60" s="1">
        <v>150</v>
      </c>
      <c r="H60" s="1">
        <v>190</v>
      </c>
      <c r="I60" s="1">
        <v>280</v>
      </c>
    </row>
    <row r="61" spans="1:9">
      <c r="A61" s="1" t="s">
        <v>917</v>
      </c>
      <c r="B61" s="1" t="s">
        <v>904</v>
      </c>
      <c r="C61" s="1">
        <v>12</v>
      </c>
      <c r="E61" s="1" t="s">
        <v>231</v>
      </c>
      <c r="F61" s="1">
        <v>70</v>
      </c>
      <c r="G61" s="1">
        <v>90</v>
      </c>
      <c r="H61" s="1">
        <v>100</v>
      </c>
      <c r="I61" s="1">
        <v>120</v>
      </c>
    </row>
    <row r="62" spans="5:9">
      <c r="E62" s="1" t="s">
        <v>234</v>
      </c>
      <c r="F62" s="1">
        <v>600</v>
      </c>
      <c r="G62" s="1">
        <v>1000</v>
      </c>
      <c r="H62" s="1">
        <v>1900</v>
      </c>
      <c r="I62" s="1">
        <v>2600</v>
      </c>
    </row>
    <row r="63" spans="5:9">
      <c r="E63" s="1" t="s">
        <v>229</v>
      </c>
      <c r="F63" s="1">
        <v>70</v>
      </c>
      <c r="G63" s="1">
        <v>120</v>
      </c>
      <c r="H63" s="1">
        <v>180</v>
      </c>
      <c r="I63" s="1">
        <v>250</v>
      </c>
    </row>
    <row r="64" spans="1:9">
      <c r="A64" s="1" t="s">
        <v>918</v>
      </c>
      <c r="B64" s="1" t="s">
        <v>904</v>
      </c>
      <c r="C64" s="1">
        <v>15</v>
      </c>
      <c r="E64" s="1" t="s">
        <v>231</v>
      </c>
      <c r="F64" s="1">
        <v>90</v>
      </c>
      <c r="G64" s="1">
        <v>140</v>
      </c>
      <c r="H64" s="1">
        <v>160</v>
      </c>
      <c r="I64" s="1">
        <v>180</v>
      </c>
    </row>
    <row r="65" spans="5:9">
      <c r="E65" s="1" t="s">
        <v>234</v>
      </c>
      <c r="F65" s="1">
        <v>600</v>
      </c>
      <c r="G65" s="1">
        <v>1200</v>
      </c>
      <c r="H65" s="1">
        <v>2000</v>
      </c>
      <c r="I65" s="1">
        <v>3200</v>
      </c>
    </row>
    <row r="66" spans="1:2">
      <c r="A66" s="1" t="s">
        <v>919</v>
      </c>
      <c r="B66" s="1" t="s">
        <v>904</v>
      </c>
    </row>
  </sheetData>
  <mergeCells count="1">
    <mergeCell ref="K1:N1"/>
  </mergeCells>
  <pageMargins left="0.75" right="0.75" top="1" bottom="1" header="0.511111111111111" footer="0.511111111111111"/>
  <pageSetup paperSize="9" orientation="portrait" horizontalDpi="1200"/>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
  <sheetViews>
    <sheetView topLeftCell="A16" workbookViewId="0">
      <selection activeCell="J113" sqref="J113"/>
    </sheetView>
  </sheetViews>
  <sheetFormatPr defaultColWidth="9" defaultRowHeight="13.5"/>
  <sheetData/>
  <pageMargins left="0.75" right="0.75" top="1" bottom="1" header="0.5" footer="0.5"/>
  <pageSetup paperSize="9" orientation="portrait"/>
  <headerFooter alignWithMargins="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78" master="" otherUserPermission="visible"/>
  <rangeList sheetStid="1" master="" otherUserPermission="visible"/>
  <rangeList sheetStid="50" master="" otherUserPermission="visible"/>
  <rangeList sheetStid="16" master="" otherUserPermission="visible"/>
  <rangeList sheetStid="2" master="" otherUserPermission="visible">
    <arrUserId title="区域1" rangeCreator="" othersAccessPermission="edit"/>
    <arrUserId title="区域1_6" rangeCreator="" othersAccessPermission="edit"/>
  </rangeList>
  <rangeList sheetStid="40" master="" otherUserPermission="visible">
    <arrUserId title="区域1" rangeCreator="" othersAccessPermission="edit"/>
    <arrUserId title="区域1_1" rangeCreator="" othersAccessPermission="edit"/>
    <arrUserId title="区域1_2" rangeCreator="" othersAccessPermission="edit"/>
    <arrUserId title="区域1_3" rangeCreator="" othersAccessPermission="edit"/>
    <arrUserId title="区域1_17" rangeCreator="" othersAccessPermission="edit"/>
    <arrUserId title="区域1_17_1" rangeCreator="" othersAccessPermission="edit"/>
    <arrUserId title="区域1_17_2" rangeCreator="" othersAccessPermission="edit"/>
    <arrUserId title="区域1_17_4" rangeCreator="" othersAccessPermission="edit"/>
    <arrUserId title="区域1_18" rangeCreator="" othersAccessPermission="edit"/>
    <arrUserId title="区域1_4" rangeCreator="" othersAccessPermission="edit"/>
    <arrUserId title="区域1_15" rangeCreator="" othersAccessPermission="edit"/>
    <arrUserId title="区域1_17_3_1" rangeCreator="" othersAccessPermission="edit"/>
    <arrUserId title="区域1_8" rangeCreator="" othersAccessPermission="edit"/>
    <arrUserId title="区域1_9" rangeCreator="" othersAccessPermission="edit"/>
    <arrUserId title="区域1_7_2" rangeCreator="" othersAccessPermission="edit"/>
    <arrUserId title="区域1_7_1_1_1" rangeCreator="" othersAccessPermission="edit"/>
    <arrUserId title="区域1_17_5" rangeCreator="" othersAccessPermission="edit"/>
    <arrUserId title="区域1_6_2_1_2" rangeCreator="" othersAccessPermission="edit"/>
    <arrUserId title="区域1_5" rangeCreator="" othersAccessPermission="edit"/>
    <arrUserId title="区域1_15_1" rangeCreator="" othersAccessPermission="edit"/>
    <arrUserId title="区域3" rangeCreator="" othersAccessPermission="edit"/>
    <arrUserId title="区域1_6" rangeCreator="" othersAccessPermission="edit"/>
    <arrUserId title="区域1_12" rangeCreator="" othersAccessPermission="edit"/>
    <arrUserId title="区域1_19_1" rangeCreator="" othersAccessPermission="edit"/>
    <arrUserId title="区域1_12_1" rangeCreator="" othersAccessPermission="edit"/>
    <arrUserId title="区域1_17_1_1" rangeCreator="" othersAccessPermission="edit"/>
    <arrUserId title="区域1_5_1_1_1" rangeCreator="" othersAccessPermission="edit"/>
    <arrUserId title="区域1_7" rangeCreator="" othersAccessPermission="edit"/>
    <arrUserId title="区域2" rangeCreator="" othersAccessPermission="edit"/>
    <arrUserId title="区域1_1_1_1" rangeCreator="" othersAccessPermission="edit"/>
    <arrUserId title="区域1_14_1" rangeCreator="" othersAccessPermission="edit"/>
    <arrUserId title="区域1_25_1" rangeCreator="" othersAccessPermission="edit"/>
    <arrUserId title="区域2_1" rangeCreator="" othersAccessPermission="edit"/>
    <arrUserId title="区域1_27_1" rangeCreator="" othersAccessPermission="edit"/>
    <arrUserId title="区域1_14_1_1" rangeCreator="" othersAccessPermission="edit"/>
    <arrUserId title="区域1_10" rangeCreator="" othersAccessPermission="edit"/>
    <arrUserId title="区域1_11" rangeCreator="" othersAccessPermission="edit"/>
    <arrUserId title="区域1_6_1" rangeCreator="" othersAccessPermission="edit"/>
  </rangeList>
  <rangeList sheetStid="41" master="" otherUserPermission="visible">
    <arrUserId title="区域2" rangeCreator="" othersAccessPermission="edit"/>
    <arrUserId title="区域1_1" rangeCreator="" othersAccessPermission="edit"/>
    <arrUserId title="区域1" rangeCreator="" othersAccessPermission="edit"/>
    <arrUserId title="区域1_2" rangeCreator="" othersAccessPermission="edit"/>
    <arrUserId title="区域1_4" rangeCreator="" othersAccessPermission="edit"/>
    <arrUserId title="区域1_5" rangeCreator="" othersAccessPermission="edit"/>
    <arrUserId title="区域1_7" rangeCreator="" othersAccessPermission="edit"/>
    <arrUserId title="区域1_6" rangeCreator="" othersAccessPermission="edit"/>
    <arrUserId title="区域1_8" rangeCreator="" othersAccessPermission="edit"/>
    <arrUserId title="区域1_9" rangeCreator="" othersAccessPermission="edit"/>
    <arrUserId title="区域1_12" rangeCreator="" othersAccessPermission="edit"/>
    <arrUserId title="区域2_1_1_3_1" rangeCreator="" othersAccessPermission="edit"/>
    <arrUserId title="区域2_1_1_3_2" rangeCreator="" othersAccessPermission="edit"/>
    <arrUserId title="区域1_11" rangeCreator="" othersAccessPermission="edit"/>
    <arrUserId title="区域1_10" rangeCreator="" othersAccessPermission="edit"/>
    <arrUserId title="区域2_1" rangeCreator="" othersAccessPermission="edit"/>
    <arrUserId title="区域1_18" rangeCreator="" othersAccessPermission="edit"/>
    <arrUserId title="区域1_17_1" rangeCreator="" othersAccessPermission="edit"/>
    <arrUserId title="区域1_17_1_1" rangeCreator="" othersAccessPermission="edit"/>
    <arrUserId title="区域1_17_2" rangeCreator="" othersAccessPermission="edit"/>
    <arrUserId title="区域1_17_4" rangeCreator="" othersAccessPermission="edit"/>
    <arrUserId title="区域1_18_1" rangeCreator="" othersAccessPermission="edit"/>
    <arrUserId title="区域1_15_1" rangeCreator="" othersAccessPermission="edit"/>
    <arrUserId title="区域1_17_3_1" rangeCreator="" othersAccessPermission="edit"/>
    <arrUserId title="区域1_16" rangeCreator="" othersAccessPermission="edit"/>
    <arrUserId title="区域1_17" rangeCreator="" othersAccessPermission="edit"/>
    <arrUserId title="区域1_9_1" rangeCreator="" othersAccessPermission="edit"/>
    <arrUserId title="区域1_7_2" rangeCreator="" othersAccessPermission="edit"/>
    <arrUserId title="区域1_6_2_1" rangeCreator="" othersAccessPermission="edit"/>
    <arrUserId title="区域1_7_1_1_1" rangeCreator="" othersAccessPermission="edit"/>
    <arrUserId title="区域1_20" rangeCreator="" othersAccessPermission="edit"/>
    <arrUserId title="区域1_21" rangeCreator="" othersAccessPermission="edit"/>
    <arrUserId title="区域1_15" rangeCreator="" othersAccessPermission="edit"/>
    <arrUserId title="区域1_15_1_1" rangeCreator="" othersAccessPermission="edit"/>
    <arrUserId title="区域1_4_1" rangeCreator="" othersAccessPermission="edit"/>
    <arrUserId title="区域3" rangeCreator="" othersAccessPermission="edit"/>
    <arrUserId title="区域3_1" rangeCreator="" othersAccessPermission="edit"/>
    <arrUserId title="区域1_23" rangeCreator="" othersAccessPermission="edit"/>
    <arrUserId title="区域1_3" rangeCreator="" othersAccessPermission="edit"/>
    <arrUserId title="区域1_12_1" rangeCreator="" othersAccessPermission="edit"/>
    <arrUserId title="区域1_19_1" rangeCreator="" othersAccessPermission="edit"/>
    <arrUserId title="区域1_12_1_1" rangeCreator="" othersAccessPermission="edit"/>
    <arrUserId title="区域1_17_1_2" rangeCreator="" othersAccessPermission="edit"/>
    <arrUserId title="区域1_5_1_1_1" rangeCreator="" othersAccessPermission="edit"/>
    <arrUserId title="区域1_13" rangeCreator="" othersAccessPermission="edit"/>
    <arrUserId title="区域1_14" rangeCreator="" othersAccessPermission="edit"/>
    <arrUserId title="区域2_2" rangeCreator="" othersAccessPermission="edit"/>
    <arrUserId title="区域1_1_1" rangeCreator="" othersAccessPermission="edit"/>
    <arrUserId title="区域1_1_2" rangeCreator="" othersAccessPermission="edit"/>
    <arrUserId title="区域3_2" rangeCreator="" othersAccessPermission="edit"/>
    <arrUserId title="区域1_14_1" rangeCreator="" othersAccessPermission="edit"/>
    <arrUserId title="区域1_25" rangeCreator="" othersAccessPermission="edit"/>
    <arrUserId title="区域1_1_3" rangeCreator="" othersAccessPermission="edit"/>
    <arrUserId title="区域1_1_3_1" rangeCreator="" othersAccessPermission="edit"/>
    <arrUserId title="区域1_1_3_2" rangeCreator="" othersAccessPermission="edit"/>
    <arrUserId title="区域1_19" rangeCreator="" othersAccessPermission="edit"/>
    <arrUserId title="区域1_7_1" rangeCreator="" othersAccessPermission="edit"/>
    <arrUserId title="区域1_7_3" rangeCreator="" othersAccessPermission="edit"/>
    <arrUserId title="区域1_22" rangeCreator="" othersAccessPermission="edit"/>
    <arrUserId title="区域1_24" rangeCreator="" othersAccessPermission="edit"/>
    <arrUserId title="区域1_26" rangeCreator="" othersAccessPermission="edit"/>
    <arrUserId title="区域1_27_1" rangeCreator="" othersAccessPermission="edit"/>
    <arrUserId title="区域1_14_1_1" rangeCreator="" othersAccessPermission="edit"/>
    <arrUserId title="区域1_27" rangeCreator="" othersAccessPermission="edit"/>
    <arrUserId title="区域1_11_1" rangeCreator="" othersAccessPermission="edit"/>
    <arrUserId title="区域1_6_1" rangeCreator="" othersAccessPermission="edit"/>
  </rangeList>
  <rangeList sheetStid="42" master="" otherUserPermission="visible">
    <arrUserId title="区域3" rangeCreator="" othersAccessPermission="edit"/>
    <arrUserId title="区域1" rangeCreator="" othersAccessPermission="edit"/>
    <arrUserId title="区域1_1" rangeCreator="" othersAccessPermission="edit"/>
    <arrUserId title="区域1_4" rangeCreator="" othersAccessPermission="edit"/>
    <arrUserId title="区域1_3" rangeCreator="" othersAccessPermission="edit"/>
    <arrUserId title="区域2" rangeCreator="" othersAccessPermission="edit"/>
    <arrUserId title="区域1_6" rangeCreator="" othersAccessPermission="edit"/>
    <arrUserId title="区域1_10" rangeCreator="" othersAccessPermission="edit"/>
    <arrUserId title="区域1_8" rangeCreator="" othersAccessPermission="edit"/>
    <arrUserId title="区域1_11" rangeCreator="" othersAccessPermission="edit"/>
    <arrUserId title="区域2_1_1_3" rangeCreator="" othersAccessPermission="edit"/>
    <arrUserId title="区域2_1_1_3_1" rangeCreator="" othersAccessPermission="edit"/>
    <arrUserId title="区域2_1_1_3_1_1" rangeCreator="" othersAccessPermission="edit"/>
    <arrUserId title="区域2_1_1_3_1_2_1" rangeCreator="" othersAccessPermission="edit"/>
    <arrUserId title="区域2_1_1_3_2_7" rangeCreator="" othersAccessPermission="edit"/>
    <arrUserId title="区域1_13" rangeCreator="" othersAccessPermission="edit"/>
    <arrUserId title="区域1_12" rangeCreator="" othersAccessPermission="edit"/>
    <arrUserId title="区域2_1" rangeCreator="" othersAccessPermission="edit"/>
    <arrUserId title="区域2_2" rangeCreator="" othersAccessPermission="edit"/>
    <arrUserId title="区域2_3" rangeCreator="" othersAccessPermission="edit"/>
    <arrUserId title="区域2_5" rangeCreator="" othersAccessPermission="edit"/>
    <arrUserId title="区域1_18" rangeCreator="" othersAccessPermission="edit"/>
    <arrUserId title="区域1_15" rangeCreator="" othersAccessPermission="edit"/>
    <arrUserId title="区域1_17_3" rangeCreator="" othersAccessPermission="edit"/>
    <arrUserId title="区域1_17_1_1" rangeCreator="" othersAccessPermission="edit"/>
    <arrUserId title="区域1_17_2_1" rangeCreator="" othersAccessPermission="edit"/>
    <arrUserId title="区域1_17_4_1" rangeCreator="" othersAccessPermission="edit"/>
    <arrUserId title="区域1_18_1" rangeCreator="" othersAccessPermission="edit"/>
    <arrUserId title="区域1_17_3_1" rangeCreator="" othersAccessPermission="edit"/>
    <arrUserId title="区域1_20" rangeCreator="" othersAccessPermission="edit"/>
    <arrUserId title="区域1_21" rangeCreator="" othersAccessPermission="edit"/>
    <arrUserId title="区域1_9_1" rangeCreator="" othersAccessPermission="edit"/>
    <arrUserId title="区域1_7_3" rangeCreator="" othersAccessPermission="edit"/>
    <arrUserId title="区域1_7_1_1_2" rangeCreator="" othersAccessPermission="edit"/>
    <arrUserId title="区域1_17_1" rangeCreator="" othersAccessPermission="edit"/>
    <arrUserId title="区域1_6_2_1_1" rangeCreator="" othersAccessPermission="edit"/>
    <arrUserId title="区域1_7" rangeCreator="" othersAccessPermission="edit"/>
    <arrUserId title="区域1_9" rangeCreator="" othersAccessPermission="edit"/>
    <arrUserId title="区域1_5" rangeCreator="" othersAccessPermission="edit"/>
    <arrUserId title="区域1_15_1_1" rangeCreator="" othersAccessPermission="edit"/>
    <arrUserId title="区域1_4_1" rangeCreator="" othersAccessPermission="edit"/>
    <arrUserId title="区域3_1" rangeCreator="" othersAccessPermission="edit"/>
    <arrUserId title="区域1_16" rangeCreator="" othersAccessPermission="edit"/>
    <arrUserId title="区域1_2" rangeCreator="" othersAccessPermission="edit"/>
    <arrUserId title="区域1_7_1" rangeCreator="" othersAccessPermission="edit"/>
    <arrUserId title="区域1_4_2_2" rangeCreator="" othersAccessPermission="edit"/>
    <arrUserId title="区域1_12_1" rangeCreator="" othersAccessPermission="edit"/>
    <arrUserId title="区域1_19" rangeCreator="" othersAccessPermission="edit"/>
    <arrUserId title="区域1_12_1_1" rangeCreator="" othersAccessPermission="edit"/>
    <arrUserId title="区域1_17_1_2" rangeCreator="" othersAccessPermission="edit"/>
    <arrUserId title="区域1_5_1_1_1" rangeCreator="" othersAccessPermission="edit"/>
    <arrUserId title="区域1_14" rangeCreator="" othersAccessPermission="edit"/>
    <arrUserId title="区域2_4" rangeCreator="" othersAccessPermission="edit"/>
    <arrUserId title="区域2_6" rangeCreator="" othersAccessPermission="edit"/>
    <arrUserId title="区域2_2_1" rangeCreator="" othersAccessPermission="edit"/>
    <arrUserId title="区域1_1_1" rangeCreator="" othersAccessPermission="edit"/>
    <arrUserId title="区域1_1_2" rangeCreator="" othersAccessPermission="edit"/>
    <arrUserId title="区域1_14_1" rangeCreator="" othersAccessPermission="edit"/>
    <arrUserId title="区域1_25" rangeCreator="" othersAccessPermission="edit"/>
    <arrUserId title="区域2_7" rangeCreator="" othersAccessPermission="edit"/>
    <arrUserId title="区域2_8" rangeCreator="" othersAccessPermission="edit"/>
    <arrUserId title="区域1_1_3" rangeCreator="" othersAccessPermission="edit"/>
    <arrUserId title="区域1_1_3_1" rangeCreator="" othersAccessPermission="edit"/>
    <arrUserId title="区域1_1_3_2" rangeCreator="" othersAccessPermission="edit"/>
    <arrUserId title="区域1_4_2" rangeCreator="" othersAccessPermission="edit"/>
    <arrUserId title="区域1_4_2_1" rangeCreator="" othersAccessPermission="edit"/>
    <arrUserId title="区域1_22" rangeCreator="" othersAccessPermission="edit"/>
    <arrUserId title="区域1_17" rangeCreator="" othersAccessPermission="edit"/>
    <arrUserId title="区域3_2" rangeCreator="" othersAccessPermission="edit"/>
    <arrUserId title="区域1_7_2" rangeCreator="" othersAccessPermission="edit"/>
    <arrUserId title="区域1_23" rangeCreator="" othersAccessPermission="edit"/>
    <arrUserId title="区域1_24" rangeCreator="" othersAccessPermission="edit"/>
    <arrUserId title="区域1_26" rangeCreator="" othersAccessPermission="edit"/>
    <arrUserId title="区域1_27_1" rangeCreator="" othersAccessPermission="edit"/>
    <arrUserId title="区域1_14_1_1" rangeCreator="" othersAccessPermission="edit"/>
    <arrUserId title="区域1_27" rangeCreator="" othersAccessPermission="edit"/>
    <arrUserId title="区域1_11_1" rangeCreator="" othersAccessPermission="edit"/>
    <arrUserId title="区域1_6_1" rangeCreator="" othersAccessPermission="edit"/>
    <arrUserId title="区域2_9" rangeCreator="" othersAccessPermission="edit"/>
  </rangeList>
  <rangeList sheetStid="43" master="" otherUserPermission="visible">
    <arrUserId title="区域1_1" rangeCreator="" othersAccessPermission="edit"/>
    <arrUserId title="区域1_2" rangeCreator="" othersAccessPermission="edit"/>
    <arrUserId title="区域1_4_1" rangeCreator="" othersAccessPermission="edit"/>
    <arrUserId title="区域1_5" rangeCreator="" othersAccessPermission="edit"/>
    <arrUserId title="区域2" rangeCreator="" othersAccessPermission="edit"/>
    <arrUserId title="区域1_6" rangeCreator="" othersAccessPermission="edit"/>
    <arrUserId title="区域1_8" rangeCreator="" othersAccessPermission="edit"/>
    <arrUserId title="区域1_10" rangeCreator="" othersAccessPermission="edit"/>
    <arrUserId title="区域1_11" rangeCreator="" othersAccessPermission="edit"/>
    <arrUserId title="区域2_1_1_3" rangeCreator="" othersAccessPermission="edit"/>
    <arrUserId title="区域2_1_1_3_1" rangeCreator="" othersAccessPermission="edit"/>
    <arrUserId title="区域2_1_1_3_1_3" rangeCreator="" othersAccessPermission="edit"/>
    <arrUserId title="区域2_1_1_3_2" rangeCreator="" othersAccessPermission="edit"/>
    <arrUserId title="区域1_13" rangeCreator="" othersAccessPermission="edit"/>
    <arrUserId title="区域1_14_1" rangeCreator="" othersAccessPermission="edit"/>
    <arrUserId title="区域1_12" rangeCreator="" othersAccessPermission="edit"/>
    <arrUserId title="区域1_16" rangeCreator="" othersAccessPermission="edit"/>
    <arrUserId title="区域2_1_1" rangeCreator="" othersAccessPermission="edit"/>
    <arrUserId title="区域2_2_1" rangeCreator="" othersAccessPermission="edit"/>
    <arrUserId title="区域2_3_1" rangeCreator="" othersAccessPermission="edit"/>
    <arrUserId title="区域2_5_1" rangeCreator="" othersAccessPermission="edit"/>
    <arrUserId title="区域1_18_1" rangeCreator="" othersAccessPermission="edit"/>
    <arrUserId title="区域1_17_3" rangeCreator="" othersAccessPermission="edit"/>
    <arrUserId title="区域1_17_1_1" rangeCreator="" othersAccessPermission="edit"/>
    <arrUserId title="区域1_17_2_1" rangeCreator="" othersAccessPermission="edit"/>
    <arrUserId title="区域1_17_4_1" rangeCreator="" othersAccessPermission="edit"/>
    <arrUserId title="区域1_18_1_1" rangeCreator="" othersAccessPermission="edit"/>
    <arrUserId title="区域1_18" rangeCreator="" othersAccessPermission="edit"/>
    <arrUserId title="区域1_19" rangeCreator="" othersAccessPermission="edit"/>
    <arrUserId title="区域1_9_1" rangeCreator="" othersAccessPermission="edit"/>
    <arrUserId title="区域1_7_3" rangeCreator="" othersAccessPermission="edit"/>
    <arrUserId title="区域1_7_1_1_2" rangeCreator="" othersAccessPermission="edit"/>
    <arrUserId title="区域1_17" rangeCreator="" othersAccessPermission="edit"/>
    <arrUserId title="区域1_6_2_1_1" rangeCreator="" othersAccessPermission="edit"/>
    <arrUserId title="区域1_7" rangeCreator="" othersAccessPermission="edit"/>
    <arrUserId title="区域1_4_2" rangeCreator="" othersAccessPermission="edit"/>
    <arrUserId title="区域1_9" rangeCreator="" othersAccessPermission="edit"/>
    <arrUserId title="区域1_20" rangeCreator="" othersAccessPermission="edit"/>
    <arrUserId title="区域1_4" rangeCreator="" othersAccessPermission="edit"/>
    <arrUserId title="区域1_15_1_1" rangeCreator="" othersAccessPermission="edit"/>
    <arrUserId title="区域1_4_3" rangeCreator="" othersAccessPermission="edit"/>
    <arrUserId title="区域3" rangeCreator="" othersAccessPermission="edit"/>
    <arrUserId title="区域3_1" rangeCreator="" othersAccessPermission="edit"/>
    <arrUserId title="区域3_2" rangeCreator="" othersAccessPermission="edit"/>
    <arrUserId title="区域1_15" rangeCreator="" othersAccessPermission="edit"/>
    <arrUserId title="区域1_4_2_1" rangeCreator="" othersAccessPermission="edit"/>
    <arrUserId title="区域2_1_1_3_3" rangeCreator="" othersAccessPermission="edit"/>
    <arrUserId title="区域2_1_1_3_1_2_1_1_1" rangeCreator="" othersAccessPermission="edit"/>
    <arrUserId title="区域1_7_1" rangeCreator="" othersAccessPermission="edit"/>
    <arrUserId title="区域1_4_2_2" rangeCreator="" othersAccessPermission="edit"/>
    <arrUserId title="区域2_1_1_3_1_2_1_1" rangeCreator="" othersAccessPermission="edit"/>
    <arrUserId title="区域1_12_1" rangeCreator="" othersAccessPermission="edit"/>
    <arrUserId title="区域1_19_2" rangeCreator="" othersAccessPermission="edit"/>
    <arrUserId title="区域1_12_1_1" rangeCreator="" othersAccessPermission="edit"/>
    <arrUserId title="区域1_17_1" rangeCreator="" othersAccessPermission="edit"/>
    <arrUserId title="区域1_5_1_1_1" rangeCreator="" othersAccessPermission="edit"/>
    <arrUserId title="区域2_1_1_3_1_1" rangeCreator="" othersAccessPermission="edit"/>
    <arrUserId title="区域1_3" rangeCreator="" othersAccessPermission="edit"/>
    <arrUserId title="区域1_14" rangeCreator="" othersAccessPermission="edit"/>
    <arrUserId title="区域1_25" rangeCreator="" othersAccessPermission="edit"/>
    <arrUserId title="区域2_1" rangeCreator="" othersAccessPermission="edit"/>
    <arrUserId title="区域2_2" rangeCreator="" othersAccessPermission="edit"/>
    <arrUserId title="区域1_1_1" rangeCreator="" othersAccessPermission="edit"/>
    <arrUserId title="区域1_1_2" rangeCreator="" othersAccessPermission="edit"/>
    <arrUserId title="区域2_3" rangeCreator="" othersAccessPermission="edit"/>
    <arrUserId title="区域2_4" rangeCreator="" othersAccessPermission="edit"/>
    <arrUserId title="区域3_3" rangeCreator="" othersAccessPermission="edit"/>
    <arrUserId title="区域2_6" rangeCreator="" othersAccessPermission="edit"/>
    <arrUserId title="区域1_1_3" rangeCreator="" othersAccessPermission="edit"/>
    <arrUserId title="区域1_21" rangeCreator="" othersAccessPermission="edit"/>
    <arrUserId title="区域1_1_5" rangeCreator="" othersAccessPermission="edit"/>
    <arrUserId title="区域1_1_3_1" rangeCreator="" othersAccessPermission="edit"/>
    <arrUserId title="区域2_1_1_3_1_1_2" rangeCreator="" othersAccessPermission="edit"/>
    <arrUserId title="区域2_7" rangeCreator="" othersAccessPermission="edit"/>
    <arrUserId title="区域1_22" rangeCreator="" othersAccessPermission="edit"/>
    <arrUserId title="区域2_7_1" rangeCreator="" othersAccessPermission="edit"/>
    <arrUserId title="区域1_22_1" rangeCreator="" othersAccessPermission="edit"/>
    <arrUserId title="区域1_23" rangeCreator="" othersAccessPermission="edit"/>
    <arrUserId title="区域2_7_1_1" rangeCreator="" othersAccessPermission="edit"/>
    <arrUserId title="区域3_4" rangeCreator="" othersAccessPermission="edit"/>
    <arrUserId title="区域3_5" rangeCreator="" othersAccessPermission="edit"/>
    <arrUserId title="区域1_24" rangeCreator="" othersAccessPermission="edit"/>
    <arrUserId title="区域1_7_2" rangeCreator="" othersAccessPermission="edit"/>
    <arrUserId title="区域1_27" rangeCreator="" othersAccessPermission="edit"/>
    <arrUserId title="区域1_24_1" rangeCreator="" othersAccessPermission="edit"/>
    <arrUserId title="区域1_26" rangeCreator="" othersAccessPermission="edit"/>
    <arrUserId title="区域1_27_1" rangeCreator="" othersAccessPermission="edit"/>
    <arrUserId title="区域3_6" rangeCreator="" othersAccessPermission="edit"/>
    <arrUserId title="区域1_27_2" rangeCreator="" othersAccessPermission="edit"/>
    <arrUserId title="区域1_11_1" rangeCreator="" othersAccessPermission="edit"/>
    <arrUserId title="区域1_6_1" rangeCreator="" othersAccessPermission="edit"/>
    <arrUserId title="区域2_5" rangeCreator="" othersAccessPermission="edit"/>
    <arrUserId title="区域3_7" rangeCreator="" othersAccessPermission="edit"/>
  </rangeList>
  <rangeList sheetStid="44" master="" otherUserPermission="visible">
    <arrUserId title="区域1" rangeCreator="" othersAccessPermission="edit"/>
    <arrUserId title="区域1_1" rangeCreator="" othersAccessPermission="edit"/>
    <arrUserId title="区域1_2" rangeCreator="" othersAccessPermission="edit"/>
    <arrUserId title="区域1_4" rangeCreator="" othersAccessPermission="edit"/>
    <arrUserId title="区域1_5" rangeCreator="" othersAccessPermission="edit"/>
    <arrUserId title="区域2" rangeCreator="" othersAccessPermission="edit"/>
    <arrUserId title="区域1_10" rangeCreator="" othersAccessPermission="edit"/>
    <arrUserId title="区域1_11" rangeCreator="" othersAccessPermission="edit"/>
    <arrUserId title="区域1_12" rangeCreator="" othersAccessPermission="edit"/>
    <arrUserId title="区域1_13" rangeCreator="" othersAccessPermission="edit"/>
    <arrUserId title="区域2_1_1_3" rangeCreator="" othersAccessPermission="edit"/>
    <arrUserId title="区域2_1_1_3_1" rangeCreator="" othersAccessPermission="edit"/>
    <arrUserId title="区域2_1_1_3_1_3" rangeCreator="" othersAccessPermission="edit"/>
    <arrUserId title="区域2_1_1_3_2" rangeCreator="" othersAccessPermission="edit"/>
    <arrUserId title="区域1_15" rangeCreator="" othersAccessPermission="edit"/>
    <arrUserId title="区域1_14_1" rangeCreator="" othersAccessPermission="edit"/>
    <arrUserId title="区域1_14" rangeCreator="" othersAccessPermission="edit"/>
    <arrUserId title="区域2_1" rangeCreator="" othersAccessPermission="edit"/>
    <arrUserId title="区域2_2" rangeCreator="" othersAccessPermission="edit"/>
    <arrUserId title="区域2_3" rangeCreator="" othersAccessPermission="edit"/>
    <arrUserId title="区域2_5" rangeCreator="" othersAccessPermission="edit"/>
    <arrUserId title="区域1_18" rangeCreator="" othersAccessPermission="edit"/>
    <arrUserId title="区域1_19" rangeCreator="" othersAccessPermission="edit"/>
    <arrUserId title="区域1_17_3_1" rangeCreator="" othersAccessPermission="edit"/>
    <arrUserId title="区域1_17_1_1_1" rangeCreator="" othersAccessPermission="edit"/>
    <arrUserId title="区域1_17_2_1_1" rangeCreator="" othersAccessPermission="edit"/>
    <arrUserId title="区域1_17_4_1_1" rangeCreator="" othersAccessPermission="edit"/>
    <arrUserId title="区域1_18_1_1" rangeCreator="" othersAccessPermission="edit"/>
    <arrUserId title="区域1_21" rangeCreator="" othersAccessPermission="edit"/>
    <arrUserId title="区域1_22" rangeCreator="" othersAccessPermission="edit"/>
    <arrUserId title="区域1_9_1" rangeCreator="" othersAccessPermission="edit"/>
    <arrUserId title="区域1_7_3" rangeCreator="" othersAccessPermission="edit"/>
    <arrUserId title="区域1_7_1_1_1" rangeCreator="" othersAccessPermission="edit"/>
    <arrUserId title="区域1_17_2" rangeCreator="" othersAccessPermission="edit"/>
    <arrUserId title="区域1_6_2_1_2" rangeCreator="" othersAccessPermission="edit"/>
    <arrUserId title="区域1_7" rangeCreator="" othersAccessPermission="edit"/>
    <arrUserId title="区域1_8" rangeCreator="" othersAccessPermission="edit"/>
    <arrUserId title="区域1_4_2" rangeCreator="" othersAccessPermission="edit"/>
    <arrUserId title="区域1_9" rangeCreator="" othersAccessPermission="edit"/>
    <arrUserId title="区域1_6" rangeCreator="" othersAccessPermission="edit"/>
    <arrUserId title="区域1_15_1_1" rangeCreator="" othersAccessPermission="edit"/>
    <arrUserId title="区域1_4_1" rangeCreator="" othersAccessPermission="edit"/>
    <arrUserId title="区域3" rangeCreator="" othersAccessPermission="edit"/>
    <arrUserId title="区域3_1" rangeCreator="" othersAccessPermission="edit"/>
    <arrUserId title="区域3_2" rangeCreator="" othersAccessPermission="edit"/>
    <arrUserId title="区域1_17" rangeCreator="" othersAccessPermission="edit"/>
    <arrUserId title="区域1_3" rangeCreator="" othersAccessPermission="edit"/>
    <arrUserId title="区域2_1_1_3_3" rangeCreator="" othersAccessPermission="edit"/>
    <arrUserId title="区域2_1_1_3_1_2_1_1_1" rangeCreator="" othersAccessPermission="edit"/>
    <arrUserId title="区域1_4_2_1" rangeCreator="" othersAccessPermission="edit"/>
    <arrUserId title="区域1_4_2_1_1" rangeCreator="" othersAccessPermission="edit"/>
    <arrUserId title="区域1_16" rangeCreator="" othersAccessPermission="edit"/>
    <arrUserId title="区域1_4_2_2" rangeCreator="" othersAccessPermission="edit"/>
    <arrUserId title="区域1_20" rangeCreator="" othersAccessPermission="edit"/>
    <arrUserId title="区域2_1_1_3_1_2_1_1_2" rangeCreator="" othersAccessPermission="edit"/>
    <arrUserId title="区域1_12_1" rangeCreator="" othersAccessPermission="edit"/>
    <arrUserId title="区域1_19_2" rangeCreator="" othersAccessPermission="edit"/>
    <arrUserId title="区域1_12_1_1" rangeCreator="" othersAccessPermission="edit"/>
    <arrUserId title="区域1_17_1" rangeCreator="" othersAccessPermission="edit"/>
    <arrUserId title="区域1_5_1_1_1" rangeCreator="" othersAccessPermission="edit"/>
    <arrUserId title="区域2_1_1_3_1_1" rangeCreator="" othersAccessPermission="edit"/>
    <arrUserId title="区域1_23" rangeCreator="" othersAccessPermission="edit"/>
    <arrUserId title="区域1_4_2_3" rangeCreator="" othersAccessPermission="edit"/>
    <arrUserId title="区域1_4_2_1_2" rangeCreator="" othersAccessPermission="edit"/>
    <arrUserId title="区域1_24" rangeCreator="" othersAccessPermission="edit"/>
    <arrUserId title="区域2_4" rangeCreator="" othersAccessPermission="edit"/>
    <arrUserId title="区域2_6" rangeCreator="" othersAccessPermission="edit"/>
    <arrUserId title="区域1_26" rangeCreator="" othersAccessPermission="edit"/>
    <arrUserId title="区域1_14_2" rangeCreator="" othersAccessPermission="edit"/>
    <arrUserId title="区域1_25_2" rangeCreator="" othersAccessPermission="edit"/>
    <arrUserId title="区域1_27" rangeCreator="" othersAccessPermission="edit"/>
    <arrUserId title="区域2_2_2" rangeCreator="" othersAccessPermission="edit"/>
    <arrUserId title="区域1_1_1" rangeCreator="" othersAccessPermission="edit"/>
    <arrUserId title="区域1_1_2" rangeCreator="" othersAccessPermission="edit"/>
    <arrUserId title="区域2_7" rangeCreator="" othersAccessPermission="edit"/>
    <arrUserId title="区域2_8" rangeCreator="" othersAccessPermission="edit"/>
    <arrUserId title="区域3_3" rangeCreator="" othersAccessPermission="edit"/>
    <arrUserId title="区域2_6_1" rangeCreator="" othersAccessPermission="edit"/>
    <arrUserId title="区域1_1_4" rangeCreator="" othersAccessPermission="edit"/>
    <arrUserId title="区域1_1_5" rangeCreator="" othersAccessPermission="edit"/>
    <arrUserId title="区域1_1_3_1" rangeCreator="" othersAccessPermission="edit"/>
    <arrUserId title="区域1_1_3_2" rangeCreator="" othersAccessPermission="edit"/>
    <arrUserId title="区域1_4_2_4" rangeCreator="" othersAccessPermission="edit"/>
    <arrUserId title="区域1_4_2_1_3" rangeCreator="" othersAccessPermission="edit"/>
    <arrUserId title="区域2_1_1_3_1_1_2" rangeCreator="" othersAccessPermission="edit"/>
    <arrUserId title="区域1_22_1" rangeCreator="" othersAccessPermission="edit"/>
    <arrUserId title="区域2_7_1" rangeCreator="" othersAccessPermission="edit"/>
    <arrUserId title="区域1_22_2" rangeCreator="" othersAccessPermission="edit"/>
    <arrUserId title="区域1_25" rangeCreator="" othersAccessPermission="edit"/>
    <arrUserId title="区域2_7_1_1" rangeCreator="" othersAccessPermission="edit"/>
    <arrUserId title="区域3_4" rangeCreator="" othersAccessPermission="edit"/>
    <arrUserId title="区域3_5" rangeCreator="" othersAccessPermission="edit"/>
    <arrUserId title="区域1_28" rangeCreator="" othersAccessPermission="edit"/>
    <arrUserId title="区域1_7_1" rangeCreator="" othersAccessPermission="edit"/>
    <arrUserId title="区域1_29" rangeCreator="" othersAccessPermission="edit"/>
    <arrUserId title="区域1_24_1" rangeCreator="" othersAccessPermission="edit"/>
    <arrUserId title="区域1_26_1" rangeCreator="" othersAccessPermission="edit"/>
    <arrUserId title="区域1_27_1" rangeCreator="" othersAccessPermission="edit"/>
    <arrUserId title="区域1_27_2" rangeCreator="" othersAccessPermission="edit"/>
    <arrUserId title="区域1_11_1" rangeCreator="" othersAccessPermission="edit"/>
    <arrUserId title="区域1_6_1" rangeCreator="" othersAccessPermission="edit"/>
    <arrUserId title="区域2_9" rangeCreator="" othersAccessPermission="edit"/>
    <arrUserId title="区域3_7" rangeCreator="" othersAccessPermission="edit"/>
  </rangeList>
  <rangeList sheetStid="45" master="" otherUserPermission="visible">
    <arrUserId title="区域1" rangeCreator="" othersAccessPermission="edit"/>
    <arrUserId title="区域1_1" rangeCreator="" othersAccessPermission="edit"/>
    <arrUserId title="区域1_2" rangeCreator="" othersAccessPermission="edit"/>
    <arrUserId title="区域1_4" rangeCreator="" othersAccessPermission="edit"/>
    <arrUserId title="区域1_5" rangeCreator="" othersAccessPermission="edit"/>
    <arrUserId title="区域2" rangeCreator="" othersAccessPermission="edit"/>
    <arrUserId title="区域1_10" rangeCreator="" othersAccessPermission="edit"/>
    <arrUserId title="区域1_11" rangeCreator="" othersAccessPermission="edit"/>
    <arrUserId title="区域1_12" rangeCreator="" othersAccessPermission="edit"/>
    <arrUserId title="区域2_1_1_3" rangeCreator="" othersAccessPermission="edit"/>
    <arrUserId title="区域2_1_1_3_1" rangeCreator="" othersAccessPermission="edit"/>
    <arrUserId title="区域2_1_1_3_1_3" rangeCreator="" othersAccessPermission="edit"/>
    <arrUserId title="区域2_1_1_3_1_2_1_1" rangeCreator="" othersAccessPermission="edit"/>
    <arrUserId title="区域2_1_1_3_2" rangeCreator="" othersAccessPermission="edit"/>
    <arrUserId title="区域1_13" rangeCreator="" othersAccessPermission="edit"/>
    <arrUserId title="区域1_14_1" rangeCreator="" othersAccessPermission="edit"/>
    <arrUserId title="区域1_14" rangeCreator="" othersAccessPermission="edit"/>
    <arrUserId title="区域2_1" rangeCreator="" othersAccessPermission="edit"/>
    <arrUserId title="区域2_2" rangeCreator="" othersAccessPermission="edit"/>
    <arrUserId title="区域2_3" rangeCreator="" othersAccessPermission="edit"/>
    <arrUserId title="区域2_5" rangeCreator="" othersAccessPermission="edit"/>
    <arrUserId title="区域1_18" rangeCreator="" othersAccessPermission="edit"/>
    <arrUserId title="区域1_16" rangeCreator="" othersAccessPermission="edit"/>
    <arrUserId title="区域1_17_3" rangeCreator="" othersAccessPermission="edit"/>
    <arrUserId title="区域1_17_1_1" rangeCreator="" othersAccessPermission="edit"/>
    <arrUserId title="区域1_17_2_1" rangeCreator="" othersAccessPermission="edit"/>
    <arrUserId title="区域1_17_4_1" rangeCreator="" othersAccessPermission="edit"/>
    <arrUserId title="区域1_18_1" rangeCreator="" othersAccessPermission="edit"/>
    <arrUserId title="区域1_20" rangeCreator="" othersAccessPermission="edit"/>
    <arrUserId title="区域1_21" rangeCreator="" othersAccessPermission="edit"/>
    <arrUserId title="区域1_9_1" rangeCreator="" othersAccessPermission="edit"/>
    <arrUserId title="区域1_7_3" rangeCreator="" othersAccessPermission="edit"/>
    <arrUserId title="区域1_7_1_1_2" rangeCreator="" othersAccessPermission="edit"/>
    <arrUserId title="区域1_17_1" rangeCreator="" othersAccessPermission="edit"/>
    <arrUserId title="区域1_6_2_1" rangeCreator="" othersAccessPermission="edit"/>
    <arrUserId title="区域1_7" rangeCreator="" othersAccessPermission="edit"/>
    <arrUserId title="区域1_8" rangeCreator="" othersAccessPermission="edit"/>
    <arrUserId title="区域1_4_2" rangeCreator="" othersAccessPermission="edit"/>
    <arrUserId title="区域1_9" rangeCreator="" othersAccessPermission="edit"/>
    <arrUserId title="区域1_6" rangeCreator="" othersAccessPermission="edit"/>
    <arrUserId title="区域1_15_1_1" rangeCreator="" othersAccessPermission="edit"/>
    <arrUserId title="区域1_4_1" rangeCreator="" othersAccessPermission="edit"/>
    <arrUserId title="区域3" rangeCreator="" othersAccessPermission="edit"/>
    <arrUserId title="区域3_1" rangeCreator="" othersAccessPermission="edit"/>
    <arrUserId title="区域3_2" rangeCreator="" othersAccessPermission="edit"/>
    <arrUserId title="区域1_17" rangeCreator="" othersAccessPermission="edit"/>
    <arrUserId title="区域1_4_2_1" rangeCreator="" othersAccessPermission="edit"/>
    <arrUserId title="区域1_7_1" rangeCreator="" othersAccessPermission="edit"/>
    <arrUserId title="区域1_4_2_2" rangeCreator="" othersAccessPermission="edit"/>
    <arrUserId title="区域1_3" rangeCreator="" othersAccessPermission="edit"/>
    <arrUserId title="区域2_1_1_3_3" rangeCreator="" othersAccessPermission="edit"/>
    <arrUserId title="区域2_1_1_3_1_2_1_1_1" rangeCreator="" othersAccessPermission="edit"/>
    <arrUserId title="区域1_4_2_3" rangeCreator="" othersAccessPermission="edit"/>
    <arrUserId title="区域1_4_2_1_1" rangeCreator="" othersAccessPermission="edit"/>
    <arrUserId title="区域1_15" rangeCreator="" othersAccessPermission="edit"/>
    <arrUserId title="区域1_4_2_2_1" rangeCreator="" othersAccessPermission="edit"/>
    <arrUserId title="区域1_19" rangeCreator="" othersAccessPermission="edit"/>
    <arrUserId title="区域1_12_1" rangeCreator="" othersAccessPermission="edit"/>
    <arrUserId title="区域1_19_2" rangeCreator="" othersAccessPermission="edit"/>
    <arrUserId title="区域1_12_1_1" rangeCreator="" othersAccessPermission="edit"/>
    <arrUserId title="区域1_17_1_2" rangeCreator="" othersAccessPermission="edit"/>
    <arrUserId title="区域1_5_1_1_1" rangeCreator="" othersAccessPermission="edit"/>
    <arrUserId title="区域2_1_1_3_1_1" rangeCreator="" othersAccessPermission="edit"/>
    <arrUserId title="区域1_11_1" rangeCreator="" othersAccessPermission="edit"/>
    <arrUserId title="区域1_23" rangeCreator="" othersAccessPermission="edit"/>
    <arrUserId title="区域1_4_2_3_1" rangeCreator="" othersAccessPermission="edit"/>
    <arrUserId title="区域1_4_2_1_2" rangeCreator="" othersAccessPermission="edit"/>
    <arrUserId title="区域1_22" rangeCreator="" othersAccessPermission="edit"/>
    <arrUserId title="区域2_4" rangeCreator="" othersAccessPermission="edit"/>
    <arrUserId title="区域2_6" rangeCreator="" othersAccessPermission="edit"/>
    <arrUserId title="区域1_14_2" rangeCreator="" othersAccessPermission="edit"/>
    <arrUserId title="区域1_25_1" rangeCreator="" othersAccessPermission="edit"/>
    <arrUserId title="区域1_26" rangeCreator="" othersAccessPermission="edit"/>
    <arrUserId title="区域1_27" rangeCreator="" othersAccessPermission="edit"/>
    <arrUserId title="区域2_2_2" rangeCreator="" othersAccessPermission="edit"/>
    <arrUserId title="区域1_1_1" rangeCreator="" othersAccessPermission="edit"/>
    <arrUserId title="区域1_1_2" rangeCreator="" othersAccessPermission="edit"/>
    <arrUserId title="区域2_7" rangeCreator="" othersAccessPermission="edit"/>
    <arrUserId title="区域2_8" rangeCreator="" othersAccessPermission="edit"/>
    <arrUserId title="区域3_3" rangeCreator="" othersAccessPermission="edit"/>
    <arrUserId title="区域2_6_1" rangeCreator="" othersAccessPermission="edit"/>
    <arrUserId title="区域1_1_5" rangeCreator="" othersAccessPermission="edit"/>
    <arrUserId title="区域1_24" rangeCreator="" othersAccessPermission="edit"/>
    <arrUserId title="区域1_1_6" rangeCreator="" othersAccessPermission="edit"/>
    <arrUserId title="区域1_1_3_1" rangeCreator="" othersAccessPermission="edit"/>
    <arrUserId title="区域1_1_3_2" rangeCreator="" othersAccessPermission="edit"/>
    <arrUserId title="区域1_28" rangeCreator="" othersAccessPermission="edit"/>
    <arrUserId title="区域1_4_2_4" rangeCreator="" othersAccessPermission="edit"/>
    <arrUserId title="区域1_4_2_1_3" rangeCreator="" othersAccessPermission="edit"/>
    <arrUserId title="区域2_1_1_3_1_1_1" rangeCreator="" othersAccessPermission="edit"/>
    <arrUserId title="区域2_7_1" rangeCreator="" othersAccessPermission="edit"/>
    <arrUserId title="区域2_7_2" rangeCreator="" othersAccessPermission="edit"/>
    <arrUserId title="区域1_22_1" rangeCreator="" othersAccessPermission="edit"/>
    <arrUserId title="区域2_7_1_1_1" rangeCreator="" othersAccessPermission="edit"/>
    <arrUserId title="区域1_22_2" rangeCreator="" othersAccessPermission="edit"/>
    <arrUserId title="区域1_25" rangeCreator="" othersAccessPermission="edit"/>
    <arrUserId title="区域2_7_1_1" rangeCreator="" othersAccessPermission="edit"/>
    <arrUserId title="区域3_4" rangeCreator="" othersAccessPermission="edit"/>
    <arrUserId title="区域3_5" rangeCreator="" othersAccessPermission="edit"/>
    <arrUserId title="区域1_29" rangeCreator="" othersAccessPermission="edit"/>
    <arrUserId title="区域1_7_2" rangeCreator="" othersAccessPermission="edit"/>
    <arrUserId title="区域1_30" rangeCreator="" othersAccessPermission="edit"/>
    <arrUserId title="区域1_24_1" rangeCreator="" othersAccessPermission="edit"/>
    <arrUserId title="区域1_26_1" rangeCreator="" othersAccessPermission="edit"/>
    <arrUserId title="区域1_27_1" rangeCreator="" othersAccessPermission="edit"/>
    <arrUserId title="区域1_27_2" rangeCreator="" othersAccessPermission="edit"/>
    <arrUserId title="区域1_11_1_1" rangeCreator="" othersAccessPermission="edit"/>
    <arrUserId title="区域1_6_1" rangeCreator="" othersAccessPermission="edit"/>
    <arrUserId title="区域2_9" rangeCreator="" othersAccessPermission="edit"/>
    <arrUserId title="区域3_7" rangeCreator="" othersAccessPermission="edit"/>
  </rangeList>
  <rangeList sheetStid="46" master="" otherUserPermission="visible">
    <arrUserId title="区域1" rangeCreator="" othersAccessPermission="edit"/>
    <arrUserId title="区域1_1" rangeCreator="" othersAccessPermission="edit"/>
    <arrUserId title="区域1_2" rangeCreator="" othersAccessPermission="edit"/>
    <arrUserId title="区域1_4" rangeCreator="" othersAccessPermission="edit"/>
    <arrUserId title="区域1_6" rangeCreator="" othersAccessPermission="edit"/>
    <arrUserId title="区域2" rangeCreator="" othersAccessPermission="edit"/>
    <arrUserId title="区域1_9" rangeCreator="" othersAccessPermission="edit"/>
    <arrUserId title="区域1_7" rangeCreator="" othersAccessPermission="edit"/>
    <arrUserId title="区域1_10" rangeCreator="" othersAccessPermission="edit"/>
    <arrUserId title="区域1_12" rangeCreator="" othersAccessPermission="edit"/>
    <arrUserId title="区域1_13" rangeCreator="" othersAccessPermission="edit"/>
    <arrUserId title="区域2_1_1_3" rangeCreator="" othersAccessPermission="edit"/>
    <arrUserId title="区域2_1_1_3_1" rangeCreator="" othersAccessPermission="edit"/>
    <arrUserId title="区域2_1_1_3_1_4" rangeCreator="" othersAccessPermission="edit"/>
    <arrUserId title="区域2_1_1_3_1_2_1_1" rangeCreator="" othersAccessPermission="edit"/>
    <arrUserId title="区域2_1_1_3_2" rangeCreator="" othersAccessPermission="edit"/>
    <arrUserId title="区域1_15" rangeCreator="" othersAccessPermission="edit"/>
    <arrUserId title="区域1_14_1" rangeCreator="" othersAccessPermission="edit"/>
    <arrUserId title="区域1_14" rangeCreator="" othersAccessPermission="edit"/>
    <arrUserId title="区域2_1" rangeCreator="" othersAccessPermission="edit"/>
    <arrUserId title="区域2_2" rangeCreator="" othersAccessPermission="edit"/>
    <arrUserId title="区域2_3" rangeCreator="" othersAccessPermission="edit"/>
    <arrUserId title="区域2_5" rangeCreator="" othersAccessPermission="edit"/>
    <arrUserId title="区域1_18" rangeCreator="" othersAccessPermission="edit"/>
    <arrUserId title="区域1_14_2" rangeCreator="" othersAccessPermission="edit"/>
    <arrUserId title="区域1_17_3" rangeCreator="" othersAccessPermission="edit"/>
    <arrUserId title="区域1_17_1_1" rangeCreator="" othersAccessPermission="edit"/>
    <arrUserId title="区域1_17_2_1" rangeCreator="" othersAccessPermission="edit"/>
    <arrUserId title="区域1_17_4_1" rangeCreator="" othersAccessPermission="edit"/>
    <arrUserId title="区域1_18_1" rangeCreator="" othersAccessPermission="edit"/>
    <arrUserId title="区域1_7_1_1" rangeCreator="" othersAccessPermission="edit"/>
    <arrUserId title="区域1_19" rangeCreator="" othersAccessPermission="edit"/>
    <arrUserId title="区域1_17_1" rangeCreator="" othersAccessPermission="edit"/>
    <arrUserId title="区域1_6_2_1" rangeCreator="" othersAccessPermission="edit"/>
    <arrUserId title="区域1_5" rangeCreator="" othersAccessPermission="edit"/>
    <arrUserId title="区域1_8" rangeCreator="" othersAccessPermission="edit"/>
    <arrUserId title="区域1_4_2" rangeCreator="" othersAccessPermission="edit"/>
    <arrUserId title="区域1_17" rangeCreator="" othersAccessPermission="edit"/>
    <arrUserId title="区域1_20" rangeCreator="" othersAccessPermission="edit"/>
    <arrUserId title="区域1_15_1_1" rangeCreator="" othersAccessPermission="edit"/>
    <arrUserId title="区域1_4_1" rangeCreator="" othersAccessPermission="edit"/>
    <arrUserId title="区域3" rangeCreator="" othersAccessPermission="edit"/>
    <arrUserId title="区域3_1" rangeCreator="" othersAccessPermission="edit"/>
    <arrUserId title="区域3_2" rangeCreator="" othersAccessPermission="edit"/>
    <arrUserId title="区域1_21" rangeCreator="" othersAccessPermission="edit"/>
    <arrUserId title="区域1_4_2_1" rangeCreator="" othersAccessPermission="edit"/>
    <arrUserId title="区域1_7_1" rangeCreator="" othersAccessPermission="edit"/>
    <arrUserId title="区域1_4_2_2" rangeCreator="" othersAccessPermission="edit"/>
    <arrUserId title="区域1_3" rangeCreator="" othersAccessPermission="edit"/>
    <arrUserId title="区域2_1_1_3_3" rangeCreator="" othersAccessPermission="edit"/>
    <arrUserId title="区域2_1_1_3_1_2_1_1_1" rangeCreator="" othersAccessPermission="edit"/>
    <arrUserId title="区域1_4_2_3" rangeCreator="" othersAccessPermission="edit"/>
    <arrUserId title="区域1_4_2_1_1" rangeCreator="" othersAccessPermission="edit"/>
    <arrUserId title="区域1_16" rangeCreator="" othersAccessPermission="edit"/>
    <arrUserId title="区域1_4_2_2_1" rangeCreator="" othersAccessPermission="edit"/>
    <arrUserId title="区域1_22" rangeCreator="" othersAccessPermission="edit"/>
    <arrUserId title="区域1_12_1" rangeCreator="" othersAccessPermission="edit"/>
    <arrUserId title="区域1_19_1" rangeCreator="" othersAccessPermission="edit"/>
    <arrUserId title="区域1_12_1_1" rangeCreator="" othersAccessPermission="edit"/>
    <arrUserId title="区域1_17_1_2" rangeCreator="" othersAccessPermission="edit"/>
    <arrUserId title="区域1_5_1_1_1" rangeCreator="" othersAccessPermission="edit"/>
    <arrUserId title="区域2_1_1_3_1_1" rangeCreator="" othersAccessPermission="edit"/>
    <arrUserId title="区域1_11_1" rangeCreator="" othersAccessPermission="edit"/>
    <arrUserId title="区域1_23" rangeCreator="" othersAccessPermission="edit"/>
    <arrUserId title="区域1_4_2_3_1" rangeCreator="" othersAccessPermission="edit"/>
    <arrUserId title="区域1_4_2_1_2" rangeCreator="" othersAccessPermission="edit"/>
    <arrUserId title="区域1_11" rangeCreator="" othersAccessPermission="edit"/>
    <arrUserId title="区域2_4" rangeCreator="" othersAccessPermission="edit"/>
    <arrUserId title="区域2_6" rangeCreator="" othersAccessPermission="edit"/>
    <arrUserId title="区域1_14_3" rangeCreator="" othersAccessPermission="edit"/>
    <arrUserId title="区域1_25_1" rangeCreator="" othersAccessPermission="edit"/>
    <arrUserId title="区域1_26" rangeCreator="" othersAccessPermission="edit"/>
    <arrUserId title="区域1_27" rangeCreator="" othersAccessPermission="edit"/>
    <arrUserId title="区域2_2_2" rangeCreator="" othersAccessPermission="edit"/>
    <arrUserId title="区域1_1_1" rangeCreator="" othersAccessPermission="edit"/>
    <arrUserId title="区域1_1_2" rangeCreator="" othersAccessPermission="edit"/>
    <arrUserId title="区域2_7" rangeCreator="" othersAccessPermission="edit"/>
    <arrUserId title="区域2_8" rangeCreator="" othersAccessPermission="edit"/>
    <arrUserId title="区域3_3" rangeCreator="" othersAccessPermission="edit"/>
    <arrUserId title="区域2_6_1" rangeCreator="" othersAccessPermission="edit"/>
    <arrUserId title="区域1_1_5" rangeCreator="" othersAccessPermission="edit"/>
    <arrUserId title="区域1_24" rangeCreator="" othersAccessPermission="edit"/>
    <arrUserId title="区域1_1_6" rangeCreator="" othersAccessPermission="edit"/>
    <arrUserId title="区域1_1_3_1" rangeCreator="" othersAccessPermission="edit"/>
    <arrUserId title="区域1_1_3_3" rangeCreator="" othersAccessPermission="edit"/>
    <arrUserId title="区域1_28" rangeCreator="" othersAccessPermission="edit"/>
    <arrUserId title="区域1_25" rangeCreator="" othersAccessPermission="edit"/>
    <arrUserId title="区域1_4_2_4" rangeCreator="" othersAccessPermission="edit"/>
    <arrUserId title="区域1_4_2_1_3" rangeCreator="" othersAccessPermission="edit"/>
    <arrUserId title="区域2_1_1_3_1_1_2" rangeCreator="" othersAccessPermission="edit"/>
    <arrUserId title="区域2_7_1" rangeCreator="" othersAccessPermission="edit"/>
    <arrUserId title="区域2_7_2" rangeCreator="" othersAccessPermission="edit"/>
    <arrUserId title="区域1_22_1" rangeCreator="" othersAccessPermission="edit"/>
    <arrUserId title="区域2_7_1_1" rangeCreator="" othersAccessPermission="edit"/>
    <arrUserId title="区域1_22_2" rangeCreator="" othersAccessPermission="edit"/>
    <arrUserId title="区域1_29" rangeCreator="" othersAccessPermission="edit"/>
    <arrUserId title="区域2_7_1_2" rangeCreator="" othersAccessPermission="edit"/>
    <arrUserId title="区域3_4" rangeCreator="" othersAccessPermission="edit"/>
    <arrUserId title="区域3_5" rangeCreator="" othersAccessPermission="edit"/>
    <arrUserId title="区域1_30" rangeCreator="" othersAccessPermission="edit"/>
    <arrUserId title="区域1_7_2" rangeCreator="" othersAccessPermission="edit"/>
    <arrUserId title="区域1_31" rangeCreator="" othersAccessPermission="edit"/>
    <arrUserId title="区域1_24_1" rangeCreator="" othersAccessPermission="edit"/>
    <arrUserId title="区域1_26_1" rangeCreator="" othersAccessPermission="edit"/>
    <arrUserId title="区域1_27_1" rangeCreator="" othersAccessPermission="edit"/>
    <arrUserId title="区域1_11_2" rangeCreator="" othersAccessPermission="edit"/>
    <arrUserId title="区域1_27_2" rangeCreator="" othersAccessPermission="edit"/>
    <arrUserId title="区域1_11_1_1" rangeCreator="" othersAccessPermission="edit"/>
    <arrUserId title="区域1_6_1" rangeCreator="" othersAccessPermission="edit"/>
    <arrUserId title="区域2_9" rangeCreator="" othersAccessPermission="edit"/>
    <arrUserId title="区域3_7" rangeCreator="" othersAccessPermission="edit"/>
  </rangeList>
  <rangeList sheetStid="47" master="" otherUserPermission="visible">
    <arrUserId title="区域1_1" rangeCreator="" othersAccessPermission="edit"/>
    <arrUserId title="区域1" rangeCreator="" othersAccessPermission="edit"/>
    <arrUserId title="区域1_1_1" rangeCreator="" othersAccessPermission="edit"/>
    <arrUserId title="区域1_4" rangeCreator="" othersAccessPermission="edit"/>
    <arrUserId title="区域1_3" rangeCreator="" othersAccessPermission="edit"/>
    <arrUserId title="区域2" rangeCreator="" othersAccessPermission="edit"/>
    <arrUserId title="区域1_9" rangeCreator="" othersAccessPermission="edit"/>
    <arrUserId title="区域1_7_1" rangeCreator="" othersAccessPermission="edit"/>
    <arrUserId title="区域1_6" rangeCreator="" othersAccessPermission="edit"/>
    <arrUserId title="区域1_10" rangeCreator="" othersAccessPermission="edit"/>
    <arrUserId title="区域2_1_1_3" rangeCreator="" othersAccessPermission="edit"/>
    <arrUserId title="区域2_1_1_3_1" rangeCreator="" othersAccessPermission="edit"/>
    <arrUserId title="区域2_1_1_3_1_2_1_1" rangeCreator="" othersAccessPermission="edit"/>
    <arrUserId title="区域2_1_1_3_2" rangeCreator="" othersAccessPermission="edit"/>
    <arrUserId title="区域1_11" rangeCreator="" othersAccessPermission="edit"/>
    <arrUserId title="区域1_12" rangeCreator="" othersAccessPermission="edit"/>
    <arrUserId title="区域1_13" rangeCreator="" othersAccessPermission="edit"/>
    <arrUserId title="区域1_19" rangeCreator="" othersAccessPermission="edit"/>
    <arrUserId title="区域1_17" rangeCreator="" othersAccessPermission="edit"/>
    <arrUserId title="区域1_6_2_1" rangeCreator="" othersAccessPermission="edit"/>
    <arrUserId title="区域1_7" rangeCreator="" othersAccessPermission="edit"/>
    <arrUserId title="区域1_14" rangeCreator="" othersAccessPermission="edit"/>
    <arrUserId title="区域1_4_2" rangeCreator="" othersAccessPermission="edit"/>
    <arrUserId title="区域1_15" rangeCreator="" othersAccessPermission="edit"/>
    <arrUserId title="区域1_5" rangeCreator="" othersAccessPermission="edit"/>
    <arrUserId title="区域1_15_1" rangeCreator="" othersAccessPermission="edit"/>
    <arrUserId title="区域1_4_1" rangeCreator="" othersAccessPermission="edit"/>
    <arrUserId title="区域3" rangeCreator="" othersAccessPermission="edit"/>
    <arrUserId title="区域3_1" rangeCreator="" othersAccessPermission="edit"/>
    <arrUserId title="区域3_2" rangeCreator="" othersAccessPermission="edit"/>
    <arrUserId title="区域1_20" rangeCreator="" othersAccessPermission="edit"/>
    <arrUserId title="区域1_4_2_1" rangeCreator="" othersAccessPermission="edit"/>
    <arrUserId title="区域1_7_2" rangeCreator="" othersAccessPermission="edit"/>
    <arrUserId title="区域1_4_2_2" rangeCreator="" othersAccessPermission="edit"/>
    <arrUserId title="区域1_2" rangeCreator="" othersAccessPermission="edit"/>
    <arrUserId title="区域1_4_2_3" rangeCreator="" othersAccessPermission="edit"/>
    <arrUserId title="区域1_4_2_1_1" rangeCreator="" othersAccessPermission="edit"/>
    <arrUserId title="区域1_16" rangeCreator="" othersAccessPermission="edit"/>
    <arrUserId title="区域1_4_2_2_1" rangeCreator="" othersAccessPermission="edit"/>
    <arrUserId title="区域1_18" rangeCreator="" othersAccessPermission="edit"/>
    <arrUserId title="区域1_12_1" rangeCreator="" othersAccessPermission="edit"/>
    <arrUserId title="区域1_17_1" rangeCreator="" othersAccessPermission="edit"/>
    <arrUserId title="区域1_5_1_1_1" rangeCreator="" othersAccessPermission="edit"/>
    <arrUserId title="区域2_1_1_3_1_1" rangeCreator="" othersAccessPermission="edit"/>
    <arrUserId title="区域1_11_1" rangeCreator="" othersAccessPermission="edit"/>
    <arrUserId title="区域1_23" rangeCreator="" othersAccessPermission="edit"/>
    <arrUserId title="区域1_4_2_3_1" rangeCreator="" othersAccessPermission="edit"/>
    <arrUserId title="区域1_4_2_1_2" rangeCreator="" othersAccessPermission="edit"/>
    <arrUserId title="区域1_8" rangeCreator="" othersAccessPermission="edit"/>
    <arrUserId title="区域2_1" rangeCreator="" othersAccessPermission="edit"/>
    <arrUserId title="区域2_2" rangeCreator="" othersAccessPermission="edit"/>
    <arrUserId title="区域1_14_1" rangeCreator="" othersAccessPermission="edit"/>
    <arrUserId title="区域1_25_1" rangeCreator="" othersAccessPermission="edit"/>
    <arrUserId title="区域1_21" rangeCreator="" othersAccessPermission="edit"/>
    <arrUserId title="区域1_22" rangeCreator="" othersAccessPermission="edit"/>
    <arrUserId title="区域2_2_2" rangeCreator="" othersAccessPermission="edit"/>
    <arrUserId title="区域2_3" rangeCreator="" othersAccessPermission="edit"/>
    <arrUserId title="区域2_4" rangeCreator="" othersAccessPermission="edit"/>
    <arrUserId title="区域1_24" rangeCreator="" othersAccessPermission="edit"/>
    <arrUserId title="区域3_3" rangeCreator="" othersAccessPermission="edit"/>
    <arrUserId title="区域2_6_1" rangeCreator="" othersAccessPermission="edit"/>
    <arrUserId title="区域1_25" rangeCreator="" othersAccessPermission="edit"/>
    <arrUserId title="区域1_1_3" rangeCreator="" othersAccessPermission="edit"/>
    <arrUserId title="区域1_27" rangeCreator="" othersAccessPermission="edit"/>
    <arrUserId title="区域2_1_1_3_1_1_2" rangeCreator="" othersAccessPermission="edit"/>
    <arrUserId title="区域2_7" rangeCreator="" othersAccessPermission="edit"/>
    <arrUserId title="区域2_7_1" rangeCreator="" othersAccessPermission="edit"/>
    <arrUserId title="区域1_22_1" rangeCreator="" othersAccessPermission="edit"/>
    <arrUserId title="区域2_7_1_1" rangeCreator="" othersAccessPermission="edit"/>
    <arrUserId title="区域1_26" rangeCreator="" othersAccessPermission="edit"/>
    <arrUserId title="区域1_28" rangeCreator="" othersAccessPermission="edit"/>
    <arrUserId title="区域3_4" rangeCreator="" othersAccessPermission="edit"/>
    <arrUserId title="区域3_5" rangeCreator="" othersAccessPermission="edit"/>
    <arrUserId title="区域1_29" rangeCreator="" othersAccessPermission="edit"/>
    <arrUserId title="区域1_24_1" rangeCreator="" othersAccessPermission="edit"/>
    <arrUserId title="区域1_26_1" rangeCreator="" othersAccessPermission="edit"/>
    <arrUserId title="区域1_27_1" rangeCreator="" othersAccessPermission="edit"/>
    <arrUserId title="区域1_14_1_1" rangeCreator="" othersAccessPermission="edit"/>
    <arrUserId title="区域1_14_3" rangeCreator="" othersAccessPermission="edit"/>
    <arrUserId title="区域1_14_4" rangeCreator="" othersAccessPermission="edit"/>
    <arrUserId title="区域1_14_5" rangeCreator="" othersAccessPermission="edit"/>
    <arrUserId title="区域1_27_2" rangeCreator="" othersAccessPermission="edit"/>
    <arrUserId title="区域1_11_1_1" rangeCreator="" othersAccessPermission="edit"/>
    <arrUserId title="区域1_6_1" rangeCreator="" othersAccessPermission="edit"/>
    <arrUserId title="区域2_5" rangeCreator="" othersAccessPermission="edit"/>
    <arrUserId title="区域3_7" rangeCreator="" othersAccessPermission="edit"/>
  </rangeList>
  <rangeList sheetStid="13" master="" otherUserPermission="visible"/>
  <rangeList sheetStid="22" master="" otherUserPermission="visible"/>
  <rangeList sheetStid="49"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Company>微软中国</Company>
  <Application>Microsoft Excel</Application>
  <HeadingPairs>
    <vt:vector size="2" baseType="variant">
      <vt:variant>
        <vt:lpstr>工作表</vt:lpstr>
      </vt:variant>
      <vt:variant>
        <vt:i4>16</vt:i4>
      </vt:variant>
    </vt:vector>
  </HeadingPairs>
  <TitlesOfParts>
    <vt:vector size="16" baseType="lpstr">
      <vt:lpstr>规则</vt:lpstr>
      <vt:lpstr>初始化表</vt:lpstr>
      <vt:lpstr>导入决策</vt:lpstr>
      <vt:lpstr>工资系数初始化</vt:lpstr>
      <vt:lpstr>初期</vt:lpstr>
      <vt:lpstr>第1期</vt:lpstr>
      <vt:lpstr>第2期</vt:lpstr>
      <vt:lpstr>第3期</vt:lpstr>
      <vt:lpstr>第4期</vt:lpstr>
      <vt:lpstr>第5期</vt:lpstr>
      <vt:lpstr>第6期</vt:lpstr>
      <vt:lpstr>第7期</vt:lpstr>
      <vt:lpstr>第8期</vt:lpstr>
      <vt:lpstr>综合分析</vt:lpstr>
      <vt:lpstr>场景分析</vt:lpstr>
      <vt:lpstr>时间序列预测</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你的小张</cp:lastModifiedBy>
  <dcterms:created xsi:type="dcterms:W3CDTF">2010-03-09T07:20:00Z</dcterms:created>
  <cp:lastPrinted>2411-12-30T00:00:00Z</cp:lastPrinted>
  <dcterms:modified xsi:type="dcterms:W3CDTF">2025-11-22T18:26:16Z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2052-12.1.0.20305</vt:lpwstr>
  </property>
  <property fmtid="{D5CDD505-2E9C-101B-9397-08002B2CF9AE}" pid="3" name="ICV">
    <vt:lpwstr>03B954A39DAA4AFAA984CE0C9D5D6515</vt:lpwstr>
  </property>
  <property fmtid="{D5CDD505-2E9C-101B-9397-08002B2CF9AE}" pid="4" name="KSOReadingLayout">
    <vt:bool>true</vt:bool>
  </property>
</Properties>
</file>