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adm\"/>
    </mc:Choice>
  </mc:AlternateContent>
  <xr:revisionPtr revIDLastSave="0" documentId="13_ncr:1_{3E7B6B1A-2611-4A63-90EA-55BD4810CFF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toichio" sheetId="1" r:id="rId1"/>
    <sheet name="benchmark" sheetId="2" r:id="rId2"/>
    <sheet name="Sheet2" sheetId="3" r:id="rId3"/>
  </sheets>
  <definedNames>
    <definedName name="_R">benchmark!$O$43</definedName>
    <definedName name="b_aa">benchmark!$L$39</definedName>
    <definedName name="b_ac">benchmark!$L$43</definedName>
    <definedName name="b_c4">benchmark!$L$41</definedName>
    <definedName name="b_fa">benchmark!$L$40</definedName>
    <definedName name="b_h2">benchmark!$L$44</definedName>
    <definedName name="b_pro">benchmark!$L$42</definedName>
    <definedName name="b_su">benchmark!$L$38</definedName>
    <definedName name="C_aa">benchmark!$I$34</definedName>
    <definedName name="C_ac">benchmark!$I$38</definedName>
    <definedName name="C_bac">benchmark!$I$39</definedName>
    <definedName name="C_bu">benchmark!$I$36</definedName>
    <definedName name="C_ch">benchmark!$I$29</definedName>
    <definedName name="C_ch4">benchmark!$I$41</definedName>
    <definedName name="C_fa">benchmark!$I$35</definedName>
    <definedName name="C_li">benchmark!$I$31</definedName>
    <definedName name="C_pr">benchmark!$I$30</definedName>
    <definedName name="C_pro">benchmark!$I$37</definedName>
    <definedName name="C_sI">benchmark!$I$28</definedName>
    <definedName name="C_su">benchmark!$I$33</definedName>
    <definedName name="C_va">benchmark!$I$40</definedName>
    <definedName name="C_xc">benchmark!$I$27</definedName>
    <definedName name="C_xI">benchmark!$I$32</definedName>
    <definedName name="f_ac_aa">benchmark!$C$41</definedName>
    <definedName name="f_ac_su">benchmark!$C$36</definedName>
    <definedName name="f_bu_aa">benchmark!$C$39</definedName>
    <definedName name="f_bu_su">benchmark!$C$34</definedName>
    <definedName name="f_ch_xc">benchmark!$C$28</definedName>
    <definedName name="f_fa_li">benchmark!$C$32</definedName>
    <definedName name="f_h2_aa">benchmark!$C$37</definedName>
    <definedName name="f_h2_su">benchmark!$C$33</definedName>
    <definedName name="f_li_xc">benchmark!$C$30</definedName>
    <definedName name="f_pr_xc">benchmark!$C$29</definedName>
    <definedName name="f_pro_aa">benchmark!$C$40</definedName>
    <definedName name="f_pro_su">benchmark!$C$35</definedName>
    <definedName name="f_sI_xc">benchmark!$C$27</definedName>
    <definedName name="f_va_aa">benchmark!$C$38</definedName>
    <definedName name="f_xI_xc">benchmark!$C$31</definedName>
    <definedName name="I_10">benchmark!$Y$35</definedName>
    <definedName name="I_11">benchmark!$Y$36</definedName>
    <definedName name="I_12">benchmark!$Y$37</definedName>
    <definedName name="I_5">benchmark!$Y$31</definedName>
    <definedName name="I_6">benchmark!$Y$32</definedName>
    <definedName name="I_7">benchmark!$Y$33</definedName>
    <definedName name="I_89">benchmark!$Y$34</definedName>
    <definedName name="I_IN">benchmark!$R$27</definedName>
    <definedName name="I_nh3">benchmark!$R$28</definedName>
    <definedName name="k_aa">benchmark!$L$32</definedName>
    <definedName name="k_ac">benchmark!$L$36</definedName>
    <definedName name="k_c4">benchmark!$L$34</definedName>
    <definedName name="k_dis">benchmark!$L$27</definedName>
    <definedName name="k_fa">benchmark!$L$33</definedName>
    <definedName name="k_h2">benchmark!$L$37</definedName>
    <definedName name="k_pro">benchmark!$L$35</definedName>
    <definedName name="k_su">benchmark!$L$31</definedName>
    <definedName name="kh_ch">benchmark!$L$28</definedName>
    <definedName name="KH_ch4">benchmark!$O$47</definedName>
    <definedName name="KH_co2">benchmark!$O$48</definedName>
    <definedName name="KH_h2">benchmark!$O$46</definedName>
    <definedName name="kh_li">benchmark!$L$30</definedName>
    <definedName name="kh_pr">benchmark!$L$29</definedName>
    <definedName name="KI_nh3">benchmark!$O$28</definedName>
    <definedName name="kLa">benchmark!$O$45</definedName>
    <definedName name="KS_aa">benchmark!$O$32</definedName>
    <definedName name="KS_ac">benchmark!$O$36</definedName>
    <definedName name="KS_c4">benchmark!$O$34</definedName>
    <definedName name="KS_fa">benchmark!$O$33</definedName>
    <definedName name="KS_h2">benchmark!$O$37</definedName>
    <definedName name="KS_IN">benchmark!$O$27</definedName>
    <definedName name="KS_pro">benchmark!$O$35</definedName>
    <definedName name="KS_su">benchmark!$O$31</definedName>
    <definedName name="N_aa">benchmark!$F$29</definedName>
    <definedName name="N_bac">benchmark!$F$30</definedName>
    <definedName name="N_I">benchmark!$F$28</definedName>
    <definedName name="N_xc">benchmark!$F$27</definedName>
    <definedName name="p_ch4">benchmark!$L$50</definedName>
    <definedName name="p_co2">benchmark!$L$51</definedName>
    <definedName name="p_h2">benchmark!$L$49</definedName>
    <definedName name="pH">benchmark!$L$46</definedName>
    <definedName name="S_aa">benchmark!$D$25</definedName>
    <definedName name="S_ac">benchmark!$I$25</definedName>
    <definedName name="S_bu">benchmark!$G$25</definedName>
    <definedName name="S_ch4">benchmark!$K$25</definedName>
    <definedName name="S_co2">benchmark!$L$48</definedName>
    <definedName name="S_fa">benchmark!$E$25</definedName>
    <definedName name="S_h2">benchmark!$J$25</definedName>
    <definedName name="S_hion">benchmark!$L$45</definedName>
    <definedName name="S_I">benchmark!$N$25</definedName>
    <definedName name="S_IC">benchmark!$L$25</definedName>
    <definedName name="S_IN">benchmark!$M$25</definedName>
    <definedName name="S_nh3">benchmark!$L$47</definedName>
    <definedName name="S_pro">benchmark!$H$25</definedName>
    <definedName name="S_su">benchmark!$C$25</definedName>
    <definedName name="S_va">benchmark!$F$25</definedName>
    <definedName name="T_op">benchmark!$O$44</definedName>
    <definedName name="X_aa">benchmark!$T$25</definedName>
    <definedName name="X_ac">benchmark!$X$25</definedName>
    <definedName name="X_c">benchmark!$O$25</definedName>
    <definedName name="X_c4">benchmark!$V$25</definedName>
    <definedName name="X_ch">benchmark!$P$25</definedName>
    <definedName name="X_fa">benchmark!$U$25</definedName>
    <definedName name="X_h2">benchmark!$Y$25</definedName>
    <definedName name="X_I">benchmark!$Z$25</definedName>
    <definedName name="X_li">benchmark!$R$25</definedName>
    <definedName name="X_pr">benchmark!$Q$25</definedName>
    <definedName name="X_pro">benchmark!$W$25</definedName>
    <definedName name="X_su">benchmark!$S$25</definedName>
    <definedName name="Y_aa">benchmark!$C$48</definedName>
    <definedName name="Y_ac">benchmark!$C$52</definedName>
    <definedName name="Y_c4">benchmark!$C$50</definedName>
    <definedName name="Y_fa">benchmark!$C$49</definedName>
    <definedName name="Y_h2">benchmark!$C$53</definedName>
    <definedName name="Y_pro">benchmark!$C$51</definedName>
    <definedName name="Y_su">benchmark!$C$47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8" i="2" l="1"/>
  <c r="AD23" i="2"/>
  <c r="AD21" i="2"/>
  <c r="AF21" i="2" s="1"/>
  <c r="P46" i="2"/>
  <c r="P47" i="2"/>
  <c r="L45" i="2"/>
  <c r="AA32" i="2"/>
  <c r="AA33" i="2"/>
  <c r="AA34" i="2"/>
  <c r="AA35" i="2"/>
  <c r="AA36" i="2"/>
  <c r="AA37" i="2"/>
  <c r="AA31" i="2"/>
  <c r="P49" i="2"/>
  <c r="P50" i="2"/>
  <c r="P51" i="2"/>
  <c r="AD22" i="2"/>
  <c r="AF22" i="2" s="1"/>
  <c r="AD20" i="2"/>
  <c r="AD19" i="2"/>
  <c r="AF19" i="2" s="1"/>
  <c r="AD18" i="2"/>
  <c r="AF18" i="2" s="1"/>
  <c r="AD17" i="2"/>
  <c r="AF17" i="2" s="1"/>
  <c r="AD16" i="2"/>
  <c r="AD15" i="2"/>
  <c r="AF15" i="2" s="1"/>
  <c r="AD14" i="2"/>
  <c r="AF14" i="2" s="1"/>
  <c r="AD5" i="2"/>
  <c r="AF5" i="2" s="1"/>
  <c r="AD4" i="2"/>
  <c r="AF4" i="2" s="1"/>
  <c r="AD3" i="2"/>
  <c r="AF3" i="2" s="1"/>
  <c r="AD2" i="2"/>
  <c r="AF2" i="2" s="1"/>
  <c r="V32" i="2"/>
  <c r="X32" i="2" s="1"/>
  <c r="V33" i="2"/>
  <c r="X33" i="2" s="1"/>
  <c r="V34" i="2"/>
  <c r="X34" i="2" s="1"/>
  <c r="V35" i="2"/>
  <c r="AB35" i="2" s="1"/>
  <c r="V36" i="2"/>
  <c r="AB36" i="2" s="1"/>
  <c r="V37" i="2"/>
  <c r="X37" i="2" s="1"/>
  <c r="V31" i="2"/>
  <c r="X31" i="2" s="1"/>
  <c r="R28" i="2" a="1"/>
  <c r="R28" i="2" s="1"/>
  <c r="R34" i="2"/>
  <c r="R35" i="2"/>
  <c r="R33" i="2"/>
  <c r="R27" i="2"/>
  <c r="M30" i="1"/>
  <c r="N30" i="1" s="1"/>
  <c r="F30" i="2"/>
  <c r="M18" i="2" s="1"/>
  <c r="M18" i="3" s="1"/>
  <c r="L2" i="2"/>
  <c r="L2" i="3" s="1"/>
  <c r="M33" i="1"/>
  <c r="N33" i="1" s="1"/>
  <c r="M32" i="1"/>
  <c r="M31" i="1"/>
  <c r="M29" i="1"/>
  <c r="M28" i="1"/>
  <c r="M27" i="1"/>
  <c r="M26" i="1"/>
  <c r="L27" i="1"/>
  <c r="L28" i="1"/>
  <c r="L29" i="1"/>
  <c r="L30" i="1"/>
  <c r="L31" i="1"/>
  <c r="L32" i="1"/>
  <c r="L33" i="1"/>
  <c r="L26" i="1"/>
  <c r="M3" i="3"/>
  <c r="M4" i="3"/>
  <c r="M5" i="3"/>
  <c r="L15" i="2"/>
  <c r="L15" i="3" s="1"/>
  <c r="L16" i="2"/>
  <c r="L16" i="3" s="1"/>
  <c r="L17" i="2"/>
  <c r="L17" i="3" s="1"/>
  <c r="L18" i="2"/>
  <c r="L18" i="3" s="1"/>
  <c r="L19" i="2"/>
  <c r="L19" i="3" s="1"/>
  <c r="L20" i="2"/>
  <c r="L20" i="3" s="1"/>
  <c r="L14" i="2"/>
  <c r="L14" i="3" s="1"/>
  <c r="L13" i="2"/>
  <c r="L13" i="3" s="1"/>
  <c r="L12" i="2"/>
  <c r="L12" i="3" s="1"/>
  <c r="L11" i="2"/>
  <c r="L11" i="3" s="1"/>
  <c r="L10" i="2"/>
  <c r="L10" i="3" s="1"/>
  <c r="L9" i="2"/>
  <c r="L9" i="3" s="1"/>
  <c r="L8" i="2"/>
  <c r="L8" i="3" s="1"/>
  <c r="L7" i="2"/>
  <c r="L7" i="3" s="1"/>
  <c r="L6" i="2"/>
  <c r="L6" i="3" s="1"/>
  <c r="L5" i="2"/>
  <c r="L5" i="3" s="1"/>
  <c r="L4" i="2"/>
  <c r="L4" i="3" s="1"/>
  <c r="L3" i="2"/>
  <c r="L3" i="3" s="1"/>
  <c r="N2" i="2"/>
  <c r="N2" i="3" s="1"/>
  <c r="L22" i="3"/>
  <c r="M22" i="3"/>
  <c r="L23" i="3"/>
  <c r="M23" i="3"/>
  <c r="M21" i="3"/>
  <c r="L21" i="3"/>
  <c r="D2" i="3"/>
  <c r="E2" i="3"/>
  <c r="F2" i="3"/>
  <c r="G2" i="3"/>
  <c r="H2" i="3"/>
  <c r="I2" i="3"/>
  <c r="J2" i="3"/>
  <c r="K2" i="3"/>
  <c r="O2" i="3"/>
  <c r="S2" i="3"/>
  <c r="T2" i="3"/>
  <c r="U2" i="3"/>
  <c r="V2" i="3"/>
  <c r="W2" i="3"/>
  <c r="X2" i="3"/>
  <c r="Y2" i="3"/>
  <c r="AA2" i="3"/>
  <c r="AB2" i="3"/>
  <c r="AC2" i="3"/>
  <c r="D3" i="3"/>
  <c r="E3" i="3"/>
  <c r="F3" i="3"/>
  <c r="G3" i="3"/>
  <c r="H3" i="3"/>
  <c r="I3" i="3"/>
  <c r="J3" i="3"/>
  <c r="K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D4" i="3"/>
  <c r="E4" i="3"/>
  <c r="F4" i="3"/>
  <c r="G4" i="3"/>
  <c r="H4" i="3"/>
  <c r="I4" i="3"/>
  <c r="J4" i="3"/>
  <c r="K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D5" i="3"/>
  <c r="F5" i="3"/>
  <c r="G5" i="3"/>
  <c r="H5" i="3"/>
  <c r="I5" i="3"/>
  <c r="J5" i="3"/>
  <c r="K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D6" i="3"/>
  <c r="E6" i="3"/>
  <c r="F6" i="3"/>
  <c r="K6" i="3"/>
  <c r="N6" i="3"/>
  <c r="O6" i="3"/>
  <c r="P6" i="3"/>
  <c r="Q6" i="3"/>
  <c r="R6" i="3"/>
  <c r="T6" i="3"/>
  <c r="U6" i="3"/>
  <c r="V6" i="3"/>
  <c r="W6" i="3"/>
  <c r="X6" i="3"/>
  <c r="Y6" i="3"/>
  <c r="Z6" i="3"/>
  <c r="AA6" i="3"/>
  <c r="AB6" i="3"/>
  <c r="AC6" i="3"/>
  <c r="D7" i="3"/>
  <c r="E7" i="3"/>
  <c r="K7" i="3"/>
  <c r="N7" i="3"/>
  <c r="O7" i="3"/>
  <c r="P7" i="3"/>
  <c r="Q7" i="3"/>
  <c r="R7" i="3"/>
  <c r="S7" i="3"/>
  <c r="U7" i="3"/>
  <c r="V7" i="3"/>
  <c r="W7" i="3"/>
  <c r="X7" i="3"/>
  <c r="Y7" i="3"/>
  <c r="Z7" i="3"/>
  <c r="AA7" i="3"/>
  <c r="AB7" i="3"/>
  <c r="AC7" i="3"/>
  <c r="D8" i="3"/>
  <c r="E8" i="3"/>
  <c r="F8" i="3"/>
  <c r="G8" i="3"/>
  <c r="H8" i="3"/>
  <c r="K8" i="3"/>
  <c r="N8" i="3"/>
  <c r="O8" i="3"/>
  <c r="P8" i="3"/>
  <c r="Q8" i="3"/>
  <c r="R8" i="3"/>
  <c r="S8" i="3"/>
  <c r="T8" i="3"/>
  <c r="V8" i="3"/>
  <c r="W8" i="3"/>
  <c r="X8" i="3"/>
  <c r="Y8" i="3"/>
  <c r="Z8" i="3"/>
  <c r="AA8" i="3"/>
  <c r="AB8" i="3"/>
  <c r="AC8" i="3"/>
  <c r="D9" i="3"/>
  <c r="E9" i="3"/>
  <c r="F9" i="3"/>
  <c r="G9" i="3"/>
  <c r="K9" i="3"/>
  <c r="N9" i="3"/>
  <c r="O9" i="3"/>
  <c r="P9" i="3"/>
  <c r="Q9" i="3"/>
  <c r="R9" i="3"/>
  <c r="S9" i="3"/>
  <c r="T9" i="3"/>
  <c r="U9" i="3"/>
  <c r="W9" i="3"/>
  <c r="X9" i="3"/>
  <c r="Y9" i="3"/>
  <c r="Z9" i="3"/>
  <c r="AA9" i="3"/>
  <c r="AB9" i="3"/>
  <c r="AC9" i="3"/>
  <c r="D10" i="3"/>
  <c r="E10" i="3"/>
  <c r="F10" i="3"/>
  <c r="G10" i="3"/>
  <c r="H10" i="3"/>
  <c r="K10" i="3"/>
  <c r="N10" i="3"/>
  <c r="O10" i="3"/>
  <c r="P10" i="3"/>
  <c r="Q10" i="3"/>
  <c r="R10" i="3"/>
  <c r="S10" i="3"/>
  <c r="T10" i="3"/>
  <c r="U10" i="3"/>
  <c r="W10" i="3"/>
  <c r="X10" i="3"/>
  <c r="Y10" i="3"/>
  <c r="Z10" i="3"/>
  <c r="AA10" i="3"/>
  <c r="AB10" i="3"/>
  <c r="AC10" i="3"/>
  <c r="D11" i="3"/>
  <c r="E11" i="3"/>
  <c r="F11" i="3"/>
  <c r="G11" i="3"/>
  <c r="H11" i="3"/>
  <c r="K11" i="3"/>
  <c r="N11" i="3"/>
  <c r="O11" i="3"/>
  <c r="P11" i="3"/>
  <c r="Q11" i="3"/>
  <c r="R11" i="3"/>
  <c r="S11" i="3"/>
  <c r="T11" i="3"/>
  <c r="U11" i="3"/>
  <c r="V11" i="3"/>
  <c r="X11" i="3"/>
  <c r="Y11" i="3"/>
  <c r="Z11" i="3"/>
  <c r="AA11" i="3"/>
  <c r="AB11" i="3"/>
  <c r="AC11" i="3"/>
  <c r="D12" i="3"/>
  <c r="E12" i="3"/>
  <c r="F12" i="3"/>
  <c r="G12" i="3"/>
  <c r="H12" i="3"/>
  <c r="I12" i="3"/>
  <c r="J12" i="3"/>
  <c r="N12" i="3"/>
  <c r="O12" i="3"/>
  <c r="P12" i="3"/>
  <c r="Q12" i="3"/>
  <c r="R12" i="3"/>
  <c r="S12" i="3"/>
  <c r="T12" i="3"/>
  <c r="U12" i="3"/>
  <c r="V12" i="3"/>
  <c r="W12" i="3"/>
  <c r="Y12" i="3"/>
  <c r="Z12" i="3"/>
  <c r="AA12" i="3"/>
  <c r="AB12" i="3"/>
  <c r="AC12" i="3"/>
  <c r="D13" i="3"/>
  <c r="E13" i="3"/>
  <c r="F13" i="3"/>
  <c r="G13" i="3"/>
  <c r="H13" i="3"/>
  <c r="I13" i="3"/>
  <c r="J13" i="3"/>
  <c r="N13" i="3"/>
  <c r="O13" i="3"/>
  <c r="P13" i="3"/>
  <c r="Q13" i="3"/>
  <c r="R13" i="3"/>
  <c r="S13" i="3"/>
  <c r="T13" i="3"/>
  <c r="U13" i="3"/>
  <c r="V13" i="3"/>
  <c r="W13" i="3"/>
  <c r="X13" i="3"/>
  <c r="Z13" i="3"/>
  <c r="AA13" i="3"/>
  <c r="AB13" i="3"/>
  <c r="AC13" i="3"/>
  <c r="D14" i="3"/>
  <c r="E14" i="3"/>
  <c r="F14" i="3"/>
  <c r="G14" i="3"/>
  <c r="H14" i="3"/>
  <c r="I14" i="3"/>
  <c r="J14" i="3"/>
  <c r="K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D15" i="3"/>
  <c r="E15" i="3"/>
  <c r="F15" i="3"/>
  <c r="G15" i="3"/>
  <c r="H15" i="3"/>
  <c r="I15" i="3"/>
  <c r="J15" i="3"/>
  <c r="K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D16" i="3"/>
  <c r="E16" i="3"/>
  <c r="F16" i="3"/>
  <c r="G16" i="3"/>
  <c r="H16" i="3"/>
  <c r="I16" i="3"/>
  <c r="J16" i="3"/>
  <c r="K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D17" i="3"/>
  <c r="E17" i="3"/>
  <c r="F17" i="3"/>
  <c r="G17" i="3"/>
  <c r="H17" i="3"/>
  <c r="I17" i="3"/>
  <c r="J17" i="3"/>
  <c r="K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D18" i="3"/>
  <c r="E18" i="3"/>
  <c r="F18" i="3"/>
  <c r="G18" i="3"/>
  <c r="H18" i="3"/>
  <c r="I18" i="3"/>
  <c r="J18" i="3"/>
  <c r="K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D19" i="3"/>
  <c r="E19" i="3"/>
  <c r="F19" i="3"/>
  <c r="G19" i="3"/>
  <c r="H19" i="3"/>
  <c r="I19" i="3"/>
  <c r="J19" i="3"/>
  <c r="K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D20" i="3"/>
  <c r="E20" i="3"/>
  <c r="F20" i="3"/>
  <c r="G20" i="3"/>
  <c r="H20" i="3"/>
  <c r="I20" i="3"/>
  <c r="J20" i="3"/>
  <c r="K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D21" i="3"/>
  <c r="E21" i="3"/>
  <c r="F21" i="3"/>
  <c r="G21" i="3"/>
  <c r="H21" i="3"/>
  <c r="I21" i="3"/>
  <c r="J21" i="3"/>
  <c r="K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D22" i="3"/>
  <c r="E22" i="3"/>
  <c r="F22" i="3"/>
  <c r="G22" i="3"/>
  <c r="H22" i="3"/>
  <c r="I22" i="3"/>
  <c r="J22" i="3"/>
  <c r="K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D23" i="3"/>
  <c r="E23" i="3"/>
  <c r="F23" i="3"/>
  <c r="G23" i="3"/>
  <c r="H23" i="3"/>
  <c r="I23" i="3"/>
  <c r="J23" i="3"/>
  <c r="K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C3" i="3"/>
  <c r="C4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  <c r="Z2" i="2"/>
  <c r="Z2" i="3" s="1"/>
  <c r="Y13" i="2"/>
  <c r="Y13" i="3" s="1"/>
  <c r="X12" i="2"/>
  <c r="X12" i="3" s="1"/>
  <c r="W11" i="2"/>
  <c r="W11" i="3" s="1"/>
  <c r="V10" i="2"/>
  <c r="V10" i="3" s="1"/>
  <c r="V9" i="2"/>
  <c r="V9" i="3" s="1"/>
  <c r="U8" i="2"/>
  <c r="U8" i="3" s="1"/>
  <c r="T7" i="2"/>
  <c r="T7" i="3" s="1"/>
  <c r="S6" i="2"/>
  <c r="S6" i="3" s="1"/>
  <c r="R2" i="2"/>
  <c r="R2" i="3" s="1"/>
  <c r="Q2" i="2"/>
  <c r="Q2" i="3" s="1"/>
  <c r="P2" i="2"/>
  <c r="P2" i="3" s="1"/>
  <c r="M14" i="2"/>
  <c r="M14" i="3" s="1"/>
  <c r="K13" i="2"/>
  <c r="K13" i="3" s="1"/>
  <c r="K12" i="2"/>
  <c r="K12" i="3" s="1"/>
  <c r="J11" i="2"/>
  <c r="J11" i="3" s="1"/>
  <c r="J10" i="2"/>
  <c r="J10" i="3" s="1"/>
  <c r="J9" i="2"/>
  <c r="J9" i="3" s="1"/>
  <c r="J8" i="2"/>
  <c r="J8" i="3" s="1"/>
  <c r="J7" i="2"/>
  <c r="J7" i="3" s="1"/>
  <c r="J6" i="2"/>
  <c r="J6" i="3" s="1"/>
  <c r="I11" i="2"/>
  <c r="I11" i="3" s="1"/>
  <c r="I10" i="2"/>
  <c r="I10" i="3" s="1"/>
  <c r="I9" i="2"/>
  <c r="I9" i="3" s="1"/>
  <c r="I8" i="2"/>
  <c r="I8" i="3" s="1"/>
  <c r="I7" i="2"/>
  <c r="I7" i="3" s="1"/>
  <c r="I6" i="2"/>
  <c r="I6" i="3" s="1"/>
  <c r="H9" i="2"/>
  <c r="H9" i="3" s="1"/>
  <c r="H7" i="2"/>
  <c r="H7" i="3" s="1"/>
  <c r="H6" i="2"/>
  <c r="H6" i="3" s="1"/>
  <c r="G7" i="2"/>
  <c r="G7" i="3" s="1"/>
  <c r="G6" i="2"/>
  <c r="G6" i="3" s="1"/>
  <c r="F7" i="2"/>
  <c r="F7" i="3" s="1"/>
  <c r="E5" i="2"/>
  <c r="E5" i="3" s="1"/>
  <c r="C5" i="2"/>
  <c r="C5" i="3" s="1"/>
  <c r="M2" i="2"/>
  <c r="M2" i="3" s="1"/>
  <c r="X36" i="2" l="1"/>
  <c r="M9" i="2"/>
  <c r="M9" i="3" s="1"/>
  <c r="X35" i="2"/>
  <c r="Y35" i="2" s="1"/>
  <c r="AD11" i="2" s="1"/>
  <c r="AF23" i="2"/>
  <c r="AF16" i="2"/>
  <c r="AF20" i="2"/>
  <c r="N26" i="1"/>
  <c r="N27" i="1"/>
  <c r="N28" i="1"/>
  <c r="N29" i="1"/>
  <c r="N31" i="1"/>
  <c r="N32" i="1"/>
  <c r="AB33" i="2"/>
  <c r="AB32" i="2"/>
  <c r="AC32" i="2" s="1"/>
  <c r="AB31" i="2"/>
  <c r="AC31" i="2"/>
  <c r="AC36" i="2"/>
  <c r="AB37" i="2"/>
  <c r="AC37" i="2" s="1"/>
  <c r="M6" i="2"/>
  <c r="M6" i="3" s="1"/>
  <c r="M13" i="2"/>
  <c r="M13" i="3" s="1"/>
  <c r="M8" i="2"/>
  <c r="M8" i="3" s="1"/>
  <c r="AC35" i="2"/>
  <c r="AB34" i="2"/>
  <c r="AC34" i="2"/>
  <c r="AC33" i="2"/>
  <c r="Y32" i="2"/>
  <c r="AD7" i="2" s="1"/>
  <c r="Y37" i="2"/>
  <c r="AD13" i="2" s="1"/>
  <c r="Y36" i="2" a="1"/>
  <c r="Y36" i="2" s="1"/>
  <c r="Y34" i="2"/>
  <c r="AD9" i="2" s="1"/>
  <c r="Y33" i="2"/>
  <c r="AD8" i="2" s="1"/>
  <c r="Y31" i="2"/>
  <c r="AD6" i="2" s="1"/>
  <c r="M19" i="2"/>
  <c r="M19" i="3" s="1"/>
  <c r="M7" i="2"/>
  <c r="M7" i="3" s="1"/>
  <c r="M20" i="2"/>
  <c r="M20" i="3" s="1"/>
  <c r="M10" i="2"/>
  <c r="M10" i="3" s="1"/>
  <c r="M17" i="2"/>
  <c r="M17" i="3" s="1"/>
  <c r="M11" i="2"/>
  <c r="M11" i="3" s="1"/>
  <c r="M16" i="2"/>
  <c r="M16" i="3" s="1"/>
  <c r="M12" i="2"/>
  <c r="M12" i="3" s="1"/>
  <c r="M15" i="2"/>
  <c r="M15" i="3" s="1"/>
  <c r="AF13" i="2" l="1"/>
  <c r="AF9" i="2"/>
  <c r="AF7" i="2"/>
  <c r="AF11" i="2"/>
  <c r="AF8" i="2"/>
  <c r="AF6" i="2"/>
  <c r="AD12" i="2"/>
  <c r="AD10" i="2"/>
  <c r="AF10" i="2" l="1"/>
  <c r="AF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tc={A808BF2D-6FAD-444B-BEEF-AC8618E56563}</author>
    <author>tc={D711D467-43ED-4DDB-BD96-F5866A318AC1}</author>
    <author>tc={992E75D2-4FA9-4C27-B995-7D0EE3A1E39D}</author>
    <author>tc={255D7B7F-010C-4C59-8F03-CCCABD72DFE2}</author>
    <author>tc={AADCC4EF-89B6-49C3-B777-2E4B905FE9F0}</author>
    <author>tc={37D606B0-2781-4A54-9926-D776D4283C2B}</author>
    <author>tc={809AB357-44E9-4786-86C6-E44AA8CE6E5C}</author>
    <author>tc={32397683-4ECD-4E6E-A16D-0300E9690CA4}</author>
    <author>tc={D216DA39-6AEF-487D-BF10-2A3B07B4C3C0}</author>
    <author>tc={811DBCCA-1BC1-4025-B575-51EDB8E37521}</author>
    <author>tc={E64E0474-C39E-429B-829E-2E71015CDDD8}</author>
    <author>tc={E19C0C07-FB8E-435F-8340-3132DDE20ABD}</author>
  </authors>
  <commentList>
    <comment ref="AF23" authorId="0" shapeId="0" xr:uid="{A808BF2D-6FAD-444B-BEEF-AC8618E56563}">
      <text>
        <t>[Threaded comment]
Your version of Excel allows you to read this threaded comment; however, any edits to it will get removed if the file is opened in a newer version of Excel. Learn more: https://go.microsoft.com/fwlink/?linkid=870924
Comment:
    accumlated rounding error</t>
      </text>
    </comment>
    <comment ref="L25" authorId="1" shapeId="0" xr:uid="{D711D467-43ED-4DDB-BD96-F5866A318AC1}">
      <text>
        <t>[Threaded comment]
Your version of Excel allows you to read this threaded comment; however, any edits to it will get removed if the file is opened in a newer version of Excel. Learn more: https://go.microsoft.com/fwlink/?linkid=870924
Comment:
    kmol C/m3 = M C</t>
      </text>
    </comment>
    <comment ref="M25" authorId="2" shapeId="0" xr:uid="{992E75D2-4FA9-4C27-B995-7D0EE3A1E39D}">
      <text>
        <t>[Threaded comment]
Your version of Excel allows you to read this threaded comment; however, any edits to it will get removed if the file is opened in a newer version of Excel. Learn more: https://go.microsoft.com/fwlink/?linkid=870924
Comment:
    kmol N/m3 = M N</t>
      </text>
    </comment>
    <comment ref="O46" authorId="3" shapeId="0" xr:uid="{255D7B7F-010C-4C59-8F03-CCCABD72DFE2}">
      <text>
        <t>[Threaded comment]
Your version of Excel allows you to read this threaded comment; however, any edits to it will get removed if the file is opened in a newer version of Excel. Learn more: https://go.microsoft.com/fwlink/?linkid=870924
Comment:
    M_liq/bar</t>
      </text>
    </comment>
    <comment ref="L47" authorId="4" shapeId="0" xr:uid="{AADCC4EF-89B6-49C3-B777-2E4B905FE9F0}">
      <text>
        <t>[Threaded comment]
Your version of Excel allows you to read this threaded comment; however, any edits to it will get removed if the file is opened in a newer version of Excel. Learn more: https://go.microsoft.com/fwlink/?linkid=870924
Comment:
    kmol N/m3 = M N</t>
      </text>
    </comment>
    <comment ref="L48" authorId="5" shapeId="0" xr:uid="{37D606B0-2781-4A54-9926-D776D4283C2B}">
      <text>
        <t>[Threaded comment]
Your version of Excel allows you to read this threaded comment; however, any edits to it will get removed if the file is opened in a newer version of Excel. Learn more: https://go.microsoft.com/fwlink/?linkid=870924
Comment:
    kmol C/m3 = M C</t>
      </text>
    </comment>
    <comment ref="L49" authorId="6" shapeId="0" xr:uid="{809AB357-44E9-4786-86C6-E44AA8CE6E5C}">
      <text>
        <t>[Threaded comment]
Your version of Excel allows you to read this threaded comment; however, any edits to it will get removed if the file is opened in a newer version of Excel. Learn more: https://go.microsoft.com/fwlink/?linkid=870924
Comment:
    bar</t>
      </text>
    </comment>
    <comment ref="O49" authorId="7" shapeId="0" xr:uid="{32397683-4ECD-4E6E-A16D-0300E9690CA4}">
      <text>
        <t>[Threaded comment]
Your version of Excel allows you to read this threaded comment; however, any edits to it will get removed if the file is opened in a newer version of Excel. Learn more: https://go.microsoft.com/fwlink/?linkid=870924
Comment:
    kg COD/m3 = g COD/L</t>
      </text>
    </comment>
    <comment ref="P49" authorId="8" shapeId="0" xr:uid="{D216DA39-6AEF-487D-BF10-2A3B07B4C3C0}">
      <text>
        <t>[Threaded comment]
Your version of Excel allows you to read this threaded comment; however, any edits to it will get removed if the file is opened in a newer version of Excel. Learn more: https://go.microsoft.com/fwlink/?linkid=870924
Comment:
    M H2 gas</t>
      </text>
    </comment>
    <comment ref="O50" authorId="9" shapeId="0" xr:uid="{811DBCCA-1BC1-4025-B575-51EDB8E37521}">
      <text>
        <t>[Threaded comment]
Your version of Excel allows you to read this threaded comment; however, any edits to it will get removed if the file is opened in a newer version of Excel. Learn more: https://go.microsoft.com/fwlink/?linkid=870924
Comment:
    kg COD/m3 = g COD/L</t>
      </text>
    </comment>
    <comment ref="P50" authorId="10" shapeId="0" xr:uid="{E64E0474-C39E-429B-829E-2E71015CDDD8}">
      <text>
        <t>[Threaded comment]
Your version of Excel allows you to read this threaded comment; however, any edits to it will get removed if the file is opened in a newer version of Excel. Learn more: https://go.microsoft.com/fwlink/?linkid=870924
Comment:
    M CH4 gas</t>
      </text>
    </comment>
    <comment ref="O51" authorId="11" shapeId="0" xr:uid="{E19C0C07-FB8E-435F-8340-3132DDE20ABD}">
      <text>
        <t>[Threaded comment]
Your version of Excel allows you to read this threaded comment; however, any edits to it will get removed if the file is opened in a newer version of Excel. Learn more: https://go.microsoft.com/fwlink/?linkid=870924
Comment:
    kmol C/m3 = M C = M CO2 gas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<sst xmlns="http://schemas.openxmlformats.org/spreadsheetml/2006/main" count="262" uniqueCount="156">
  <si>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</si>
  <si>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</si>
  <si>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</si>
  <si>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</si>
  <si>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</si>
  <si>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</si>
  <si>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</si>
  <si>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</si>
  <si>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</si>
  <si>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</si>
  <si>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</si>
  <si>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</t>
  </si>
  <si>
    <t>X_c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</si>
  <si>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</si>
  <si>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</si>
  <si>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</si>
  <si>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</si>
  <si>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</si>
  <si>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</si>
  <si>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</si>
  <si>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</si>
  <si>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</si>
  <si>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</si>
  <si>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X_I</t>
  </si>
  <si>
    <t>S_cat</t>
  </si>
  <si>
    <t>S_an</t>
  </si>
  <si>
    <t>H2O</t>
  </si>
  <si>
    <t>disintegration</t>
  </si>
  <si>
    <t>hydrolysis_carbs</t>
  </si>
  <si>
    <t>hydrolysis_proteins</t>
  </si>
  <si>
    <t>hydrolysis_lipids</t>
  </si>
  <si>
    <t>uptake_sugars</t>
  </si>
  <si>
    <t>uptake_amino_acids</t>
  </si>
  <si>
    <t>uptake_LCFA</t>
  </si>
  <si>
    <t>uptake_valerate</t>
  </si>
  <si>
    <t>uptake_butyrate</t>
  </si>
  <si>
    <t>uptake_propionate</t>
  </si>
  <si>
    <t>uptake_acetate</t>
  </si>
  <si>
    <t>uptake_h2</t>
  </si>
  <si>
    <t>decay_Xsu</t>
  </si>
  <si>
    <t>decay_Xaa</t>
  </si>
  <si>
    <t>decay_Xfa</t>
  </si>
  <si>
    <t>decay_Xc4</t>
  </si>
  <si>
    <t>decay_Xpro</t>
  </si>
  <si>
    <t>decay_Xac</t>
  </si>
  <si>
    <t>decay_Xh2</t>
  </si>
  <si>
    <t>h2_transfer</t>
  </si>
  <si>
    <t>ch4_transfer</t>
  </si>
  <si>
    <t>IC_transfer</t>
  </si>
  <si>
    <t>f_ch_xc</t>
  </si>
  <si>
    <t>f_pr_xc</t>
  </si>
  <si>
    <t>f_li_xc</t>
  </si>
  <si>
    <t>f_xI_xc</t>
  </si>
  <si>
    <t>f_fa_li</t>
  </si>
  <si>
    <t>f_bu_su</t>
  </si>
  <si>
    <t>f_pro_su</t>
  </si>
  <si>
    <t>f_ac_su</t>
  </si>
  <si>
    <t>f_va_aa</t>
  </si>
  <si>
    <t>f_bu_aa</t>
  </si>
  <si>
    <t>f_pro_aa</t>
  </si>
  <si>
    <t>f_ac_aa</t>
  </si>
  <si>
    <t>f_ac_fa</t>
  </si>
  <si>
    <t>f_pro_va</t>
  </si>
  <si>
    <t>f_ac_va</t>
  </si>
  <si>
    <t>f_ac_bu</t>
  </si>
  <si>
    <t>f_ac_pro</t>
  </si>
  <si>
    <t>Y_su</t>
  </si>
  <si>
    <t>Y_aa</t>
  </si>
  <si>
    <t>Y_fa</t>
  </si>
  <si>
    <t>Y_c4</t>
  </si>
  <si>
    <t>Y_pro</t>
  </si>
  <si>
    <t>Y_ac</t>
  </si>
  <si>
    <t>Y_h2</t>
  </si>
  <si>
    <t>f_sI_xc</t>
  </si>
  <si>
    <t>N_xc</t>
  </si>
  <si>
    <t>N_I</t>
  </si>
  <si>
    <t>N_aa</t>
  </si>
  <si>
    <t>C_xc</t>
  </si>
  <si>
    <t>C_sI</t>
  </si>
  <si>
    <t>C_ch</t>
  </si>
  <si>
    <t>C_pr</t>
  </si>
  <si>
    <t>C_li</t>
  </si>
  <si>
    <t>C_xI</t>
  </si>
  <si>
    <t>C_su</t>
  </si>
  <si>
    <t>C_aa</t>
  </si>
  <si>
    <t>C_fa</t>
  </si>
  <si>
    <t>f_h2_su</t>
  </si>
  <si>
    <t>N_bac</t>
  </si>
  <si>
    <t>C_bu</t>
  </si>
  <si>
    <t>C_pro</t>
  </si>
  <si>
    <t>C_ac</t>
  </si>
  <si>
    <t>C_bac</t>
  </si>
  <si>
    <t>f_h2_aa</t>
  </si>
  <si>
    <t>C_va</t>
  </si>
  <si>
    <t>C_ch4</t>
  </si>
  <si>
    <t>T8</t>
  </si>
  <si>
    <t>T9</t>
  </si>
  <si>
    <t>T10</t>
  </si>
  <si>
    <t>state</t>
  </si>
  <si>
    <t>k_dis</t>
  </si>
  <si>
    <t>kh_ch</t>
  </si>
  <si>
    <t>kh_pr</t>
  </si>
  <si>
    <t>kh_li</t>
  </si>
  <si>
    <t>k_su</t>
  </si>
  <si>
    <t>k_aa</t>
  </si>
  <si>
    <t>k_fa</t>
  </si>
  <si>
    <t>k_c4</t>
  </si>
  <si>
    <t>k_pro</t>
  </si>
  <si>
    <t>k_ac</t>
  </si>
  <si>
    <t>k_h2</t>
  </si>
  <si>
    <t>b_su</t>
  </si>
  <si>
    <t>b_aa</t>
  </si>
  <si>
    <t>b_fa</t>
  </si>
  <si>
    <t>b_c4</t>
  </si>
  <si>
    <t>b_pro</t>
  </si>
  <si>
    <t>b_ac</t>
  </si>
  <si>
    <t>b_h2</t>
  </si>
  <si>
    <t>K_su</t>
  </si>
  <si>
    <t>K_aa</t>
  </si>
  <si>
    <t>K_fa</t>
  </si>
  <si>
    <t>K_c4</t>
  </si>
  <si>
    <t>K_pro</t>
  </si>
  <si>
    <t>K_ac</t>
  </si>
  <si>
    <t>K_h2</t>
  </si>
  <si>
    <t>KS_IN</t>
  </si>
  <si>
    <t>ph_ul</t>
  </si>
  <si>
    <t>ph_ll</t>
  </si>
  <si>
    <t>KI_nh3</t>
  </si>
  <si>
    <t>pH</t>
  </si>
  <si>
    <t>I</t>
  </si>
  <si>
    <t>I_IN</t>
  </si>
  <si>
    <t>KI_h2</t>
  </si>
  <si>
    <t>I_h2</t>
  </si>
  <si>
    <t>I_pH</t>
  </si>
  <si>
    <t>I_nh3</t>
  </si>
  <si>
    <t>S_nh3</t>
  </si>
  <si>
    <t>K_pH</t>
  </si>
  <si>
    <t>n</t>
  </si>
  <si>
    <t>rho</t>
  </si>
  <si>
    <t>kLa</t>
  </si>
  <si>
    <t>S_co2</t>
  </si>
  <si>
    <t>KH_h2</t>
  </si>
  <si>
    <t>KH_ch4</t>
  </si>
  <si>
    <t>KH_co2</t>
  </si>
  <si>
    <t>p_h2</t>
  </si>
  <si>
    <t>p_ch4</t>
  </si>
  <si>
    <t>p_co2</t>
  </si>
  <si>
    <t>Sg_h2</t>
  </si>
  <si>
    <t>Sg_ch4</t>
  </si>
  <si>
    <t>Sg_co2</t>
  </si>
  <si>
    <t>qsdsan</t>
  </si>
  <si>
    <t>diff</t>
  </si>
  <si>
    <t>K</t>
  </si>
  <si>
    <t>S_hion</t>
  </si>
  <si>
    <t>R</t>
  </si>
  <si>
    <t>T_op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</si>
</sst>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0" fontId="0" fillId="34" borderId="0" xfId="0" applyFill="1"/>
    <xf numFmtId="164" fontId="0" fillId="0" borderId="0" xfId="42" applyNumberFormat="1" applyFont="1"/>
    <xf numFmtId="164" fontId="0" fillId="34" borderId="0" xfId="42" applyNumberFormat="1" applyFont="1" applyFill="1"/>
    <xf numFmtId="165" fontId="0" fillId="0" borderId="0" xfId="0" applyNumberFormat="1"/>
    <xf numFmtId="10" fontId="0" fillId="0" borderId="0" xfId="42" applyNumberFormat="1" applyFont="1"/>
    <xf numFmtId="10" fontId="0" fillId="34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ng, Joy" id="{2BCF425B-452F-4B29-893F-31D3C79FC7F5}" userId="Zhang, Jo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23" dT="2022-06-23T19:57:14.17" personId="{2BCF425B-452F-4B29-893F-31D3C79FC7F5}" id="{A808BF2D-6FAD-444B-BEEF-AC8618E56563}">
    <text>accumlated rounding error</text>
  </threadedComment>
  <threadedComment ref="L25" dT="2022-06-23T17:17:15.47" personId="{2BCF425B-452F-4B29-893F-31D3C79FC7F5}" id="{D711D467-43ED-4DDB-BD96-F5866A318AC1}">
    <text>kmol C/m3 = M C</text>
  </threadedComment>
  <threadedComment ref="M25" dT="2022-06-23T17:17:31.45" personId="{2BCF425B-452F-4B29-893F-31D3C79FC7F5}" id="{992E75D2-4FA9-4C27-B995-7D0EE3A1E39D}">
    <text>kmol N/m3 = M N</text>
  </threadedComment>
  <threadedComment ref="O46" dT="2022-06-23T17:18:52.73" personId="{2BCF425B-452F-4B29-893F-31D3C79FC7F5}" id="{255D7B7F-010C-4C59-8F03-CCCABD72DFE2}">
    <text>M_liq/bar</text>
  </threadedComment>
  <threadedComment ref="L47" dT="2022-06-23T17:18:13.39" personId="{2BCF425B-452F-4B29-893F-31D3C79FC7F5}" id="{AADCC4EF-89B6-49C3-B777-2E4B905FE9F0}">
    <text>kmol N/m3 = M N</text>
  </threadedComment>
  <threadedComment ref="L48" dT="2022-06-23T17:18:26.81" personId="{2BCF425B-452F-4B29-893F-31D3C79FC7F5}" id="{37D606B0-2781-4A54-9926-D776D4283C2B}">
    <text>kmol C/m3 = M C</text>
  </threadedComment>
  <threadedComment ref="L49" dT="2022-06-23T17:18:36.03" personId="{2BCF425B-452F-4B29-893F-31D3C79FC7F5}" id="{809AB357-44E9-4786-86C6-E44AA8CE6E5C}">
    <text>bar</text>
  </threadedComment>
  <threadedComment ref="O49" dT="2022-06-23T17:27:56.07" personId="{2BCF425B-452F-4B29-893F-31D3C79FC7F5}" id="{32397683-4ECD-4E6E-A16D-0300E9690CA4}">
    <text>kg COD/m3 = g COD/L</text>
  </threadedComment>
  <threadedComment ref="P49" dT="2022-06-23T17:28:07.21" personId="{2BCF425B-452F-4B29-893F-31D3C79FC7F5}" id="{D216DA39-6AEF-487D-BF10-2A3B07B4C3C0}">
    <text>M H2 gas</text>
  </threadedComment>
  <threadedComment ref="O50" dT="2022-06-23T17:27:40.78" personId="{2BCF425B-452F-4B29-893F-31D3C79FC7F5}" id="{811DBCCA-1BC1-4025-B575-51EDB8E37521}">
    <text>kg COD/m3 = g COD/L</text>
  </threadedComment>
  <threadedComment ref="P50" dT="2022-06-23T17:28:17.43" personId="{2BCF425B-452F-4B29-893F-31D3C79FC7F5}" id="{E64E0474-C39E-429B-829E-2E71015CDDD8}">
    <text>M CH4 gas</text>
  </threadedComment>
  <threadedComment ref="O51" dT="2022-06-23T17:26:53.17" personId="{2BCF425B-452F-4B29-893F-31D3C79FC7F5}" id="{E19C0C07-FB8E-435F-8340-3132DDE20ABD}">
    <text>kmol C/m3 = M C = M CO2 gas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zoomScaleNormal="100" workbookViewId="0">
      <selection activeCell="V15" sqref="V15"/>
    </sheetView>
  </sheetViews>
  <sheetFormatPr defaultRowHeight="14.4" x14ac:dyDescent="0.3"/>
  <cols>
    <col min="2" max="2" width="19.44140625" bestFit="1" customWidth="1"/>
  </cols>
  <sheetData>
    <row r="1" spans="1:2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1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1.7644576698612401E-4</v>
      </c>
      <c r="M2" s="1">
        <v>2.8013399999918901E-6</v>
      </c>
      <c r="N2">
        <v>0.1</v>
      </c>
      <c r="O2">
        <v>-1</v>
      </c>
      <c r="P2">
        <v>0.2</v>
      </c>
      <c r="Q2">
        <v>0.2</v>
      </c>
      <c r="R2">
        <v>0.3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</v>
      </c>
      <c r="AA2">
        <v>0</v>
      </c>
      <c r="AB2">
        <v>0</v>
      </c>
      <c r="AC2">
        <v>0</v>
      </c>
    </row>
    <row r="3" spans="1:29" x14ac:dyDescent="0.3">
      <c r="A3">
        <v>2</v>
      </c>
      <c r="B3" t="s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-5.5511151231257802E-17</v>
      </c>
      <c r="M3">
        <v>0</v>
      </c>
      <c r="N3">
        <v>0</v>
      </c>
      <c r="O3">
        <v>0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3</v>
      </c>
      <c r="B4" t="s">
        <v>29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4</v>
      </c>
      <c r="B5" t="s">
        <v>30</v>
      </c>
      <c r="C5">
        <v>0.05</v>
      </c>
      <c r="D5">
        <v>0</v>
      </c>
      <c r="E5">
        <v>0.95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-2.7855694607291002E-3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5</v>
      </c>
      <c r="B6" t="s">
        <v>31</v>
      </c>
      <c r="C6">
        <v>-1</v>
      </c>
      <c r="D6">
        <v>0</v>
      </c>
      <c r="E6">
        <v>0</v>
      </c>
      <c r="F6">
        <v>0</v>
      </c>
      <c r="G6">
        <v>0.11700000000000001</v>
      </c>
      <c r="H6">
        <v>0.24299999999999999</v>
      </c>
      <c r="I6">
        <v>0.36899999999999999</v>
      </c>
      <c r="J6">
        <v>0.17100000000000001</v>
      </c>
      <c r="K6">
        <v>0</v>
      </c>
      <c r="L6">
        <v>8.5939046202287706E-2</v>
      </c>
      <c r="M6">
        <v>-8.0000000000000002E-3</v>
      </c>
      <c r="N6">
        <v>0</v>
      </c>
      <c r="O6">
        <v>0</v>
      </c>
      <c r="P6">
        <v>0</v>
      </c>
      <c r="Q6">
        <v>0</v>
      </c>
      <c r="R6">
        <v>0</v>
      </c>
      <c r="S6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6</v>
      </c>
      <c r="B7" t="s">
        <v>32</v>
      </c>
      <c r="C7">
        <v>0</v>
      </c>
      <c r="D7">
        <v>-1</v>
      </c>
      <c r="E7">
        <v>0</v>
      </c>
      <c r="F7">
        <v>0.21160000000000001</v>
      </c>
      <c r="G7">
        <v>0.2392</v>
      </c>
      <c r="H7">
        <v>4.5999999999999999E-2</v>
      </c>
      <c r="I7">
        <v>0.36799999999999999</v>
      </c>
      <c r="J7">
        <v>5.5199999999999999E-2</v>
      </c>
      <c r="K7">
        <v>0</v>
      </c>
      <c r="L7">
        <v>4.4396666127924103E-2</v>
      </c>
      <c r="M7">
        <v>9.1646900000000003E-2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7</v>
      </c>
      <c r="B8" t="s">
        <v>33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0.65799999999999903</v>
      </c>
      <c r="J8">
        <v>0.28199999999999997</v>
      </c>
      <c r="K8">
        <v>0</v>
      </c>
      <c r="L8">
        <v>-8.4234094612635393E-3</v>
      </c>
      <c r="M8">
        <v>-4.7999999999999996E-3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34</v>
      </c>
      <c r="C9">
        <v>0</v>
      </c>
      <c r="D9">
        <v>0</v>
      </c>
      <c r="E9">
        <v>0</v>
      </c>
      <c r="F9">
        <v>-1</v>
      </c>
      <c r="G9">
        <v>0</v>
      </c>
      <c r="H9">
        <v>0.50760000000000005</v>
      </c>
      <c r="I9">
        <v>0.29139999999999999</v>
      </c>
      <c r="J9">
        <v>0.14099999999999899</v>
      </c>
      <c r="K9">
        <v>0</v>
      </c>
      <c r="L9">
        <v>-6.5118044569767103E-3</v>
      </c>
      <c r="M9">
        <v>-4.7999999999999996E-3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0.752</v>
      </c>
      <c r="J10">
        <v>0.187999999999999</v>
      </c>
      <c r="K10">
        <v>0</v>
      </c>
      <c r="L10">
        <v>-4.5393689727888297E-3</v>
      </c>
      <c r="M10">
        <v>-4.7999999999999996E-3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10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0.54719999999999902</v>
      </c>
      <c r="J11">
        <v>0.4128</v>
      </c>
      <c r="K11">
        <v>0</v>
      </c>
      <c r="L11">
        <v>0.101299174792848</v>
      </c>
      <c r="M11">
        <v>-3.2000000000000002E-3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0.95</v>
      </c>
      <c r="L12">
        <v>0.17826119104762</v>
      </c>
      <c r="M12">
        <v>-4.0000000000000001E-3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0.05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0.94</v>
      </c>
      <c r="L13">
        <v>-0.19896986636644101</v>
      </c>
      <c r="M13">
        <v>-4.7999999999999996E-3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4.1316807999999997E-2</v>
      </c>
      <c r="M14">
        <v>4.2378003800000001E-2</v>
      </c>
      <c r="N14">
        <v>0</v>
      </c>
      <c r="O14">
        <v>1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4.1316807999999997E-2</v>
      </c>
      <c r="M15">
        <v>4.2378003800000001E-2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4.1316807999999997E-2</v>
      </c>
      <c r="M16">
        <v>4.2378003800000001E-2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4.1316807999999997E-2</v>
      </c>
      <c r="M17">
        <v>4.2378003800000001E-2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4.1316807999999997E-2</v>
      </c>
      <c r="M18">
        <v>4.2378003800000001E-2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4.1316807999999997E-2</v>
      </c>
      <c r="M19">
        <v>4.2378003800000001E-2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4.1316807999999997E-2</v>
      </c>
      <c r="M20">
        <v>4.2378003800000001E-2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95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96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97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6" spans="1:29" x14ac:dyDescent="0.3">
      <c r="L26" s="3">
        <f>L6/12</f>
        <v>7.1615871835239752E-3</v>
      </c>
      <c r="M26" s="3">
        <f>C_su-(1-Y_su)*(f_bu_su*C_bu+f_pro_su*C_pro+f_ac_su*C_ac)-Y_su*C_bac</f>
        <v>7.1659124332030914E-3</v>
      </c>
      <c r="N26" s="7">
        <f>L26/M26-1</f>
        <v>-6.0358673364124815E-4</v>
      </c>
    </row>
    <row r="27" spans="1:29" x14ac:dyDescent="0.3">
      <c r="L27" s="3">
        <f t="shared" ref="L27:L33" si="0">L7/12</f>
        <v>3.6997221773270085E-3</v>
      </c>
      <c r="M27" s="3">
        <f>C_aa-(1-Y_aa)*(f_va_aa*C_va+f_bu_aa*C_bu+f_pro_aa*C_pro+f_ac_aa*C_ac)-Y_aa*C_bac</f>
        <v>3.7071024949871861E-3</v>
      </c>
      <c r="N27" s="7">
        <f t="shared" ref="N27:N33" si="1">L27/M27-1</f>
        <v>-1.9908588095843838E-3</v>
      </c>
    </row>
    <row r="28" spans="1:29" x14ac:dyDescent="0.3">
      <c r="L28" s="6">
        <f t="shared" si="0"/>
        <v>-7.0195078843862831E-4</v>
      </c>
      <c r="M28" s="6">
        <f>C_fa-(1-Y_fa)*0.7*C_ac-Y_fa*C_bac</f>
        <v>-6.8223575547184351E-4</v>
      </c>
      <c r="N28" s="8">
        <f t="shared" si="1"/>
        <v>2.8897683548042119E-2</v>
      </c>
    </row>
    <row r="29" spans="1:29" x14ac:dyDescent="0.3">
      <c r="L29" s="6">
        <f t="shared" si="0"/>
        <v>-5.426503714147259E-4</v>
      </c>
      <c r="M29" s="6">
        <f>C_va-(1-Y_c4)*0.54*C_pro-(1-Y_c4)*0.31*C_ac-Y_c4*C_bac</f>
        <v>-5.3371293611395479E-4</v>
      </c>
      <c r="N29" s="8">
        <f t="shared" si="1"/>
        <v>1.6745772298205841E-2</v>
      </c>
    </row>
    <row r="30" spans="1:29" x14ac:dyDescent="0.3">
      <c r="L30" s="6">
        <f t="shared" si="0"/>
        <v>-3.7828074773240246E-4</v>
      </c>
      <c r="M30" s="6">
        <f>C_bu-(1-Y_c4)*0.8*C_ac-Y_c4*C_bac</f>
        <v>-3.5612696566255406E-4</v>
      </c>
      <c r="N30" s="8">
        <f t="shared" si="1"/>
        <v>6.2207538900157511E-2</v>
      </c>
    </row>
    <row r="31" spans="1:29" x14ac:dyDescent="0.3">
      <c r="L31" s="3">
        <f t="shared" si="0"/>
        <v>8.4415978994039995E-3</v>
      </c>
      <c r="M31" s="3">
        <f>C_pro-(1-Y_pro)*0.57*C_ac-Y_pro*C_bac</f>
        <v>8.4499527040933602E-3</v>
      </c>
      <c r="N31" s="7">
        <f t="shared" si="1"/>
        <v>-9.8873981688840651E-4</v>
      </c>
    </row>
    <row r="32" spans="1:29" x14ac:dyDescent="0.3">
      <c r="L32" s="3">
        <f t="shared" si="0"/>
        <v>1.4855099253968334E-2</v>
      </c>
      <c r="M32" s="3">
        <f>C_ac-(1-Y_ac)*C_ch4-Y_ac*C_bac</f>
        <v>1.4812853578952467E-2</v>
      </c>
      <c r="N32" s="7">
        <f t="shared" si="1"/>
        <v>2.851960615873228E-3</v>
      </c>
    </row>
    <row r="33" spans="12:14" x14ac:dyDescent="0.3">
      <c r="L33" s="3">
        <f t="shared" si="0"/>
        <v>-1.6580822197203419E-2</v>
      </c>
      <c r="M33" s="3">
        <f>-(1-Y_h2)*C_ch4-Y_h2*C_bac</f>
        <v>-1.6566050801904996E-2</v>
      </c>
      <c r="N33" s="7">
        <f t="shared" si="1"/>
        <v>8.9166666667006567E-4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1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C14" sqref="AC14"/>
    </sheetView>
  </sheetViews>
  <sheetFormatPr defaultRowHeight="14.4" x14ac:dyDescent="0.3"/>
  <cols>
    <col min="2" max="2" width="19.44140625" bestFit="1" customWidth="1"/>
    <col min="12" max="13" width="12" bestFit="1" customWidth="1"/>
    <col min="16" max="16" width="12" bestFit="1" customWidth="1"/>
    <col min="22" max="22" width="8.5546875" customWidth="1"/>
    <col min="28" max="28" width="12" bestFit="1" customWidth="1"/>
    <col min="30" max="30" width="12" bestFit="1" customWidth="1"/>
    <col min="31" max="31" width="10.33203125" bestFit="1" customWidth="1"/>
    <col min="32" max="32" width="9.5546875" customWidth="1"/>
    <col min="34" max="34" width="11" bestFit="1" customWidth="1"/>
  </cols>
  <sheetData>
    <row r="1" spans="1:3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138</v>
      </c>
      <c r="AE1" t="s">
        <v>150</v>
      </c>
      <c r="AF1" t="s">
        <v>151</v>
      </c>
    </row>
    <row r="2" spans="1:38" x14ac:dyDescent="0.3">
      <c r="A2">
        <v>1</v>
      </c>
      <c r="B2" t="s">
        <v>27</v>
      </c>
      <c r="L2" s="3">
        <f>C_xc-f_sI_xc*C_sI-f_ch_xc*C_ch-f_pr_xc*C_pr-f_li_xc*C_li-f_xI_xc*C_xI</f>
        <v>1.4690714694931203E-5</v>
      </c>
      <c r="M2" s="1">
        <f>N_xc-f_xI_xc*N_I-f_sI_xc*N_I-f_pr_xc*N_aa</f>
        <v>-4.6977517902699155E-7</v>
      </c>
      <c r="N2">
        <f>f_sI_xc</f>
        <v>0.1</v>
      </c>
      <c r="O2">
        <v>-1</v>
      </c>
      <c r="P2">
        <f>f_ch_xc</f>
        <v>0.2</v>
      </c>
      <c r="Q2">
        <f>f_pr_xc</f>
        <v>0.2</v>
      </c>
      <c r="R2">
        <f>f_li_xc</f>
        <v>0.3</v>
      </c>
      <c r="Z2">
        <f>f_xI_xc</f>
        <v>0.2</v>
      </c>
      <c r="AD2" s="9">
        <f>k_dis*X_c</f>
        <v>0.15434883186074999</v>
      </c>
      <c r="AE2" s="1">
        <v>0.15429999999999999</v>
      </c>
      <c r="AF2" s="10">
        <f>AE2/AD2-1</f>
        <v>-3.1637337426726475E-4</v>
      </c>
      <c r="AG2" s="1"/>
      <c r="AH2" s="10"/>
    </row>
    <row r="3" spans="1:38" x14ac:dyDescent="0.3">
      <c r="A3">
        <v>2</v>
      </c>
      <c r="B3" t="s">
        <v>28</v>
      </c>
      <c r="C3">
        <v>1</v>
      </c>
      <c r="L3" s="4">
        <f>-(C_su-C_ch)</f>
        <v>0</v>
      </c>
      <c r="P3">
        <v>-1</v>
      </c>
      <c r="AD3" s="9">
        <f>kh_ch*X_ch</f>
        <v>0.27947240434999998</v>
      </c>
      <c r="AE3" s="1">
        <v>0.27950000000000003</v>
      </c>
      <c r="AF3" s="10">
        <f>AE3/AD3-1</f>
        <v>9.8741949367875392E-5</v>
      </c>
      <c r="AG3" s="1"/>
      <c r="AH3" s="10"/>
      <c r="AI3" s="1"/>
    </row>
    <row r="4" spans="1:38" x14ac:dyDescent="0.3">
      <c r="A4">
        <v>3</v>
      </c>
      <c r="B4" t="s">
        <v>29</v>
      </c>
      <c r="D4">
        <v>1</v>
      </c>
      <c r="L4" s="3">
        <f>-C_aa+C_pr</f>
        <v>0</v>
      </c>
      <c r="Q4">
        <v>-1</v>
      </c>
      <c r="AD4" s="9">
        <f>kh_pr*X_pr</f>
        <v>1.0257410610669999</v>
      </c>
      <c r="AE4" s="1">
        <v>1.026</v>
      </c>
      <c r="AF4" s="10">
        <f>AE4/AD4-1</f>
        <v>2.5244083797404393E-4</v>
      </c>
      <c r="AG4" s="1"/>
      <c r="AH4" s="10"/>
    </row>
    <row r="5" spans="1:38" x14ac:dyDescent="0.3">
      <c r="A5">
        <v>4</v>
      </c>
      <c r="B5" t="s">
        <v>30</v>
      </c>
      <c r="C5">
        <f>1-f_fa_li</f>
        <v>5.0000000000000044E-2</v>
      </c>
      <c r="E5">
        <f>f_fa_li</f>
        <v>0.95</v>
      </c>
      <c r="L5" s="3">
        <f>-(1-f_fa_li)*C_su-f_fa_li*C_fa+C_li</f>
        <v>-2.3192398950346027E-4</v>
      </c>
      <c r="R5">
        <v>-1</v>
      </c>
      <c r="AD5" s="9">
        <f>kh_li*X_li</f>
        <v>0.29483049707300002</v>
      </c>
      <c r="AE5" s="1">
        <v>0.29480000000000001</v>
      </c>
      <c r="AF5" s="10">
        <f>AE5/AD5-1</f>
        <v>-1.0343934329315463E-4</v>
      </c>
      <c r="AG5" s="1"/>
      <c r="AH5" s="10"/>
    </row>
    <row r="6" spans="1:38" x14ac:dyDescent="0.3">
      <c r="A6">
        <v>5</v>
      </c>
      <c r="B6" t="s">
        <v>31</v>
      </c>
      <c r="C6">
        <v>-1</v>
      </c>
      <c r="G6">
        <f>(1-Y_su)*f_bu_su</f>
        <v>0.11700000000000001</v>
      </c>
      <c r="H6">
        <f>(1-Y_su)*f_pro_su</f>
        <v>0.24300000000000002</v>
      </c>
      <c r="I6">
        <f>(1-Y_su)*f_ac_su</f>
        <v>0.36899999999999999</v>
      </c>
      <c r="J6">
        <f>(1-Y_su)*f_h2_su</f>
        <v>0.17100000000000001</v>
      </c>
      <c r="L6" s="3">
        <f>C_su-(1-Y_su)*(f_bu_su*C_bu+f_pro_su*C_pro+f_ac_su*C_ac)-Y_su*C_bac</f>
        <v>7.1659124332030914E-3</v>
      </c>
      <c r="M6">
        <f>-Y_su*N_bac</f>
        <v>-5.7142857142857147E-4</v>
      </c>
      <c r="S6">
        <f>Y_su</f>
        <v>0.1</v>
      </c>
      <c r="AD6" s="9">
        <f>k_su*S_su/(KS_su+S_su)*X_su*I_5</f>
        <v>0.29411157946360555</v>
      </c>
      <c r="AE6" s="1">
        <v>0.29409999999999997</v>
      </c>
      <c r="AF6" s="10">
        <f>AE6/AD6-1</f>
        <v>-3.9370988475506685E-5</v>
      </c>
      <c r="AG6" s="1"/>
      <c r="AH6" s="10"/>
    </row>
    <row r="7" spans="1:38" x14ac:dyDescent="0.3">
      <c r="A7">
        <v>6</v>
      </c>
      <c r="B7" t="s">
        <v>32</v>
      </c>
      <c r="D7">
        <v>-1</v>
      </c>
      <c r="F7">
        <f>(1-Y_aa)*f_va_aa</f>
        <v>0.21160000000000001</v>
      </c>
      <c r="G7">
        <f>(1-Y_aa)*f_bu_aa</f>
        <v>0.23920000000000002</v>
      </c>
      <c r="H7">
        <f>(1-Y_aa)*f_pro_aa</f>
        <v>4.6000000000000006E-2</v>
      </c>
      <c r="I7">
        <f>(1-Y_aa)*f_ac_aa</f>
        <v>0.36800000000000005</v>
      </c>
      <c r="J7">
        <f>(1-Y_aa)*f_h2_aa</f>
        <v>5.5199999999999999E-2</v>
      </c>
      <c r="L7" s="3">
        <f>C_aa-(1-Y_aa)*(f_va_aa*C_va+f_bu_aa*C_bu+f_pro_aa*C_pro+f_ac_aa*C_ac)-Y_aa*C_bac</f>
        <v>3.7071024949871861E-3</v>
      </c>
      <c r="M7">
        <f>N_aa-Y_aa*N_bac</f>
        <v>6.5428571428571428E-3</v>
      </c>
      <c r="T7">
        <f>Y_aa</f>
        <v>0.08</v>
      </c>
      <c r="AD7" s="9">
        <f>k_aa*S_aa/(KS_aa+S_aa)*X_aa*I_6</f>
        <v>1.0255092559705619</v>
      </c>
      <c r="AE7" s="1">
        <v>1.026</v>
      </c>
      <c r="AF7" s="10">
        <f>AE7/AD7-1</f>
        <v>4.7853690893662204E-4</v>
      </c>
      <c r="AG7" s="1"/>
      <c r="AH7" s="10"/>
    </row>
    <row r="8" spans="1:38" x14ac:dyDescent="0.3">
      <c r="A8">
        <v>7</v>
      </c>
      <c r="B8" t="s">
        <v>33</v>
      </c>
      <c r="E8">
        <v>-1</v>
      </c>
      <c r="I8">
        <f>(1-Y_fa)*0.7</f>
        <v>0.65799999999999992</v>
      </c>
      <c r="J8">
        <f>(1-Y_fa)*0.3</f>
        <v>0.28199999999999997</v>
      </c>
      <c r="L8" s="6">
        <f>C_fa-(1-Y_fa)*0.7*C_ac-Y_fa*C_bac</f>
        <v>-6.8223575547184351E-4</v>
      </c>
      <c r="M8">
        <f>-Y_fa*N_bac</f>
        <v>-3.4285714285714285E-4</v>
      </c>
      <c r="U8">
        <f>Y_fa</f>
        <v>0.06</v>
      </c>
      <c r="AD8" s="9">
        <f>k_fa*S_fa/(KS_fa+S_fa)*X_fa*I_7</f>
        <v>0.27520358801182709</v>
      </c>
      <c r="AE8" s="1">
        <v>0.2752</v>
      </c>
      <c r="AF8" s="10">
        <f>AE8/AD8-1</f>
        <v>-1.3037663691095602E-5</v>
      </c>
      <c r="AG8" s="1"/>
      <c r="AH8" s="10"/>
      <c r="AI8" s="1"/>
      <c r="AJ8" s="1"/>
    </row>
    <row r="9" spans="1:38" x14ac:dyDescent="0.3">
      <c r="A9">
        <v>8</v>
      </c>
      <c r="B9" t="s">
        <v>34</v>
      </c>
      <c r="F9">
        <v>-1</v>
      </c>
      <c r="H9">
        <f>(1-Y_c4)*0.54</f>
        <v>0.50760000000000005</v>
      </c>
      <c r="I9">
        <f>(1-Y_c4)*0.31</f>
        <v>0.29139999999999999</v>
      </c>
      <c r="J9">
        <f>(1-Y_c4)*0.15</f>
        <v>0.14099999999999999</v>
      </c>
      <c r="L9" s="6">
        <f>C_va-(1-Y_c4)*0.54*C_pro-(1-Y_c4)*0.31*C_ac-Y_c4*C_bac</f>
        <v>-5.3371293611395479E-4</v>
      </c>
      <c r="M9">
        <f>-Y_c4*N_bac</f>
        <v>-3.4285714285714285E-4</v>
      </c>
      <c r="V9">
        <f>Y_c4</f>
        <v>0.06</v>
      </c>
      <c r="AD9" s="9">
        <f>k_c4*S_va/(KS_c4+S_va)*X_c4*S_va/(S_bu+S_va+0.000001)*I_89</f>
        <v>0.21646651569575995</v>
      </c>
      <c r="AE9" s="1">
        <v>0.2165</v>
      </c>
      <c r="AF9" s="10">
        <f>AE9/AD9-1</f>
        <v>1.546858373564497E-4</v>
      </c>
      <c r="AG9" s="1"/>
      <c r="AH9" s="10"/>
    </row>
    <row r="10" spans="1:38" x14ac:dyDescent="0.3">
      <c r="A10">
        <v>9</v>
      </c>
      <c r="B10" t="s">
        <v>35</v>
      </c>
      <c r="G10">
        <v>-1</v>
      </c>
      <c r="I10">
        <f>(1-Y_c4)*0.8</f>
        <v>0.752</v>
      </c>
      <c r="J10">
        <f>(1-Y_c4)*0.2</f>
        <v>0.188</v>
      </c>
      <c r="L10" s="6">
        <f>C_bu-(1-Y_c4)*0.8*C_ac-Y_c4*C_bac</f>
        <v>-3.5612696566255406E-4</v>
      </c>
      <c r="M10">
        <f>-Y_c4*N_bac</f>
        <v>-3.4285714285714285E-4</v>
      </c>
      <c r="V10">
        <f>Y_c4</f>
        <v>0.06</v>
      </c>
      <c r="AD10" s="9">
        <f>k_c4*S_bu/(KS_c4+S_bu)*X_c4*S_bu/(S_bu+S_va+0.000001)*I_89</f>
        <v>0.27910034081918333</v>
      </c>
      <c r="AE10" s="1">
        <v>0.27910000000000001</v>
      </c>
      <c r="AF10" s="10">
        <f>AE10/AD10-1</f>
        <v>-1.2211349592616827E-6</v>
      </c>
      <c r="AG10" s="1"/>
      <c r="AH10" s="10"/>
    </row>
    <row r="11" spans="1:38" x14ac:dyDescent="0.3">
      <c r="A11">
        <v>10</v>
      </c>
      <c r="B11" t="s">
        <v>36</v>
      </c>
      <c r="H11">
        <v>-1</v>
      </c>
      <c r="I11">
        <f>(1-Y_pro)*0.57</f>
        <v>0.54719999999999991</v>
      </c>
      <c r="J11">
        <f>(1-Y_pro)*0.43</f>
        <v>0.4128</v>
      </c>
      <c r="L11" s="3">
        <f>C_pro-(1-Y_pro)*0.57*C_ac-Y_pro*C_bac</f>
        <v>8.4499527040933602E-3</v>
      </c>
      <c r="M11">
        <f>-Y_pro*N_bac</f>
        <v>-2.2857142857142857E-4</v>
      </c>
      <c r="W11">
        <f>Y_pro</f>
        <v>0.04</v>
      </c>
      <c r="AD11" s="9">
        <f>k_pro*S_pro/(KS_pro+S_pro)*X_pro*I_10</f>
        <v>0.22778176915074227</v>
      </c>
      <c r="AE11" s="1">
        <v>0.2278</v>
      </c>
      <c r="AF11" s="10">
        <f>AE11/AD11-1</f>
        <v>8.0036472302813522E-5</v>
      </c>
      <c r="AG11" s="1"/>
      <c r="AH11" s="10"/>
    </row>
    <row r="12" spans="1:38" x14ac:dyDescent="0.3">
      <c r="A12">
        <v>11</v>
      </c>
      <c r="B12" t="s">
        <v>37</v>
      </c>
      <c r="I12">
        <v>-1</v>
      </c>
      <c r="K12">
        <f>1-Y_ac</f>
        <v>0.95</v>
      </c>
      <c r="L12" s="3">
        <f>C_ac-(1-Y_ac)*C_ch4-Y_ac*C_bac</f>
        <v>1.4812853578952467E-2</v>
      </c>
      <c r="M12">
        <f>-Y_ac*N_bac</f>
        <v>-2.8571428571428574E-4</v>
      </c>
      <c r="X12">
        <f>Y_ac</f>
        <v>0.05</v>
      </c>
      <c r="AD12" s="9">
        <f>k_ac*S_ac/(KS_ac+S_ac)*X_ac*I_11</f>
        <v>1.0540415790722426</v>
      </c>
      <c r="AE12" s="1">
        <v>1.0549999999999999</v>
      </c>
      <c r="AF12" s="10">
        <f>AE12/AD12-1</f>
        <v>9.0928189815908667E-4</v>
      </c>
      <c r="AG12" s="1"/>
      <c r="AH12" s="10"/>
    </row>
    <row r="13" spans="1:38" x14ac:dyDescent="0.3">
      <c r="A13">
        <v>12</v>
      </c>
      <c r="B13" t="s">
        <v>38</v>
      </c>
      <c r="J13">
        <v>-1</v>
      </c>
      <c r="K13">
        <f>1-Y_h2</f>
        <v>0.94</v>
      </c>
      <c r="L13" s="3">
        <f>-(1-Y_h2)*C_ch4-Y_h2*C_bac</f>
        <v>-1.6566050801904996E-2</v>
      </c>
      <c r="M13">
        <f>-Y_h2*N_bac</f>
        <v>-3.4285714285714285E-4</v>
      </c>
      <c r="Y13">
        <f>Y_h2</f>
        <v>0.06</v>
      </c>
      <c r="AD13" s="9">
        <f>k_h2*S_h2/(KS_h2+S_h2)*X_h2*I_12</f>
        <v>0.36152691242017465</v>
      </c>
      <c r="AE13" s="1">
        <v>0.36159999999999998</v>
      </c>
      <c r="AF13" s="10">
        <f>AE13/AD13-1</f>
        <v>2.0216359367575265E-4</v>
      </c>
      <c r="AG13" s="1"/>
      <c r="AH13" s="10"/>
    </row>
    <row r="14" spans="1:38" x14ac:dyDescent="0.3">
      <c r="A14">
        <v>13</v>
      </c>
      <c r="B14" t="s">
        <v>39</v>
      </c>
      <c r="L14" s="3">
        <f t="shared" ref="L14:L20" si="0">-C_xc+C_bac</f>
        <v>3.4400000000000021E-3</v>
      </c>
      <c r="M14">
        <f t="shared" ref="M14:M20" si="1">N_bac-N_xc</f>
        <v>3.0295705422609042E-3</v>
      </c>
      <c r="O14">
        <v>1</v>
      </c>
      <c r="S14">
        <v>-1</v>
      </c>
      <c r="AD14" s="9">
        <f>b_su*X_su</f>
        <v>8.403319649092E-3</v>
      </c>
      <c r="AE14" s="1">
        <v>8.4030000000000007E-3</v>
      </c>
      <c r="AF14" s="10">
        <f>AE14/AD14-1</f>
        <v>-3.8038430685394253E-5</v>
      </c>
      <c r="AG14" s="1"/>
      <c r="AH14" s="10"/>
    </row>
    <row r="15" spans="1:38" x14ac:dyDescent="0.3">
      <c r="A15">
        <v>14</v>
      </c>
      <c r="B15" t="s">
        <v>40</v>
      </c>
      <c r="L15" s="3">
        <f t="shared" si="0"/>
        <v>3.4400000000000021E-3</v>
      </c>
      <c r="M15">
        <f t="shared" si="1"/>
        <v>3.0295705422609042E-3</v>
      </c>
      <c r="O15">
        <v>1</v>
      </c>
      <c r="T15">
        <v>-1</v>
      </c>
      <c r="AD15" s="9">
        <f>b_aa*X_aa</f>
        <v>2.3583435978474003E-2</v>
      </c>
      <c r="AE15" s="1">
        <v>2.358E-2</v>
      </c>
      <c r="AF15" s="10">
        <f>AE15/AD15-1</f>
        <v>-1.4569456618362953E-4</v>
      </c>
      <c r="AG15" s="1"/>
      <c r="AH15" s="10"/>
    </row>
    <row r="16" spans="1:38" x14ac:dyDescent="0.3">
      <c r="A16">
        <v>15</v>
      </c>
      <c r="B16" t="s">
        <v>41</v>
      </c>
      <c r="L16" s="3">
        <f t="shared" si="0"/>
        <v>3.4400000000000021E-3</v>
      </c>
      <c r="M16">
        <f t="shared" si="1"/>
        <v>3.0295705422609042E-3</v>
      </c>
      <c r="O16">
        <v>1</v>
      </c>
      <c r="U16">
        <v>-1</v>
      </c>
      <c r="AD16" s="9">
        <f>b_fa*X_fa</f>
        <v>4.8607068943879997E-3</v>
      </c>
      <c r="AE16" s="1">
        <v>4.8609999999999999E-3</v>
      </c>
      <c r="AF16" s="10">
        <f>AE16/AD16-1</f>
        <v>6.0301025831988042E-5</v>
      </c>
      <c r="AG16" s="1"/>
      <c r="AH16" s="10"/>
      <c r="AI16" s="1"/>
      <c r="AJ16" s="1"/>
      <c r="AK16" s="1"/>
      <c r="AL16" s="1"/>
    </row>
    <row r="17" spans="1:38" x14ac:dyDescent="0.3">
      <c r="A17">
        <v>16</v>
      </c>
      <c r="B17" t="s">
        <v>42</v>
      </c>
      <c r="L17" s="3">
        <f t="shared" si="0"/>
        <v>3.4400000000000021E-3</v>
      </c>
      <c r="M17">
        <f t="shared" si="1"/>
        <v>3.0295705422609042E-3</v>
      </c>
      <c r="O17">
        <v>1</v>
      </c>
      <c r="V17">
        <v>-1</v>
      </c>
      <c r="AD17" s="9">
        <f>b_c4*X_c4</f>
        <v>8.6384221127199998E-3</v>
      </c>
      <c r="AE17" s="1">
        <v>8.6379999999999998E-3</v>
      </c>
      <c r="AF17" s="10">
        <f>AE17/AD17-1</f>
        <v>-4.8864562820827295E-5</v>
      </c>
      <c r="AG17" s="1"/>
      <c r="AH17" s="10"/>
      <c r="AI17" s="1"/>
      <c r="AJ17" s="1"/>
    </row>
    <row r="18" spans="1:38" x14ac:dyDescent="0.3">
      <c r="A18">
        <v>17</v>
      </c>
      <c r="B18" t="s">
        <v>43</v>
      </c>
      <c r="L18" s="3">
        <f t="shared" si="0"/>
        <v>3.4400000000000021E-3</v>
      </c>
      <c r="M18">
        <f t="shared" si="1"/>
        <v>3.0295705422609042E-3</v>
      </c>
      <c r="O18">
        <v>1</v>
      </c>
      <c r="W18">
        <v>-1</v>
      </c>
      <c r="AD18" s="9">
        <f>b_pro*X_pro</f>
        <v>2.7461181786799997E-3</v>
      </c>
      <c r="AE18" s="1">
        <v>2.7460000000000002E-3</v>
      </c>
      <c r="AF18" s="10">
        <f>AE18/AD18-1</f>
        <v>-4.3034812163944558E-5</v>
      </c>
      <c r="AG18" s="1"/>
      <c r="AH18" s="10"/>
    </row>
    <row r="19" spans="1:38" x14ac:dyDescent="0.3">
      <c r="A19">
        <v>18</v>
      </c>
      <c r="B19" t="s">
        <v>44</v>
      </c>
      <c r="L19" s="3">
        <f t="shared" si="0"/>
        <v>3.4400000000000021E-3</v>
      </c>
      <c r="M19">
        <f t="shared" si="1"/>
        <v>3.0295705422609042E-3</v>
      </c>
      <c r="O19">
        <v>1</v>
      </c>
      <c r="X19">
        <v>-1</v>
      </c>
      <c r="AD19" s="9">
        <f>b_ac*X_ac</f>
        <v>1.5211253166264E-2</v>
      </c>
      <c r="AE19" s="1">
        <v>1.521E-2</v>
      </c>
      <c r="AF19" s="10">
        <f>AE19/AD19-1</f>
        <v>-8.2384156670278763E-5</v>
      </c>
      <c r="AG19" s="1"/>
      <c r="AH19" s="10"/>
    </row>
    <row r="20" spans="1:38" x14ac:dyDescent="0.3">
      <c r="A20">
        <v>19</v>
      </c>
      <c r="B20" t="s">
        <v>45</v>
      </c>
      <c r="L20" s="3">
        <f t="shared" si="0"/>
        <v>3.4400000000000021E-3</v>
      </c>
      <c r="M20">
        <f t="shared" si="1"/>
        <v>3.0295705422609042E-3</v>
      </c>
      <c r="O20">
        <v>1</v>
      </c>
      <c r="Y20">
        <v>-1</v>
      </c>
      <c r="AD20" s="9">
        <f>b_h2*X_h2</f>
        <v>6.3404590672259996E-3</v>
      </c>
      <c r="AE20" s="1">
        <v>6.3400000000000001E-3</v>
      </c>
      <c r="AF20" s="10">
        <f>AE20/AD20-1</f>
        <v>-7.2402837260177044E-5</v>
      </c>
      <c r="AG20" s="1"/>
      <c r="AH20" s="10"/>
    </row>
    <row r="21" spans="1:38" x14ac:dyDescent="0.3">
      <c r="A21" t="s">
        <v>95</v>
      </c>
      <c r="B21" t="s">
        <v>46</v>
      </c>
      <c r="J21">
        <v>-1</v>
      </c>
      <c r="AD21" s="9">
        <f>kLa*(S_h2-16*KH_h2*p_h2)</f>
        <v>8.4587799999999997E-6</v>
      </c>
      <c r="AE21" s="1">
        <v>8.4489999999999999E-6</v>
      </c>
      <c r="AF21" s="10">
        <f>AE21/AD21-1</f>
        <v>-1.1561951014211758E-3</v>
      </c>
      <c r="AG21" s="1"/>
      <c r="AH21" s="10"/>
    </row>
    <row r="22" spans="1:38" x14ac:dyDescent="0.3">
      <c r="A22" t="s">
        <v>96</v>
      </c>
      <c r="B22" t="s">
        <v>47</v>
      </c>
      <c r="K22">
        <v>-1</v>
      </c>
      <c r="AD22" s="9">
        <f>kLa*(S_ch4-64*KH_ch4*p_ch4)</f>
        <v>1.354676889199999</v>
      </c>
      <c r="AE22" s="1">
        <v>1.339</v>
      </c>
      <c r="AF22" s="11">
        <f>AE22/AD22-1</f>
        <v>-1.1572419463992567E-2</v>
      </c>
      <c r="AG22" s="1"/>
      <c r="AH22" s="10"/>
    </row>
    <row r="23" spans="1:38" x14ac:dyDescent="0.3">
      <c r="A23" t="s">
        <v>97</v>
      </c>
      <c r="B23" t="s">
        <v>48</v>
      </c>
      <c r="L23">
        <v>-1</v>
      </c>
      <c r="AD23" s="9">
        <f>kLa*(S_co2-KH_co2*p_co2)*12</f>
        <v>0.13276917464054988</v>
      </c>
      <c r="AE23" s="1">
        <v>0.14190253513725401</v>
      </c>
      <c r="AF23" s="11">
        <f>AE23/AD23-1</f>
        <v>6.879127268382268E-2</v>
      </c>
      <c r="AG23" s="1"/>
    </row>
    <row r="25" spans="1:38" x14ac:dyDescent="0.3">
      <c r="B25" t="s">
        <v>98</v>
      </c>
      <c r="C25">
        <v>1.1954829716999999E-2</v>
      </c>
      <c r="D25">
        <v>5.3147401715999999E-3</v>
      </c>
      <c r="E25">
        <v>9.8621400930800004E-2</v>
      </c>
      <c r="F25">
        <v>1.16250064639E-2</v>
      </c>
      <c r="G25">
        <v>1.3250729666300001E-2</v>
      </c>
      <c r="H25">
        <v>1.5783666284500002E-2</v>
      </c>
      <c r="I25">
        <v>0.19762971693750001</v>
      </c>
      <c r="J25" s="1">
        <v>2.359451E-7</v>
      </c>
      <c r="K25">
        <v>5.5088776446E-2</v>
      </c>
      <c r="L25">
        <v>0.15267787062630001</v>
      </c>
      <c r="M25">
        <v>0.13022981580369999</v>
      </c>
      <c r="N25">
        <v>0.3286976637215</v>
      </c>
      <c r="O25">
        <v>0.30869766372149998</v>
      </c>
      <c r="P25">
        <v>2.7947240434999999E-2</v>
      </c>
      <c r="Q25">
        <v>0.10257410610669999</v>
      </c>
      <c r="R25">
        <v>2.9483049707300001E-2</v>
      </c>
      <c r="S25">
        <v>0.42016598245460002</v>
      </c>
      <c r="T25">
        <v>1.1791717989237001</v>
      </c>
      <c r="U25">
        <v>0.2430353447194</v>
      </c>
      <c r="V25">
        <v>0.431921105636</v>
      </c>
      <c r="W25">
        <v>0.13730590893399999</v>
      </c>
      <c r="X25">
        <v>0.76056265831320002</v>
      </c>
      <c r="Y25">
        <v>0.31702295336129999</v>
      </c>
      <c r="Z25">
        <v>25.617395327442999</v>
      </c>
    </row>
    <row r="26" spans="1:38" x14ac:dyDescent="0.3">
      <c r="AE26" s="1"/>
      <c r="AF26" s="1"/>
      <c r="AG26" s="1"/>
      <c r="AH26" s="1"/>
      <c r="AI26" s="1"/>
      <c r="AJ26" s="1"/>
    </row>
    <row r="27" spans="1:38" x14ac:dyDescent="0.3">
      <c r="B27" t="s">
        <v>73</v>
      </c>
      <c r="C27">
        <v>0.1</v>
      </c>
      <c r="E27" t="s">
        <v>74</v>
      </c>
      <c r="F27">
        <v>2.68471517202481E-3</v>
      </c>
      <c r="H27" t="s">
        <v>77</v>
      </c>
      <c r="I27">
        <v>2.7859999999999999E-2</v>
      </c>
      <c r="K27" t="s">
        <v>99</v>
      </c>
      <c r="L27">
        <v>0.5</v>
      </c>
      <c r="N27" t="s">
        <v>124</v>
      </c>
      <c r="O27" s="1">
        <v>1E-4</v>
      </c>
      <c r="Q27" t="s">
        <v>130</v>
      </c>
      <c r="R27">
        <f>1/(1+KS_IN/S_IN)</f>
        <v>0.9992327158648745</v>
      </c>
      <c r="AE27" s="1"/>
      <c r="AF27" s="1"/>
      <c r="AG27" s="1"/>
      <c r="AH27" s="1"/>
      <c r="AI27" s="1"/>
      <c r="AJ27" s="1"/>
      <c r="AK27" s="1"/>
    </row>
    <row r="28" spans="1:38" x14ac:dyDescent="0.3">
      <c r="B28" t="s">
        <v>49</v>
      </c>
      <c r="C28">
        <v>0.2</v>
      </c>
      <c r="E28" t="s">
        <v>75</v>
      </c>
      <c r="F28">
        <v>4.2839498240127899E-3</v>
      </c>
      <c r="H28" t="s">
        <v>78</v>
      </c>
      <c r="I28">
        <v>0.03</v>
      </c>
      <c r="K28" t="s">
        <v>100</v>
      </c>
      <c r="L28">
        <v>10</v>
      </c>
      <c r="N28" t="s">
        <v>127</v>
      </c>
      <c r="O28">
        <v>1.8E-3</v>
      </c>
      <c r="Q28" t="s">
        <v>134</v>
      </c>
      <c r="R28" cm="1">
        <f t="array" ref="R28">1/(1+S_nh3/KI_nh3)</f>
        <v>0.30555084026481072</v>
      </c>
      <c r="AE28" s="1"/>
      <c r="AF28" s="1"/>
      <c r="AG28" s="1"/>
      <c r="AH28" s="1"/>
      <c r="AI28" s="1"/>
      <c r="AJ28" s="1"/>
      <c r="AK28" s="1"/>
    </row>
    <row r="29" spans="1:38" x14ac:dyDescent="0.3">
      <c r="B29" t="s">
        <v>50</v>
      </c>
      <c r="C29">
        <v>0.2</v>
      </c>
      <c r="E29" t="s">
        <v>76</v>
      </c>
      <c r="F29">
        <v>7.0000000000000001E-3</v>
      </c>
      <c r="H29" t="s">
        <v>79</v>
      </c>
      <c r="I29">
        <v>3.1251171918946899E-2</v>
      </c>
      <c r="K29" t="s">
        <v>101</v>
      </c>
      <c r="L29">
        <v>10</v>
      </c>
      <c r="AE29" s="1"/>
      <c r="AF29" s="1"/>
      <c r="AG29" s="1"/>
      <c r="AH29" s="1"/>
      <c r="AI29" s="1"/>
      <c r="AJ29" s="1"/>
      <c r="AK29" s="1"/>
    </row>
    <row r="30" spans="1:38" x14ac:dyDescent="0.3">
      <c r="B30" t="s">
        <v>51</v>
      </c>
      <c r="C30">
        <v>0.3</v>
      </c>
      <c r="E30" t="s">
        <v>87</v>
      </c>
      <c r="F30">
        <f>0.08/14</f>
        <v>5.7142857142857143E-3</v>
      </c>
      <c r="H30" t="s">
        <v>80</v>
      </c>
      <c r="I30">
        <v>0.03</v>
      </c>
      <c r="K30" t="s">
        <v>102</v>
      </c>
      <c r="L30">
        <v>10</v>
      </c>
      <c r="T30" t="s">
        <v>125</v>
      </c>
      <c r="U30" t="s">
        <v>126</v>
      </c>
      <c r="V30" t="s">
        <v>136</v>
      </c>
      <c r="W30" t="s">
        <v>137</v>
      </c>
      <c r="X30" t="s">
        <v>133</v>
      </c>
      <c r="Y30" t="s">
        <v>129</v>
      </c>
      <c r="AA30" t="s">
        <v>137</v>
      </c>
      <c r="AB30" t="s">
        <v>152</v>
      </c>
      <c r="AC30" t="s">
        <v>129</v>
      </c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B31" t="s">
        <v>52</v>
      </c>
      <c r="C31">
        <v>0.2</v>
      </c>
      <c r="H31" t="s">
        <v>81</v>
      </c>
      <c r="I31">
        <v>2.19835830050523E-2</v>
      </c>
      <c r="K31" t="s">
        <v>103</v>
      </c>
      <c r="L31">
        <v>30</v>
      </c>
      <c r="N31" t="s">
        <v>117</v>
      </c>
      <c r="O31">
        <v>0.5</v>
      </c>
      <c r="T31">
        <v>5.5</v>
      </c>
      <c r="U31">
        <v>4</v>
      </c>
      <c r="V31">
        <f>(T31+U31)/2</f>
        <v>4.75</v>
      </c>
      <c r="W31">
        <v>24</v>
      </c>
      <c r="X31">
        <f t="shared" ref="X31:X37" si="2">pH^W31/(pH^W31+V31^W31)</f>
        <v>0.99998062576239533</v>
      </c>
      <c r="Y31">
        <f>X31*I_IN</f>
        <v>0.99921335649281495</v>
      </c>
      <c r="AA31">
        <f>3/(T31-U31)</f>
        <v>2</v>
      </c>
      <c r="AB31">
        <f>10^(-V31)</f>
        <v>1.7782794100389215E-5</v>
      </c>
      <c r="AC31">
        <f t="shared" ref="AC31:AC37" si="3">1/((S_hion/AB31)^AA31+1)</f>
        <v>0.9999962932065225</v>
      </c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B32" t="s">
        <v>53</v>
      </c>
      <c r="C32">
        <v>0.95</v>
      </c>
      <c r="H32" t="s">
        <v>82</v>
      </c>
      <c r="I32">
        <v>0.03</v>
      </c>
      <c r="K32" t="s">
        <v>104</v>
      </c>
      <c r="L32">
        <v>50</v>
      </c>
      <c r="N32" t="s">
        <v>118</v>
      </c>
      <c r="O32">
        <v>0.3</v>
      </c>
      <c r="Q32" t="s">
        <v>131</v>
      </c>
      <c r="R32" t="s">
        <v>132</v>
      </c>
      <c r="T32">
        <v>5.5</v>
      </c>
      <c r="U32">
        <v>4</v>
      </c>
      <c r="V32">
        <f t="shared" ref="V32:V37" si="4">(T32+U32)/2</f>
        <v>4.75</v>
      </c>
      <c r="W32">
        <v>24</v>
      </c>
      <c r="X32">
        <f t="shared" si="2"/>
        <v>0.99998062576239533</v>
      </c>
      <c r="Y32">
        <f>X32*I_IN</f>
        <v>0.99921335649281495</v>
      </c>
      <c r="AA32">
        <f t="shared" ref="AA32:AA37" si="5">3/(T32-U32)</f>
        <v>2</v>
      </c>
      <c r="AB32">
        <f t="shared" ref="AB32:AB37" si="6">10^(-V32)</f>
        <v>1.7782794100389215E-5</v>
      </c>
      <c r="AC32">
        <f t="shared" si="3"/>
        <v>0.9999962932065225</v>
      </c>
      <c r="AE32" s="1"/>
      <c r="AF32" s="1"/>
      <c r="AG32" s="1"/>
      <c r="AH32" s="1"/>
      <c r="AI32" s="1"/>
      <c r="AJ32" s="1"/>
    </row>
    <row r="33" spans="2:37" x14ac:dyDescent="0.3">
      <c r="B33" t="s">
        <v>86</v>
      </c>
      <c r="C33">
        <v>0.19</v>
      </c>
      <c r="H33" t="s">
        <v>83</v>
      </c>
      <c r="I33">
        <v>3.1251171918946899E-2</v>
      </c>
      <c r="K33" t="s">
        <v>105</v>
      </c>
      <c r="L33">
        <v>6</v>
      </c>
      <c r="N33" t="s">
        <v>119</v>
      </c>
      <c r="O33">
        <v>0.4</v>
      </c>
      <c r="Q33" s="1">
        <v>5.0000000000000004E-6</v>
      </c>
      <c r="R33" s="1">
        <f>1/(1+S_h2/Q33)</f>
        <v>0.95493743813318432</v>
      </c>
      <c r="T33">
        <v>5.5</v>
      </c>
      <c r="U33">
        <v>4</v>
      </c>
      <c r="V33">
        <f t="shared" si="4"/>
        <v>4.75</v>
      </c>
      <c r="W33">
        <v>24</v>
      </c>
      <c r="X33">
        <f t="shared" si="2"/>
        <v>0.99998062576239533</v>
      </c>
      <c r="Y33" s="1">
        <f>X33*I_IN*R33</f>
        <v>0.95418624279770892</v>
      </c>
      <c r="AA33">
        <f t="shared" si="5"/>
        <v>2</v>
      </c>
      <c r="AB33">
        <f t="shared" si="6"/>
        <v>1.7782794100389215E-5</v>
      </c>
      <c r="AC33">
        <f t="shared" si="3"/>
        <v>0.9999962932065225</v>
      </c>
      <c r="AE33" s="1"/>
      <c r="AF33" s="1"/>
    </row>
    <row r="34" spans="2:37" x14ac:dyDescent="0.3">
      <c r="B34" t="s">
        <v>54</v>
      </c>
      <c r="C34">
        <v>0.13</v>
      </c>
      <c r="H34" t="s">
        <v>84</v>
      </c>
      <c r="I34">
        <v>0.03</v>
      </c>
      <c r="K34" t="s">
        <v>106</v>
      </c>
      <c r="L34">
        <v>20</v>
      </c>
      <c r="N34" t="s">
        <v>120</v>
      </c>
      <c r="O34">
        <v>0.2</v>
      </c>
      <c r="Q34" s="1">
        <v>1.0000000000000001E-5</v>
      </c>
      <c r="R34" s="1">
        <f>1/(1+S_h2/Q34)</f>
        <v>0.9769493585892719</v>
      </c>
      <c r="T34">
        <v>5.5</v>
      </c>
      <c r="U34">
        <v>4</v>
      </c>
      <c r="V34">
        <f t="shared" si="4"/>
        <v>4.75</v>
      </c>
      <c r="W34">
        <v>24</v>
      </c>
      <c r="X34">
        <f t="shared" si="2"/>
        <v>0.99998062576239533</v>
      </c>
      <c r="Y34" s="1">
        <f>X34*I_IN*R34</f>
        <v>0.9761808477194891</v>
      </c>
      <c r="AA34">
        <f t="shared" si="5"/>
        <v>2</v>
      </c>
      <c r="AB34">
        <f t="shared" si="6"/>
        <v>1.7782794100389215E-5</v>
      </c>
      <c r="AC34">
        <f t="shared" si="3"/>
        <v>0.9999962932065225</v>
      </c>
      <c r="AE34" s="1"/>
      <c r="AF34" s="1"/>
    </row>
    <row r="35" spans="2:37" x14ac:dyDescent="0.3">
      <c r="B35" t="s">
        <v>55</v>
      </c>
      <c r="C35">
        <v>0.27</v>
      </c>
      <c r="H35" t="s">
        <v>85</v>
      </c>
      <c r="I35">
        <v>2.17399456827457E-2</v>
      </c>
      <c r="K35" t="s">
        <v>107</v>
      </c>
      <c r="L35">
        <v>13</v>
      </c>
      <c r="N35" t="s">
        <v>121</v>
      </c>
      <c r="O35">
        <v>0.1</v>
      </c>
      <c r="Q35" s="1">
        <v>3.4999999999999999E-6</v>
      </c>
      <c r="R35" s="1">
        <f>1/(1+S_h2/Q35)</f>
        <v>0.93684460191880226</v>
      </c>
      <c r="T35">
        <v>5.5</v>
      </c>
      <c r="U35">
        <v>4</v>
      </c>
      <c r="V35">
        <f t="shared" si="4"/>
        <v>4.75</v>
      </c>
      <c r="W35">
        <v>24</v>
      </c>
      <c r="X35">
        <f t="shared" si="2"/>
        <v>0.99998062576239533</v>
      </c>
      <c r="Y35" s="1">
        <f>X35*I_IN*R35</f>
        <v>0.93610763919546147</v>
      </c>
      <c r="AA35">
        <f t="shared" si="5"/>
        <v>2</v>
      </c>
      <c r="AB35">
        <f t="shared" si="6"/>
        <v>1.7782794100389215E-5</v>
      </c>
      <c r="AC35">
        <f t="shared" si="3"/>
        <v>0.9999962932065225</v>
      </c>
      <c r="AE35" s="1"/>
      <c r="AF35" s="1"/>
    </row>
    <row r="36" spans="2:37" x14ac:dyDescent="0.3">
      <c r="B36" t="s">
        <v>56</v>
      </c>
      <c r="C36">
        <v>0.41</v>
      </c>
      <c r="H36" t="s">
        <v>88</v>
      </c>
      <c r="I36">
        <v>2.5000937535157499E-2</v>
      </c>
      <c r="K36" t="s">
        <v>108</v>
      </c>
      <c r="L36">
        <v>8</v>
      </c>
      <c r="N36" t="s">
        <v>122</v>
      </c>
      <c r="O36">
        <v>0.15</v>
      </c>
      <c r="T36">
        <v>7</v>
      </c>
      <c r="U36">
        <v>6</v>
      </c>
      <c r="V36">
        <f t="shared" si="4"/>
        <v>6.5</v>
      </c>
      <c r="W36">
        <v>45</v>
      </c>
      <c r="X36">
        <f t="shared" si="2"/>
        <v>0.99803845699515081</v>
      </c>
      <c r="Y36" cm="1">
        <f t="array" ref="Y36">X36*I_IN*I_nh3</f>
        <v>0.30471750471185466</v>
      </c>
      <c r="AA36">
        <f t="shared" si="5"/>
        <v>3</v>
      </c>
      <c r="AB36">
        <f t="shared" si="6"/>
        <v>3.1622776601683734E-7</v>
      </c>
      <c r="AC36">
        <f t="shared" si="3"/>
        <v>0.99873249645969087</v>
      </c>
      <c r="AE36" s="1"/>
      <c r="AF36" s="1"/>
    </row>
    <row r="37" spans="2:37" x14ac:dyDescent="0.3">
      <c r="B37" t="s">
        <v>92</v>
      </c>
      <c r="C37">
        <v>0.06</v>
      </c>
      <c r="H37" t="s">
        <v>89</v>
      </c>
      <c r="I37">
        <v>2.6786718787668799E-2</v>
      </c>
      <c r="K37" t="s">
        <v>109</v>
      </c>
      <c r="L37">
        <v>35</v>
      </c>
      <c r="N37" t="s">
        <v>123</v>
      </c>
      <c r="O37" s="1">
        <v>6.9999999999999999E-6</v>
      </c>
      <c r="T37">
        <v>6</v>
      </c>
      <c r="U37">
        <v>5</v>
      </c>
      <c r="V37">
        <f t="shared" si="4"/>
        <v>5.5</v>
      </c>
      <c r="W37">
        <v>45</v>
      </c>
      <c r="X37">
        <f t="shared" si="2"/>
        <v>0.99999893175695898</v>
      </c>
      <c r="Y37">
        <f>X37*I_IN</f>
        <v>0.99923164844147938</v>
      </c>
      <c r="AA37">
        <f t="shared" si="5"/>
        <v>3</v>
      </c>
      <c r="AB37">
        <f t="shared" si="6"/>
        <v>3.1622776601683767E-6</v>
      </c>
      <c r="AC37">
        <f t="shared" si="3"/>
        <v>0.99999873088946611</v>
      </c>
      <c r="AE37" s="1"/>
      <c r="AF37" s="1"/>
    </row>
    <row r="38" spans="2:37" x14ac:dyDescent="0.3">
      <c r="B38" t="s">
        <v>57</v>
      </c>
      <c r="C38">
        <v>0.23</v>
      </c>
      <c r="H38" t="s">
        <v>90</v>
      </c>
      <c r="I38">
        <v>3.1222160240452199E-2</v>
      </c>
      <c r="K38" t="s">
        <v>110</v>
      </c>
      <c r="L38">
        <v>0.02</v>
      </c>
      <c r="AE38" s="1"/>
      <c r="AF38" s="1"/>
    </row>
    <row r="39" spans="2:37" x14ac:dyDescent="0.3">
      <c r="B39" t="s">
        <v>58</v>
      </c>
      <c r="C39">
        <v>0.26</v>
      </c>
      <c r="H39" t="s">
        <v>91</v>
      </c>
      <c r="I39">
        <v>3.1300000000000001E-2</v>
      </c>
      <c r="K39" t="s">
        <v>111</v>
      </c>
      <c r="L39">
        <v>0.02</v>
      </c>
      <c r="AE39" s="1"/>
      <c r="AF39" s="1"/>
    </row>
    <row r="40" spans="2:37" x14ac:dyDescent="0.3">
      <c r="B40" t="s">
        <v>59</v>
      </c>
      <c r="C40">
        <v>0.05</v>
      </c>
      <c r="H40" t="s">
        <v>93</v>
      </c>
      <c r="I40">
        <v>2.4039363014574499E-2</v>
      </c>
      <c r="K40" t="s">
        <v>112</v>
      </c>
      <c r="L40">
        <v>0.02</v>
      </c>
      <c r="AE40" s="1"/>
      <c r="AF40" s="1"/>
      <c r="AG40" s="1"/>
      <c r="AH40" s="1"/>
      <c r="AI40" s="1"/>
      <c r="AJ40" s="1"/>
    </row>
    <row r="41" spans="2:37" x14ac:dyDescent="0.3">
      <c r="B41" t="s">
        <v>60</v>
      </c>
      <c r="C41">
        <v>0.4</v>
      </c>
      <c r="H41" t="s">
        <v>94</v>
      </c>
      <c r="I41">
        <v>1.5625585959473401E-2</v>
      </c>
      <c r="K41" t="s">
        <v>113</v>
      </c>
      <c r="L41">
        <v>0.02</v>
      </c>
      <c r="AE41" s="1"/>
      <c r="AF41" s="1"/>
      <c r="AG41" s="1"/>
      <c r="AH41" s="1"/>
      <c r="AI41" s="1"/>
      <c r="AJ41" s="1"/>
      <c r="AK41" s="1"/>
    </row>
    <row r="42" spans="2:37" x14ac:dyDescent="0.3">
      <c r="B42" s="2" t="s">
        <v>61</v>
      </c>
      <c r="C42" s="2">
        <v>0.7</v>
      </c>
      <c r="K42" t="s">
        <v>114</v>
      </c>
      <c r="L42">
        <v>0.02</v>
      </c>
      <c r="AE42" s="1"/>
      <c r="AF42" s="1"/>
      <c r="AG42" s="1"/>
      <c r="AH42" s="1"/>
      <c r="AI42" s="1"/>
      <c r="AJ42" s="1"/>
      <c r="AK42" s="1"/>
    </row>
    <row r="43" spans="2:37" x14ac:dyDescent="0.3">
      <c r="B43" s="2" t="s">
        <v>62</v>
      </c>
      <c r="C43" s="2">
        <v>0.54</v>
      </c>
      <c r="K43" t="s">
        <v>115</v>
      </c>
      <c r="L43">
        <v>0.02</v>
      </c>
      <c r="N43" t="s">
        <v>154</v>
      </c>
      <c r="O43">
        <v>8.3144999999999997E-2</v>
      </c>
      <c r="AE43" s="1"/>
      <c r="AF43" s="1"/>
      <c r="AG43" s="1"/>
      <c r="AH43" s="1"/>
      <c r="AI43" s="1"/>
      <c r="AJ43" s="1"/>
    </row>
    <row r="44" spans="2:37" x14ac:dyDescent="0.3">
      <c r="B44" s="2" t="s">
        <v>63</v>
      </c>
      <c r="C44" s="2">
        <v>0.31</v>
      </c>
      <c r="K44" t="s">
        <v>116</v>
      </c>
      <c r="L44">
        <v>0.02</v>
      </c>
      <c r="N44" t="s">
        <v>155</v>
      </c>
      <c r="O44">
        <v>308.14999999999998</v>
      </c>
      <c r="AE44" s="1"/>
      <c r="AF44" s="1"/>
      <c r="AG44" s="1"/>
      <c r="AH44" s="1"/>
      <c r="AI44" s="1"/>
      <c r="AJ44" s="1"/>
    </row>
    <row r="45" spans="2:37" x14ac:dyDescent="0.3">
      <c r="B45" s="2" t="s">
        <v>64</v>
      </c>
      <c r="C45" s="2">
        <v>0.8</v>
      </c>
      <c r="K45" t="s">
        <v>153</v>
      </c>
      <c r="L45">
        <f>10^(-pH)</f>
        <v>3.4237338762645178E-8</v>
      </c>
      <c r="N45" t="s">
        <v>139</v>
      </c>
      <c r="O45">
        <v>200</v>
      </c>
      <c r="AE45" s="1"/>
      <c r="AF45" s="1"/>
      <c r="AG45" s="1"/>
    </row>
    <row r="46" spans="2:37" x14ac:dyDescent="0.3">
      <c r="B46" s="2" t="s">
        <v>65</v>
      </c>
      <c r="C46" s="2">
        <v>0.56999999999999995</v>
      </c>
      <c r="K46" t="s">
        <v>128</v>
      </c>
      <c r="L46">
        <v>7.4654999999999996</v>
      </c>
      <c r="N46" t="s">
        <v>141</v>
      </c>
      <c r="O46" s="1">
        <v>7.3800000000000005E-4</v>
      </c>
      <c r="P46" s="1">
        <f>KH_h2*16</f>
        <v>1.1808000000000001E-2</v>
      </c>
      <c r="AE46" s="1"/>
      <c r="AF46" s="1"/>
    </row>
    <row r="47" spans="2:37" x14ac:dyDescent="0.3">
      <c r="B47" t="s">
        <v>66</v>
      </c>
      <c r="C47">
        <v>0.1</v>
      </c>
      <c r="K47" t="s">
        <v>135</v>
      </c>
      <c r="L47">
        <v>4.091E-3</v>
      </c>
      <c r="N47" t="s">
        <v>142</v>
      </c>
      <c r="O47">
        <v>1.16E-3</v>
      </c>
      <c r="P47" s="1">
        <f>KH_ch4*64</f>
        <v>7.424E-2</v>
      </c>
      <c r="AE47" s="1"/>
      <c r="AF47" s="1"/>
    </row>
    <row r="48" spans="2:37" x14ac:dyDescent="0.3">
      <c r="B48" t="s">
        <v>67</v>
      </c>
      <c r="C48">
        <v>0.08</v>
      </c>
      <c r="K48" t="s">
        <v>140</v>
      </c>
      <c r="L48">
        <v>9.9000000000000008E-3</v>
      </c>
      <c r="N48" t="s">
        <v>143</v>
      </c>
      <c r="O48">
        <f>0.035*EXP(-194/0.083145*(1/298.15-1/308.15))</f>
        <v>2.7150246857601871E-2</v>
      </c>
      <c r="P48" s="1"/>
      <c r="AE48" s="1"/>
      <c r="AF48" s="1"/>
    </row>
    <row r="49" spans="2:32" x14ac:dyDescent="0.3">
      <c r="B49" t="s">
        <v>68</v>
      </c>
      <c r="C49">
        <v>0.06</v>
      </c>
      <c r="K49" t="s">
        <v>144</v>
      </c>
      <c r="L49">
        <v>1.6399999999999999E-5</v>
      </c>
      <c r="N49" t="s">
        <v>147</v>
      </c>
      <c r="O49">
        <v>1.0241035599999999E-5</v>
      </c>
      <c r="P49">
        <f>O49/16</f>
        <v>6.4006472499999996E-7</v>
      </c>
      <c r="AE49" s="1"/>
      <c r="AF49" s="1"/>
    </row>
    <row r="50" spans="2:32" x14ac:dyDescent="0.3">
      <c r="B50" t="s">
        <v>69</v>
      </c>
      <c r="C50">
        <v>0.06</v>
      </c>
      <c r="K50" t="s">
        <v>145</v>
      </c>
      <c r="L50">
        <v>0.65080000000000005</v>
      </c>
      <c r="N50" t="s">
        <v>148</v>
      </c>
      <c r="O50">
        <v>1.6256072099814001</v>
      </c>
      <c r="P50">
        <f>O50/64</f>
        <v>2.5400112655959376E-2</v>
      </c>
      <c r="AE50" s="1"/>
      <c r="AF50" s="1"/>
    </row>
    <row r="51" spans="2:32" x14ac:dyDescent="0.3">
      <c r="B51" t="s">
        <v>70</v>
      </c>
      <c r="C51">
        <v>0.04</v>
      </c>
      <c r="K51" t="s">
        <v>146</v>
      </c>
      <c r="L51">
        <v>0.36259999999999998</v>
      </c>
      <c r="N51" t="s">
        <v>149</v>
      </c>
      <c r="O51">
        <v>1.41505346784E-2</v>
      </c>
      <c r="P51">
        <f>O51</f>
        <v>1.41505346784E-2</v>
      </c>
      <c r="AE51" s="1"/>
    </row>
    <row r="52" spans="2:32" x14ac:dyDescent="0.3">
      <c r="B52" t="s">
        <v>71</v>
      </c>
      <c r="C52">
        <v>0.05</v>
      </c>
      <c r="AE52" s="1"/>
    </row>
    <row r="53" spans="2:32" x14ac:dyDescent="0.3">
      <c r="B53" t="s">
        <v>72</v>
      </c>
      <c r="C53">
        <v>0.06</v>
      </c>
      <c r="AE53" s="1"/>
    </row>
    <row r="54" spans="2:32" x14ac:dyDescent="0.3">
      <c r="AE54" s="1"/>
    </row>
    <row r="55" spans="2:32" x14ac:dyDescent="0.3">
      <c r="AE55" s="1"/>
    </row>
    <row r="56" spans="2:32" x14ac:dyDescent="0.3">
      <c r="AE56" s="1"/>
    </row>
    <row r="57" spans="2:32" x14ac:dyDescent="0.3">
      <c r="AE57" s="1"/>
    </row>
    <row r="58" spans="2:32" x14ac:dyDescent="0.3">
      <c r="AE58" s="1"/>
    </row>
    <row r="59" spans="2:32" x14ac:dyDescent="0.3">
      <c r="AE59" s="1"/>
    </row>
    <row r="60" spans="2:32" x14ac:dyDescent="0.3">
      <c r="AE60" s="1"/>
    </row>
    <row r="61" spans="2:32" x14ac:dyDescent="0.3">
      <c r="AE6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"/>
  <sheetViews>
    <sheetView workbookViewId="0">
      <selection activeCell="C36" sqref="C36"/>
    </sheetView>
  </sheetViews>
  <sheetFormatPr defaultRowHeight="14.4" x14ac:dyDescent="0.3"/>
  <cols>
    <col min="2" max="2" width="19.44140625" bestFit="1" customWidth="1"/>
    <col min="12" max="12" width="8.88671875" customWidth="1"/>
    <col min="13" max="13" width="9.6640625" customWidth="1"/>
  </cols>
  <sheetData>
    <row r="1" spans="1:2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1</v>
      </c>
      <c r="B2" t="s">
        <v>27</v>
      </c>
      <c r="C2">
        <f>stoichio!C2-benchmark!C2</f>
        <v>0</v>
      </c>
      <c r="D2">
        <f>stoichio!D2-benchmark!D2</f>
        <v>0</v>
      </c>
      <c r="E2">
        <f>stoichio!E2-benchmark!E2</f>
        <v>0</v>
      </c>
      <c r="F2">
        <f>stoichio!F2-benchmark!F2</f>
        <v>0</v>
      </c>
      <c r="G2">
        <f>stoichio!G2-benchmark!G2</f>
        <v>0</v>
      </c>
      <c r="H2">
        <f>stoichio!H2-benchmark!H2</f>
        <v>0</v>
      </c>
      <c r="I2">
        <f>stoichio!I2-benchmark!I2</f>
        <v>0</v>
      </c>
      <c r="J2">
        <f>stoichio!J2-benchmark!J2</f>
        <v>0</v>
      </c>
      <c r="K2">
        <f>stoichio!K2-benchmark!K2</f>
        <v>0</v>
      </c>
      <c r="L2" s="5">
        <f>stoichio!L2/12-benchmark!L2</f>
        <v>1.3099220579130039E-8</v>
      </c>
      <c r="M2" s="5">
        <f>stoichio!M2/14-benchmark!M2</f>
        <v>6.6987089331212657E-7</v>
      </c>
      <c r="N2">
        <f>stoichio!N2-benchmark!N2</f>
        <v>0</v>
      </c>
      <c r="O2">
        <f>stoichio!O2-benchmark!O2</f>
        <v>0</v>
      </c>
      <c r="P2">
        <f>stoichio!P2-benchmark!P2</f>
        <v>0</v>
      </c>
      <c r="Q2">
        <f>stoichio!Q2-benchmark!Q2</f>
        <v>0</v>
      </c>
      <c r="R2">
        <f>stoichio!R2-benchmark!R2</f>
        <v>0</v>
      </c>
      <c r="S2">
        <f>stoichio!S2-benchmark!S2</f>
        <v>0</v>
      </c>
      <c r="T2">
        <f>stoichio!T2-benchmark!T2</f>
        <v>0</v>
      </c>
      <c r="U2">
        <f>stoichio!U2-benchmark!U2</f>
        <v>0</v>
      </c>
      <c r="V2">
        <f>stoichio!V2-benchmark!V2</f>
        <v>0</v>
      </c>
      <c r="W2">
        <f>stoichio!W2-benchmark!W2</f>
        <v>0</v>
      </c>
      <c r="X2">
        <f>stoichio!X2-benchmark!X2</f>
        <v>0</v>
      </c>
      <c r="Y2">
        <f>stoichio!Y2-benchmark!Y2</f>
        <v>0</v>
      </c>
      <c r="Z2">
        <f>stoichio!Z2-benchmark!Z2</f>
        <v>0</v>
      </c>
      <c r="AA2">
        <f>stoichio!AA2-benchmark!AA2</f>
        <v>0</v>
      </c>
      <c r="AB2">
        <f>stoichio!AB2-benchmark!AB2</f>
        <v>0</v>
      </c>
      <c r="AC2">
        <f>stoichio!AC2-benchmark!AC2</f>
        <v>0</v>
      </c>
    </row>
    <row r="3" spans="1:29" x14ac:dyDescent="0.3">
      <c r="A3">
        <v>2</v>
      </c>
      <c r="B3" t="s">
        <v>28</v>
      </c>
      <c r="C3">
        <f>stoichio!C3-benchmark!C3</f>
        <v>0</v>
      </c>
      <c r="D3">
        <f>stoichio!D3-benchmark!D3</f>
        <v>0</v>
      </c>
      <c r="E3">
        <f>stoichio!E3-benchmark!E3</f>
        <v>0</v>
      </c>
      <c r="F3">
        <f>stoichio!F3-benchmark!F3</f>
        <v>0</v>
      </c>
      <c r="G3">
        <f>stoichio!G3-benchmark!G3</f>
        <v>0</v>
      </c>
      <c r="H3">
        <f>stoichio!H3-benchmark!H3</f>
        <v>0</v>
      </c>
      <c r="I3">
        <f>stoichio!I3-benchmark!I3</f>
        <v>0</v>
      </c>
      <c r="J3">
        <f>stoichio!J3-benchmark!J3</f>
        <v>0</v>
      </c>
      <c r="K3">
        <f>stoichio!K3-benchmark!K3</f>
        <v>0</v>
      </c>
      <c r="L3" s="5">
        <f>stoichio!L3/12-benchmark!L3</f>
        <v>-4.6259292692714838E-18</v>
      </c>
      <c r="M3" s="5">
        <f>stoichio!M3/14-benchmark!M3</f>
        <v>0</v>
      </c>
      <c r="N3">
        <f>stoichio!N3-benchmark!N3</f>
        <v>0</v>
      </c>
      <c r="O3">
        <f>stoichio!O3-benchmark!O3</f>
        <v>0</v>
      </c>
      <c r="P3">
        <f>stoichio!P3-benchmark!P3</f>
        <v>0</v>
      </c>
      <c r="Q3">
        <f>stoichio!Q3-benchmark!Q3</f>
        <v>0</v>
      </c>
      <c r="R3">
        <f>stoichio!R3-benchmark!R3</f>
        <v>0</v>
      </c>
      <c r="S3">
        <f>stoichio!S3-benchmark!S3</f>
        <v>0</v>
      </c>
      <c r="T3">
        <f>stoichio!T3-benchmark!T3</f>
        <v>0</v>
      </c>
      <c r="U3">
        <f>stoichio!U3-benchmark!U3</f>
        <v>0</v>
      </c>
      <c r="V3">
        <f>stoichio!V3-benchmark!V3</f>
        <v>0</v>
      </c>
      <c r="W3">
        <f>stoichio!W3-benchmark!W3</f>
        <v>0</v>
      </c>
      <c r="X3">
        <f>stoichio!X3-benchmark!X3</f>
        <v>0</v>
      </c>
      <c r="Y3">
        <f>stoichio!Y3-benchmark!Y3</f>
        <v>0</v>
      </c>
      <c r="Z3">
        <f>stoichio!Z3-benchmark!Z3</f>
        <v>0</v>
      </c>
      <c r="AA3">
        <f>stoichio!AA3-benchmark!AA3</f>
        <v>0</v>
      </c>
      <c r="AB3">
        <f>stoichio!AB3-benchmark!AB3</f>
        <v>0</v>
      </c>
      <c r="AC3">
        <f>stoichio!AC3-benchmark!AC3</f>
        <v>0</v>
      </c>
    </row>
    <row r="4" spans="1:29" x14ac:dyDescent="0.3">
      <c r="A4">
        <v>3</v>
      </c>
      <c r="B4" t="s">
        <v>29</v>
      </c>
      <c r="C4">
        <f>stoichio!C4-benchmark!C4</f>
        <v>0</v>
      </c>
      <c r="D4">
        <f>stoichio!D4-benchmark!D4</f>
        <v>0</v>
      </c>
      <c r="E4">
        <f>stoichio!E4-benchmark!E4</f>
        <v>0</v>
      </c>
      <c r="F4">
        <f>stoichio!F4-benchmark!F4</f>
        <v>0</v>
      </c>
      <c r="G4">
        <f>stoichio!G4-benchmark!G4</f>
        <v>0</v>
      </c>
      <c r="H4">
        <f>stoichio!H4-benchmark!H4</f>
        <v>0</v>
      </c>
      <c r="I4">
        <f>stoichio!I4-benchmark!I4</f>
        <v>0</v>
      </c>
      <c r="J4">
        <f>stoichio!J4-benchmark!J4</f>
        <v>0</v>
      </c>
      <c r="K4">
        <f>stoichio!K4-benchmark!K4</f>
        <v>0</v>
      </c>
      <c r="L4" s="5">
        <f>stoichio!L4/12-benchmark!L4</f>
        <v>0</v>
      </c>
      <c r="M4" s="5">
        <f>stoichio!M4/14-benchmark!M4</f>
        <v>0</v>
      </c>
      <c r="N4">
        <f>stoichio!N4-benchmark!N4</f>
        <v>0</v>
      </c>
      <c r="O4">
        <f>stoichio!O4-benchmark!O4</f>
        <v>0</v>
      </c>
      <c r="P4">
        <f>stoichio!P4-benchmark!P4</f>
        <v>0</v>
      </c>
      <c r="Q4">
        <f>stoichio!Q4-benchmark!Q4</f>
        <v>0</v>
      </c>
      <c r="R4">
        <f>stoichio!R4-benchmark!R4</f>
        <v>0</v>
      </c>
      <c r="S4">
        <f>stoichio!S4-benchmark!S4</f>
        <v>0</v>
      </c>
      <c r="T4">
        <f>stoichio!T4-benchmark!T4</f>
        <v>0</v>
      </c>
      <c r="U4">
        <f>stoichio!U4-benchmark!U4</f>
        <v>0</v>
      </c>
      <c r="V4">
        <f>stoichio!V4-benchmark!V4</f>
        <v>0</v>
      </c>
      <c r="W4">
        <f>stoichio!W4-benchmark!W4</f>
        <v>0</v>
      </c>
      <c r="X4">
        <f>stoichio!X4-benchmark!X4</f>
        <v>0</v>
      </c>
      <c r="Y4">
        <f>stoichio!Y4-benchmark!Y4</f>
        <v>0</v>
      </c>
      <c r="Z4">
        <f>stoichio!Z4-benchmark!Z4</f>
        <v>0</v>
      </c>
      <c r="AA4">
        <f>stoichio!AA4-benchmark!AA4</f>
        <v>0</v>
      </c>
      <c r="AB4">
        <f>stoichio!AB4-benchmark!AB4</f>
        <v>0</v>
      </c>
      <c r="AC4">
        <f>stoichio!AC4-benchmark!AC4</f>
        <v>0</v>
      </c>
    </row>
    <row r="5" spans="1:29" x14ac:dyDescent="0.3">
      <c r="A5">
        <v>4</v>
      </c>
      <c r="B5" t="s">
        <v>30</v>
      </c>
      <c r="C5">
        <f>stoichio!C5-benchmark!C5</f>
        <v>0</v>
      </c>
      <c r="D5">
        <f>stoichio!D5-benchmark!D5</f>
        <v>0</v>
      </c>
      <c r="E5">
        <f>stoichio!E5-benchmark!E5</f>
        <v>0</v>
      </c>
      <c r="F5">
        <f>stoichio!F5-benchmark!F5</f>
        <v>0</v>
      </c>
      <c r="G5">
        <f>stoichio!G5-benchmark!G5</f>
        <v>0</v>
      </c>
      <c r="H5">
        <f>stoichio!H5-benchmark!H5</f>
        <v>0</v>
      </c>
      <c r="I5">
        <f>stoichio!I5-benchmark!I5</f>
        <v>0</v>
      </c>
      <c r="J5">
        <f>stoichio!J5-benchmark!J5</f>
        <v>0</v>
      </c>
      <c r="K5">
        <f>stoichio!K5-benchmark!K5</f>
        <v>0</v>
      </c>
      <c r="L5" s="5">
        <f>stoichio!L5/12-benchmark!L5</f>
        <v>-2.0679889063140067E-7</v>
      </c>
      <c r="M5" s="5">
        <f>stoichio!M5/14-benchmark!M5</f>
        <v>0</v>
      </c>
      <c r="N5">
        <f>stoichio!N5-benchmark!N5</f>
        <v>0</v>
      </c>
      <c r="O5">
        <f>stoichio!O5-benchmark!O5</f>
        <v>0</v>
      </c>
      <c r="P5">
        <f>stoichio!P5-benchmark!P5</f>
        <v>0</v>
      </c>
      <c r="Q5">
        <f>stoichio!Q5-benchmark!Q5</f>
        <v>0</v>
      </c>
      <c r="R5">
        <f>stoichio!R5-benchmark!R5</f>
        <v>0</v>
      </c>
      <c r="S5">
        <f>stoichio!S5-benchmark!S5</f>
        <v>0</v>
      </c>
      <c r="T5">
        <f>stoichio!T5-benchmark!T5</f>
        <v>0</v>
      </c>
      <c r="U5">
        <f>stoichio!U5-benchmark!U5</f>
        <v>0</v>
      </c>
      <c r="V5">
        <f>stoichio!V5-benchmark!V5</f>
        <v>0</v>
      </c>
      <c r="W5">
        <f>stoichio!W5-benchmark!W5</f>
        <v>0</v>
      </c>
      <c r="X5">
        <f>stoichio!X5-benchmark!X5</f>
        <v>0</v>
      </c>
      <c r="Y5">
        <f>stoichio!Y5-benchmark!Y5</f>
        <v>0</v>
      </c>
      <c r="Z5">
        <f>stoichio!Z5-benchmark!Z5</f>
        <v>0</v>
      </c>
      <c r="AA5">
        <f>stoichio!AA5-benchmark!AA5</f>
        <v>0</v>
      </c>
      <c r="AB5">
        <f>stoichio!AB5-benchmark!AB5</f>
        <v>0</v>
      </c>
      <c r="AC5">
        <f>stoichio!AC5-benchmark!AC5</f>
        <v>0</v>
      </c>
    </row>
    <row r="6" spans="1:29" x14ac:dyDescent="0.3">
      <c r="A6">
        <v>5</v>
      </c>
      <c r="B6" t="s">
        <v>31</v>
      </c>
      <c r="C6">
        <f>stoichio!C6-benchmark!C6</f>
        <v>0</v>
      </c>
      <c r="D6">
        <f>stoichio!D6-benchmark!D6</f>
        <v>0</v>
      </c>
      <c r="E6">
        <f>stoichio!E6-benchmark!E6</f>
        <v>0</v>
      </c>
      <c r="F6">
        <f>stoichio!F6-benchmark!F6</f>
        <v>0</v>
      </c>
      <c r="G6">
        <f>stoichio!G6-benchmark!G6</f>
        <v>0</v>
      </c>
      <c r="H6">
        <f>stoichio!H6-benchmark!H6</f>
        <v>0</v>
      </c>
      <c r="I6">
        <f>stoichio!I6-benchmark!I6</f>
        <v>0</v>
      </c>
      <c r="J6">
        <f>stoichio!J6-benchmark!J6</f>
        <v>0</v>
      </c>
      <c r="K6">
        <f>stoichio!K6-benchmark!K6</f>
        <v>0</v>
      </c>
      <c r="L6" s="5">
        <f>stoichio!L6/12-benchmark!L6</f>
        <v>-4.3252496791162595E-6</v>
      </c>
      <c r="M6" s="5">
        <f>stoichio!M6/14-benchmark!M6</f>
        <v>0</v>
      </c>
      <c r="N6">
        <f>stoichio!N6-benchmark!N6</f>
        <v>0</v>
      </c>
      <c r="O6">
        <f>stoichio!O6-benchmark!O6</f>
        <v>0</v>
      </c>
      <c r="P6">
        <f>stoichio!P6-benchmark!P6</f>
        <v>0</v>
      </c>
      <c r="Q6">
        <f>stoichio!Q6-benchmark!Q6</f>
        <v>0</v>
      </c>
      <c r="R6">
        <f>stoichio!R6-benchmark!R6</f>
        <v>0</v>
      </c>
      <c r="S6">
        <f>stoichio!S6-benchmark!S6</f>
        <v>0</v>
      </c>
      <c r="T6">
        <f>stoichio!T6-benchmark!T6</f>
        <v>0</v>
      </c>
      <c r="U6">
        <f>stoichio!U6-benchmark!U6</f>
        <v>0</v>
      </c>
      <c r="V6">
        <f>stoichio!V6-benchmark!V6</f>
        <v>0</v>
      </c>
      <c r="W6">
        <f>stoichio!W6-benchmark!W6</f>
        <v>0</v>
      </c>
      <c r="X6">
        <f>stoichio!X6-benchmark!X6</f>
        <v>0</v>
      </c>
      <c r="Y6">
        <f>stoichio!Y6-benchmark!Y6</f>
        <v>0</v>
      </c>
      <c r="Z6">
        <f>stoichio!Z6-benchmark!Z6</f>
        <v>0</v>
      </c>
      <c r="AA6">
        <f>stoichio!AA6-benchmark!AA6</f>
        <v>0</v>
      </c>
      <c r="AB6">
        <f>stoichio!AB6-benchmark!AB6</f>
        <v>0</v>
      </c>
      <c r="AC6">
        <f>stoichio!AC6-benchmark!AC6</f>
        <v>0</v>
      </c>
    </row>
    <row r="7" spans="1:29" x14ac:dyDescent="0.3">
      <c r="A7">
        <v>6</v>
      </c>
      <c r="B7" t="s">
        <v>32</v>
      </c>
      <c r="C7">
        <f>stoichio!C7-benchmark!C7</f>
        <v>0</v>
      </c>
      <c r="D7">
        <f>stoichio!D7-benchmark!D7</f>
        <v>0</v>
      </c>
      <c r="E7">
        <f>stoichio!E7-benchmark!E7</f>
        <v>0</v>
      </c>
      <c r="F7">
        <f>stoichio!F7-benchmark!F7</f>
        <v>0</v>
      </c>
      <c r="G7">
        <f>stoichio!G7-benchmark!G7</f>
        <v>0</v>
      </c>
      <c r="H7">
        <f>stoichio!H7-benchmark!H7</f>
        <v>0</v>
      </c>
      <c r="I7">
        <f>stoichio!I7-benchmark!I7</f>
        <v>0</v>
      </c>
      <c r="J7">
        <f>stoichio!J7-benchmark!J7</f>
        <v>0</v>
      </c>
      <c r="K7">
        <f>stoichio!K7-benchmark!K7</f>
        <v>0</v>
      </c>
      <c r="L7" s="5">
        <f>stoichio!L7/12-benchmark!L7</f>
        <v>-7.3803176601776495E-6</v>
      </c>
      <c r="M7" s="5">
        <f>stoichio!M7/14-benchmark!M7</f>
        <v>3.3500000000000543E-6</v>
      </c>
      <c r="N7">
        <f>stoichio!N7-benchmark!N7</f>
        <v>0</v>
      </c>
      <c r="O7">
        <f>stoichio!O7-benchmark!O7</f>
        <v>0</v>
      </c>
      <c r="P7">
        <f>stoichio!P7-benchmark!P7</f>
        <v>0</v>
      </c>
      <c r="Q7">
        <f>stoichio!Q7-benchmark!Q7</f>
        <v>0</v>
      </c>
      <c r="R7">
        <f>stoichio!R7-benchmark!R7</f>
        <v>0</v>
      </c>
      <c r="S7">
        <f>stoichio!S7-benchmark!S7</f>
        <v>0</v>
      </c>
      <c r="T7">
        <f>stoichio!T7-benchmark!T7</f>
        <v>0</v>
      </c>
      <c r="U7">
        <f>stoichio!U7-benchmark!U7</f>
        <v>0</v>
      </c>
      <c r="V7">
        <f>stoichio!V7-benchmark!V7</f>
        <v>0</v>
      </c>
      <c r="W7">
        <f>stoichio!W7-benchmark!W7</f>
        <v>0</v>
      </c>
      <c r="X7">
        <f>stoichio!X7-benchmark!X7</f>
        <v>0</v>
      </c>
      <c r="Y7">
        <f>stoichio!Y7-benchmark!Y7</f>
        <v>0</v>
      </c>
      <c r="Z7">
        <f>stoichio!Z7-benchmark!Z7</f>
        <v>0</v>
      </c>
      <c r="AA7">
        <f>stoichio!AA7-benchmark!AA7</f>
        <v>0</v>
      </c>
      <c r="AB7">
        <f>stoichio!AB7-benchmark!AB7</f>
        <v>0</v>
      </c>
      <c r="AC7">
        <f>stoichio!AC7-benchmark!AC7</f>
        <v>0</v>
      </c>
    </row>
    <row r="8" spans="1:29" x14ac:dyDescent="0.3">
      <c r="A8">
        <v>7</v>
      </c>
      <c r="B8" t="s">
        <v>33</v>
      </c>
      <c r="C8">
        <f>stoichio!C8-benchmark!C8</f>
        <v>0</v>
      </c>
      <c r="D8">
        <f>stoichio!D8-benchmark!D8</f>
        <v>0</v>
      </c>
      <c r="E8">
        <f>stoichio!E8-benchmark!E8</f>
        <v>0</v>
      </c>
      <c r="F8">
        <f>stoichio!F8-benchmark!F8</f>
        <v>0</v>
      </c>
      <c r="G8">
        <f>stoichio!G8-benchmark!G8</f>
        <v>0</v>
      </c>
      <c r="H8">
        <f>stoichio!H8-benchmark!H8</f>
        <v>0</v>
      </c>
      <c r="I8">
        <f>stoichio!I8-benchmark!I8</f>
        <v>-8.8817841970012523E-16</v>
      </c>
      <c r="J8">
        <f>stoichio!J8-benchmark!J8</f>
        <v>0</v>
      </c>
      <c r="K8">
        <f>stoichio!K8-benchmark!K8</f>
        <v>0</v>
      </c>
      <c r="L8" s="5">
        <f>stoichio!L8/12-benchmark!L8</f>
        <v>-1.9715032966784803E-5</v>
      </c>
      <c r="M8" s="5">
        <f>stoichio!M8/14-benchmark!M8</f>
        <v>0</v>
      </c>
      <c r="N8">
        <f>stoichio!N8-benchmark!N8</f>
        <v>0</v>
      </c>
      <c r="O8">
        <f>stoichio!O8-benchmark!O8</f>
        <v>0</v>
      </c>
      <c r="P8">
        <f>stoichio!P8-benchmark!P8</f>
        <v>0</v>
      </c>
      <c r="Q8">
        <f>stoichio!Q8-benchmark!Q8</f>
        <v>0</v>
      </c>
      <c r="R8">
        <f>stoichio!R8-benchmark!R8</f>
        <v>0</v>
      </c>
      <c r="S8">
        <f>stoichio!S8-benchmark!S8</f>
        <v>0</v>
      </c>
      <c r="T8">
        <f>stoichio!T8-benchmark!T8</f>
        <v>0</v>
      </c>
      <c r="U8">
        <f>stoichio!U8-benchmark!U8</f>
        <v>0</v>
      </c>
      <c r="V8">
        <f>stoichio!V8-benchmark!V8</f>
        <v>0</v>
      </c>
      <c r="W8">
        <f>stoichio!W8-benchmark!W8</f>
        <v>0</v>
      </c>
      <c r="X8">
        <f>stoichio!X8-benchmark!X8</f>
        <v>0</v>
      </c>
      <c r="Y8">
        <f>stoichio!Y8-benchmark!Y8</f>
        <v>0</v>
      </c>
      <c r="Z8">
        <f>stoichio!Z8-benchmark!Z8</f>
        <v>0</v>
      </c>
      <c r="AA8">
        <f>stoichio!AA8-benchmark!AA8</f>
        <v>0</v>
      </c>
      <c r="AB8">
        <f>stoichio!AB8-benchmark!AB8</f>
        <v>0</v>
      </c>
      <c r="AC8">
        <f>stoichio!AC8-benchmark!AC8</f>
        <v>0</v>
      </c>
    </row>
    <row r="9" spans="1:29" x14ac:dyDescent="0.3">
      <c r="A9">
        <v>8</v>
      </c>
      <c r="B9" t="s">
        <v>34</v>
      </c>
      <c r="C9">
        <f>stoichio!C9-benchmark!C9</f>
        <v>0</v>
      </c>
      <c r="D9">
        <f>stoichio!D9-benchmark!D9</f>
        <v>0</v>
      </c>
      <c r="E9">
        <f>stoichio!E9-benchmark!E9</f>
        <v>0</v>
      </c>
      <c r="F9">
        <f>stoichio!F9-benchmark!F9</f>
        <v>0</v>
      </c>
      <c r="G9">
        <f>stoichio!G9-benchmark!G9</f>
        <v>0</v>
      </c>
      <c r="H9">
        <f>stoichio!H9-benchmark!H9</f>
        <v>0</v>
      </c>
      <c r="I9">
        <f>stoichio!I9-benchmark!I9</f>
        <v>0</v>
      </c>
      <c r="J9">
        <f>stoichio!J9-benchmark!J9</f>
        <v>-9.9920072216264089E-16</v>
      </c>
      <c r="K9">
        <f>stoichio!K9-benchmark!K9</f>
        <v>0</v>
      </c>
      <c r="L9" s="5">
        <f>stoichio!L9/12-benchmark!L9</f>
        <v>-8.9374353007711091E-6</v>
      </c>
      <c r="M9" s="5">
        <f>stoichio!M9/14-benchmark!M9</f>
        <v>0</v>
      </c>
      <c r="N9">
        <f>stoichio!N9-benchmark!N9</f>
        <v>0</v>
      </c>
      <c r="O9">
        <f>stoichio!O9-benchmark!O9</f>
        <v>0</v>
      </c>
      <c r="P9">
        <f>stoichio!P9-benchmark!P9</f>
        <v>0</v>
      </c>
      <c r="Q9">
        <f>stoichio!Q9-benchmark!Q9</f>
        <v>0</v>
      </c>
      <c r="R9">
        <f>stoichio!R9-benchmark!R9</f>
        <v>0</v>
      </c>
      <c r="S9">
        <f>stoichio!S9-benchmark!S9</f>
        <v>0</v>
      </c>
      <c r="T9">
        <f>stoichio!T9-benchmark!T9</f>
        <v>0</v>
      </c>
      <c r="U9">
        <f>stoichio!U9-benchmark!U9</f>
        <v>0</v>
      </c>
      <c r="V9">
        <f>stoichio!V9-benchmark!V9</f>
        <v>0</v>
      </c>
      <c r="W9">
        <f>stoichio!W9-benchmark!W9</f>
        <v>0</v>
      </c>
      <c r="X9">
        <f>stoichio!X9-benchmark!X9</f>
        <v>0</v>
      </c>
      <c r="Y9">
        <f>stoichio!Y9-benchmark!Y9</f>
        <v>0</v>
      </c>
      <c r="Z9">
        <f>stoichio!Z9-benchmark!Z9</f>
        <v>0</v>
      </c>
      <c r="AA9">
        <f>stoichio!AA9-benchmark!AA9</f>
        <v>0</v>
      </c>
      <c r="AB9">
        <f>stoichio!AB9-benchmark!AB9</f>
        <v>0</v>
      </c>
      <c r="AC9">
        <f>stoichio!AC9-benchmark!AC9</f>
        <v>0</v>
      </c>
    </row>
    <row r="10" spans="1:29" x14ac:dyDescent="0.3">
      <c r="A10">
        <v>9</v>
      </c>
      <c r="B10" t="s">
        <v>35</v>
      </c>
      <c r="C10">
        <f>stoichio!C10-benchmark!C10</f>
        <v>0</v>
      </c>
      <c r="D10">
        <f>stoichio!D10-benchmark!D10</f>
        <v>0</v>
      </c>
      <c r="E10">
        <f>stoichio!E10-benchmark!E10</f>
        <v>0</v>
      </c>
      <c r="F10">
        <f>stoichio!F10-benchmark!F10</f>
        <v>0</v>
      </c>
      <c r="G10">
        <f>stoichio!G10-benchmark!G10</f>
        <v>0</v>
      </c>
      <c r="H10">
        <f>stoichio!H10-benchmark!H10</f>
        <v>0</v>
      </c>
      <c r="I10">
        <f>stoichio!I10-benchmark!I10</f>
        <v>0</v>
      </c>
      <c r="J10">
        <f>stoichio!J10-benchmark!J10</f>
        <v>-9.9920072216264089E-16</v>
      </c>
      <c r="K10">
        <f>stoichio!K10-benchmark!K10</f>
        <v>0</v>
      </c>
      <c r="L10" s="5">
        <f>stoichio!L10/12-benchmark!L10</f>
        <v>-2.2153782069848406E-5</v>
      </c>
      <c r="M10" s="5">
        <f>stoichio!M10/14-benchmark!M10</f>
        <v>0</v>
      </c>
      <c r="N10">
        <f>stoichio!N10-benchmark!N10</f>
        <v>0</v>
      </c>
      <c r="O10">
        <f>stoichio!O10-benchmark!O10</f>
        <v>0</v>
      </c>
      <c r="P10">
        <f>stoichio!P10-benchmark!P10</f>
        <v>0</v>
      </c>
      <c r="Q10">
        <f>stoichio!Q10-benchmark!Q10</f>
        <v>0</v>
      </c>
      <c r="R10">
        <f>stoichio!R10-benchmark!R10</f>
        <v>0</v>
      </c>
      <c r="S10">
        <f>stoichio!S10-benchmark!S10</f>
        <v>0</v>
      </c>
      <c r="T10">
        <f>stoichio!T10-benchmark!T10</f>
        <v>0</v>
      </c>
      <c r="U10">
        <f>stoichio!U10-benchmark!U10</f>
        <v>0</v>
      </c>
      <c r="V10">
        <f>stoichio!V10-benchmark!V10</f>
        <v>0</v>
      </c>
      <c r="W10">
        <f>stoichio!W10-benchmark!W10</f>
        <v>0</v>
      </c>
      <c r="X10">
        <f>stoichio!X10-benchmark!X10</f>
        <v>0</v>
      </c>
      <c r="Y10">
        <f>stoichio!Y10-benchmark!Y10</f>
        <v>0</v>
      </c>
      <c r="Z10">
        <f>stoichio!Z10-benchmark!Z10</f>
        <v>0</v>
      </c>
      <c r="AA10">
        <f>stoichio!AA10-benchmark!AA10</f>
        <v>0</v>
      </c>
      <c r="AB10">
        <f>stoichio!AB10-benchmark!AB10</f>
        <v>0</v>
      </c>
      <c r="AC10">
        <f>stoichio!AC10-benchmark!AC10</f>
        <v>0</v>
      </c>
    </row>
    <row r="11" spans="1:29" x14ac:dyDescent="0.3">
      <c r="A11">
        <v>10</v>
      </c>
      <c r="B11" t="s">
        <v>36</v>
      </c>
      <c r="C11">
        <f>stoichio!C11-benchmark!C11</f>
        <v>0</v>
      </c>
      <c r="D11">
        <f>stoichio!D11-benchmark!D11</f>
        <v>0</v>
      </c>
      <c r="E11">
        <f>stoichio!E11-benchmark!E11</f>
        <v>0</v>
      </c>
      <c r="F11">
        <f>stoichio!F11-benchmark!F11</f>
        <v>0</v>
      </c>
      <c r="G11">
        <f>stoichio!G11-benchmark!G11</f>
        <v>0</v>
      </c>
      <c r="H11">
        <f>stoichio!H11-benchmark!H11</f>
        <v>0</v>
      </c>
      <c r="I11">
        <f>stoichio!I11-benchmark!I11</f>
        <v>-8.8817841970012523E-16</v>
      </c>
      <c r="J11">
        <f>stoichio!J11-benchmark!J11</f>
        <v>0</v>
      </c>
      <c r="K11">
        <f>stoichio!K11-benchmark!K11</f>
        <v>0</v>
      </c>
      <c r="L11" s="5">
        <f>stoichio!L11/12-benchmark!L11</f>
        <v>-8.3548046893606315E-6</v>
      </c>
      <c r="M11" s="5">
        <f>stoichio!M11/14-benchmark!M11</f>
        <v>0</v>
      </c>
      <c r="N11">
        <f>stoichio!N11-benchmark!N11</f>
        <v>0</v>
      </c>
      <c r="O11">
        <f>stoichio!O11-benchmark!O11</f>
        <v>0</v>
      </c>
      <c r="P11">
        <f>stoichio!P11-benchmark!P11</f>
        <v>0</v>
      </c>
      <c r="Q11">
        <f>stoichio!Q11-benchmark!Q11</f>
        <v>0</v>
      </c>
      <c r="R11">
        <f>stoichio!R11-benchmark!R11</f>
        <v>0</v>
      </c>
      <c r="S11">
        <f>stoichio!S11-benchmark!S11</f>
        <v>0</v>
      </c>
      <c r="T11">
        <f>stoichio!T11-benchmark!T11</f>
        <v>0</v>
      </c>
      <c r="U11">
        <f>stoichio!U11-benchmark!U11</f>
        <v>0</v>
      </c>
      <c r="V11">
        <f>stoichio!V11-benchmark!V11</f>
        <v>0</v>
      </c>
      <c r="W11">
        <f>stoichio!W11-benchmark!W11</f>
        <v>0</v>
      </c>
      <c r="X11">
        <f>stoichio!X11-benchmark!X11</f>
        <v>0</v>
      </c>
      <c r="Y11">
        <f>stoichio!Y11-benchmark!Y11</f>
        <v>0</v>
      </c>
      <c r="Z11">
        <f>stoichio!Z11-benchmark!Z11</f>
        <v>0</v>
      </c>
      <c r="AA11">
        <f>stoichio!AA11-benchmark!AA11</f>
        <v>0</v>
      </c>
      <c r="AB11">
        <f>stoichio!AB11-benchmark!AB11</f>
        <v>0</v>
      </c>
      <c r="AC11">
        <f>stoichio!AC11-benchmark!AC11</f>
        <v>0</v>
      </c>
    </row>
    <row r="12" spans="1:29" x14ac:dyDescent="0.3">
      <c r="A12">
        <v>11</v>
      </c>
      <c r="B12" t="s">
        <v>37</v>
      </c>
      <c r="C12">
        <f>stoichio!C12-benchmark!C12</f>
        <v>0</v>
      </c>
      <c r="D12">
        <f>stoichio!D12-benchmark!D12</f>
        <v>0</v>
      </c>
      <c r="E12">
        <f>stoichio!E12-benchmark!E12</f>
        <v>0</v>
      </c>
      <c r="F12">
        <f>stoichio!F12-benchmark!F12</f>
        <v>0</v>
      </c>
      <c r="G12">
        <f>stoichio!G12-benchmark!G12</f>
        <v>0</v>
      </c>
      <c r="H12">
        <f>stoichio!H12-benchmark!H12</f>
        <v>0</v>
      </c>
      <c r="I12">
        <f>stoichio!I12-benchmark!I12</f>
        <v>0</v>
      </c>
      <c r="J12">
        <f>stoichio!J12-benchmark!J12</f>
        <v>0</v>
      </c>
      <c r="K12">
        <f>stoichio!K12-benchmark!K12</f>
        <v>0</v>
      </c>
      <c r="L12" s="5">
        <f>stoichio!L12/12-benchmark!L12</f>
        <v>4.2245675015867637E-5</v>
      </c>
      <c r="M12" s="5">
        <f>stoichio!M12/14-benchmark!M12</f>
        <v>0</v>
      </c>
      <c r="N12">
        <f>stoichio!N12-benchmark!N12</f>
        <v>0</v>
      </c>
      <c r="O12">
        <f>stoichio!O12-benchmark!O12</f>
        <v>0</v>
      </c>
      <c r="P12">
        <f>stoichio!P12-benchmark!P12</f>
        <v>0</v>
      </c>
      <c r="Q12">
        <f>stoichio!Q12-benchmark!Q12</f>
        <v>0</v>
      </c>
      <c r="R12">
        <f>stoichio!R12-benchmark!R12</f>
        <v>0</v>
      </c>
      <c r="S12">
        <f>stoichio!S12-benchmark!S12</f>
        <v>0</v>
      </c>
      <c r="T12">
        <f>stoichio!T12-benchmark!T12</f>
        <v>0</v>
      </c>
      <c r="U12">
        <f>stoichio!U12-benchmark!U12</f>
        <v>0</v>
      </c>
      <c r="V12">
        <f>stoichio!V12-benchmark!V12</f>
        <v>0</v>
      </c>
      <c r="W12">
        <f>stoichio!W12-benchmark!W12</f>
        <v>0</v>
      </c>
      <c r="X12">
        <f>stoichio!X12-benchmark!X12</f>
        <v>0</v>
      </c>
      <c r="Y12">
        <f>stoichio!Y12-benchmark!Y12</f>
        <v>0</v>
      </c>
      <c r="Z12">
        <f>stoichio!Z12-benchmark!Z12</f>
        <v>0</v>
      </c>
      <c r="AA12">
        <f>stoichio!AA12-benchmark!AA12</f>
        <v>0</v>
      </c>
      <c r="AB12">
        <f>stoichio!AB12-benchmark!AB12</f>
        <v>0</v>
      </c>
      <c r="AC12">
        <f>stoichio!AC12-benchmark!AC12</f>
        <v>0</v>
      </c>
    </row>
    <row r="13" spans="1:29" x14ac:dyDescent="0.3">
      <c r="A13">
        <v>12</v>
      </c>
      <c r="B13" t="s">
        <v>38</v>
      </c>
      <c r="C13">
        <f>stoichio!C13-benchmark!C13</f>
        <v>0</v>
      </c>
      <c r="D13">
        <f>stoichio!D13-benchmark!D13</f>
        <v>0</v>
      </c>
      <c r="E13">
        <f>stoichio!E13-benchmark!E13</f>
        <v>0</v>
      </c>
      <c r="F13">
        <f>stoichio!F13-benchmark!F13</f>
        <v>0</v>
      </c>
      <c r="G13">
        <f>stoichio!G13-benchmark!G13</f>
        <v>0</v>
      </c>
      <c r="H13">
        <f>stoichio!H13-benchmark!H13</f>
        <v>0</v>
      </c>
      <c r="I13">
        <f>stoichio!I13-benchmark!I13</f>
        <v>0</v>
      </c>
      <c r="J13">
        <f>stoichio!J13-benchmark!J13</f>
        <v>0</v>
      </c>
      <c r="K13">
        <f>stoichio!K13-benchmark!K13</f>
        <v>0</v>
      </c>
      <c r="L13" s="5">
        <f>stoichio!L13/12-benchmark!L13</f>
        <v>-1.4771395298422696E-5</v>
      </c>
      <c r="M13" s="5">
        <f>stoichio!M13/14-benchmark!M13</f>
        <v>0</v>
      </c>
      <c r="N13">
        <f>stoichio!N13-benchmark!N13</f>
        <v>0</v>
      </c>
      <c r="O13">
        <f>stoichio!O13-benchmark!O13</f>
        <v>0</v>
      </c>
      <c r="P13">
        <f>stoichio!P13-benchmark!P13</f>
        <v>0</v>
      </c>
      <c r="Q13">
        <f>stoichio!Q13-benchmark!Q13</f>
        <v>0</v>
      </c>
      <c r="R13">
        <f>stoichio!R13-benchmark!R13</f>
        <v>0</v>
      </c>
      <c r="S13">
        <f>stoichio!S13-benchmark!S13</f>
        <v>0</v>
      </c>
      <c r="T13">
        <f>stoichio!T13-benchmark!T13</f>
        <v>0</v>
      </c>
      <c r="U13">
        <f>stoichio!U13-benchmark!U13</f>
        <v>0</v>
      </c>
      <c r="V13">
        <f>stoichio!V13-benchmark!V13</f>
        <v>0</v>
      </c>
      <c r="W13">
        <f>stoichio!W13-benchmark!W13</f>
        <v>0</v>
      </c>
      <c r="X13">
        <f>stoichio!X13-benchmark!X13</f>
        <v>0</v>
      </c>
      <c r="Y13">
        <f>stoichio!Y13-benchmark!Y13</f>
        <v>0</v>
      </c>
      <c r="Z13">
        <f>stoichio!Z13-benchmark!Z13</f>
        <v>0</v>
      </c>
      <c r="AA13">
        <f>stoichio!AA13-benchmark!AA13</f>
        <v>0</v>
      </c>
      <c r="AB13">
        <f>stoichio!AB13-benchmark!AB13</f>
        <v>0</v>
      </c>
      <c r="AC13">
        <f>stoichio!AC13-benchmark!AC13</f>
        <v>0</v>
      </c>
    </row>
    <row r="14" spans="1:29" x14ac:dyDescent="0.3">
      <c r="A14">
        <v>13</v>
      </c>
      <c r="B14" t="s">
        <v>39</v>
      </c>
      <c r="C14">
        <f>stoichio!C14-benchmark!C14</f>
        <v>0</v>
      </c>
      <c r="D14">
        <f>stoichio!D14-benchmark!D14</f>
        <v>0</v>
      </c>
      <c r="E14">
        <f>stoichio!E14-benchmark!E14</f>
        <v>0</v>
      </c>
      <c r="F14">
        <f>stoichio!F14-benchmark!F14</f>
        <v>0</v>
      </c>
      <c r="G14">
        <f>stoichio!G14-benchmark!G14</f>
        <v>0</v>
      </c>
      <c r="H14">
        <f>stoichio!H14-benchmark!H14</f>
        <v>0</v>
      </c>
      <c r="I14">
        <f>stoichio!I14-benchmark!I14</f>
        <v>0</v>
      </c>
      <c r="J14">
        <f>stoichio!J14-benchmark!J14</f>
        <v>0</v>
      </c>
      <c r="K14">
        <f>stoichio!K14-benchmark!K14</f>
        <v>0</v>
      </c>
      <c r="L14" s="5">
        <f>stoichio!L14/12-benchmark!L14</f>
        <v>3.0673333333308163E-6</v>
      </c>
      <c r="M14" s="5">
        <f>stoichio!M14/14-benchmark!M14</f>
        <v>-2.5702708323326051E-6</v>
      </c>
      <c r="N14">
        <f>stoichio!N14-benchmark!N14</f>
        <v>0</v>
      </c>
      <c r="O14">
        <f>stoichio!O14-benchmark!O14</f>
        <v>0</v>
      </c>
      <c r="P14">
        <f>stoichio!P14-benchmark!P14</f>
        <v>0</v>
      </c>
      <c r="Q14">
        <f>stoichio!Q14-benchmark!Q14</f>
        <v>0</v>
      </c>
      <c r="R14">
        <f>stoichio!R14-benchmark!R14</f>
        <v>0</v>
      </c>
      <c r="S14">
        <f>stoichio!S14-benchmark!S14</f>
        <v>0</v>
      </c>
      <c r="T14">
        <f>stoichio!T14-benchmark!T14</f>
        <v>0</v>
      </c>
      <c r="U14">
        <f>stoichio!U14-benchmark!U14</f>
        <v>0</v>
      </c>
      <c r="V14">
        <f>stoichio!V14-benchmark!V14</f>
        <v>0</v>
      </c>
      <c r="W14">
        <f>stoichio!W14-benchmark!W14</f>
        <v>0</v>
      </c>
      <c r="X14">
        <f>stoichio!X14-benchmark!X14</f>
        <v>0</v>
      </c>
      <c r="Y14">
        <f>stoichio!Y14-benchmark!Y14</f>
        <v>0</v>
      </c>
      <c r="Z14">
        <f>stoichio!Z14-benchmark!Z14</f>
        <v>0</v>
      </c>
      <c r="AA14">
        <f>stoichio!AA14-benchmark!AA14</f>
        <v>0</v>
      </c>
      <c r="AB14">
        <f>stoichio!AB14-benchmark!AB14</f>
        <v>0</v>
      </c>
      <c r="AC14">
        <f>stoichio!AC14-benchmark!AC14</f>
        <v>0</v>
      </c>
    </row>
    <row r="15" spans="1:29" x14ac:dyDescent="0.3">
      <c r="A15">
        <v>14</v>
      </c>
      <c r="B15" t="s">
        <v>40</v>
      </c>
      <c r="C15">
        <f>stoichio!C15-benchmark!C15</f>
        <v>0</v>
      </c>
      <c r="D15">
        <f>stoichio!D15-benchmark!D15</f>
        <v>0</v>
      </c>
      <c r="E15">
        <f>stoichio!E15-benchmark!E15</f>
        <v>0</v>
      </c>
      <c r="F15">
        <f>stoichio!F15-benchmark!F15</f>
        <v>0</v>
      </c>
      <c r="G15">
        <f>stoichio!G15-benchmark!G15</f>
        <v>0</v>
      </c>
      <c r="H15">
        <f>stoichio!H15-benchmark!H15</f>
        <v>0</v>
      </c>
      <c r="I15">
        <f>stoichio!I15-benchmark!I15</f>
        <v>0</v>
      </c>
      <c r="J15">
        <f>stoichio!J15-benchmark!J15</f>
        <v>0</v>
      </c>
      <c r="K15">
        <f>stoichio!K15-benchmark!K15</f>
        <v>0</v>
      </c>
      <c r="L15" s="5">
        <f>stoichio!L15/12-benchmark!L15</f>
        <v>3.0673333333308163E-6</v>
      </c>
      <c r="M15" s="5">
        <f>stoichio!M15/14-benchmark!M15</f>
        <v>-2.5702708323326051E-6</v>
      </c>
      <c r="N15">
        <f>stoichio!N15-benchmark!N15</f>
        <v>0</v>
      </c>
      <c r="O15">
        <f>stoichio!O15-benchmark!O15</f>
        <v>0</v>
      </c>
      <c r="P15">
        <f>stoichio!P15-benchmark!P15</f>
        <v>0</v>
      </c>
      <c r="Q15">
        <f>stoichio!Q15-benchmark!Q15</f>
        <v>0</v>
      </c>
      <c r="R15">
        <f>stoichio!R15-benchmark!R15</f>
        <v>0</v>
      </c>
      <c r="S15">
        <f>stoichio!S15-benchmark!S15</f>
        <v>0</v>
      </c>
      <c r="T15">
        <f>stoichio!T15-benchmark!T15</f>
        <v>0</v>
      </c>
      <c r="U15">
        <f>stoichio!U15-benchmark!U15</f>
        <v>0</v>
      </c>
      <c r="V15">
        <f>stoichio!V15-benchmark!V15</f>
        <v>0</v>
      </c>
      <c r="W15">
        <f>stoichio!W15-benchmark!W15</f>
        <v>0</v>
      </c>
      <c r="X15">
        <f>stoichio!X15-benchmark!X15</f>
        <v>0</v>
      </c>
      <c r="Y15">
        <f>stoichio!Y15-benchmark!Y15</f>
        <v>0</v>
      </c>
      <c r="Z15">
        <f>stoichio!Z15-benchmark!Z15</f>
        <v>0</v>
      </c>
      <c r="AA15">
        <f>stoichio!AA15-benchmark!AA15</f>
        <v>0</v>
      </c>
      <c r="AB15">
        <f>stoichio!AB15-benchmark!AB15</f>
        <v>0</v>
      </c>
      <c r="AC15">
        <f>stoichio!AC15-benchmark!AC15</f>
        <v>0</v>
      </c>
    </row>
    <row r="16" spans="1:29" x14ac:dyDescent="0.3">
      <c r="A16">
        <v>15</v>
      </c>
      <c r="B16" t="s">
        <v>41</v>
      </c>
      <c r="C16">
        <f>stoichio!C16-benchmark!C16</f>
        <v>0</v>
      </c>
      <c r="D16">
        <f>stoichio!D16-benchmark!D16</f>
        <v>0</v>
      </c>
      <c r="E16">
        <f>stoichio!E16-benchmark!E16</f>
        <v>0</v>
      </c>
      <c r="F16">
        <f>stoichio!F16-benchmark!F16</f>
        <v>0</v>
      </c>
      <c r="G16">
        <f>stoichio!G16-benchmark!G16</f>
        <v>0</v>
      </c>
      <c r="H16">
        <f>stoichio!H16-benchmark!H16</f>
        <v>0</v>
      </c>
      <c r="I16">
        <f>stoichio!I16-benchmark!I16</f>
        <v>0</v>
      </c>
      <c r="J16">
        <f>stoichio!J16-benchmark!J16</f>
        <v>0</v>
      </c>
      <c r="K16">
        <f>stoichio!K16-benchmark!K16</f>
        <v>0</v>
      </c>
      <c r="L16" s="5">
        <f>stoichio!L16/12-benchmark!L16</f>
        <v>3.0673333333308163E-6</v>
      </c>
      <c r="M16" s="5">
        <f>stoichio!M16/14-benchmark!M16</f>
        <v>-2.5702708323326051E-6</v>
      </c>
      <c r="N16">
        <f>stoichio!N16-benchmark!N16</f>
        <v>0</v>
      </c>
      <c r="O16">
        <f>stoichio!O16-benchmark!O16</f>
        <v>0</v>
      </c>
      <c r="P16">
        <f>stoichio!P16-benchmark!P16</f>
        <v>0</v>
      </c>
      <c r="Q16">
        <f>stoichio!Q16-benchmark!Q16</f>
        <v>0</v>
      </c>
      <c r="R16">
        <f>stoichio!R16-benchmark!R16</f>
        <v>0</v>
      </c>
      <c r="S16">
        <f>stoichio!S16-benchmark!S16</f>
        <v>0</v>
      </c>
      <c r="T16">
        <f>stoichio!T16-benchmark!T16</f>
        <v>0</v>
      </c>
      <c r="U16">
        <f>stoichio!U16-benchmark!U16</f>
        <v>0</v>
      </c>
      <c r="V16">
        <f>stoichio!V16-benchmark!V16</f>
        <v>0</v>
      </c>
      <c r="W16">
        <f>stoichio!W16-benchmark!W16</f>
        <v>0</v>
      </c>
      <c r="X16">
        <f>stoichio!X16-benchmark!X16</f>
        <v>0</v>
      </c>
      <c r="Y16">
        <f>stoichio!Y16-benchmark!Y16</f>
        <v>0</v>
      </c>
      <c r="Z16">
        <f>stoichio!Z16-benchmark!Z16</f>
        <v>0</v>
      </c>
      <c r="AA16">
        <f>stoichio!AA16-benchmark!AA16</f>
        <v>0</v>
      </c>
      <c r="AB16">
        <f>stoichio!AB16-benchmark!AB16</f>
        <v>0</v>
      </c>
      <c r="AC16">
        <f>stoichio!AC16-benchmark!AC16</f>
        <v>0</v>
      </c>
    </row>
    <row r="17" spans="1:29" x14ac:dyDescent="0.3">
      <c r="A17">
        <v>16</v>
      </c>
      <c r="B17" t="s">
        <v>42</v>
      </c>
      <c r="C17">
        <f>stoichio!C17-benchmark!C17</f>
        <v>0</v>
      </c>
      <c r="D17">
        <f>stoichio!D17-benchmark!D17</f>
        <v>0</v>
      </c>
      <c r="E17">
        <f>stoichio!E17-benchmark!E17</f>
        <v>0</v>
      </c>
      <c r="F17">
        <f>stoichio!F17-benchmark!F17</f>
        <v>0</v>
      </c>
      <c r="G17">
        <f>stoichio!G17-benchmark!G17</f>
        <v>0</v>
      </c>
      <c r="H17">
        <f>stoichio!H17-benchmark!H17</f>
        <v>0</v>
      </c>
      <c r="I17">
        <f>stoichio!I17-benchmark!I17</f>
        <v>0</v>
      </c>
      <c r="J17">
        <f>stoichio!J17-benchmark!J17</f>
        <v>0</v>
      </c>
      <c r="K17">
        <f>stoichio!K17-benchmark!K17</f>
        <v>0</v>
      </c>
      <c r="L17" s="5">
        <f>stoichio!L17/12-benchmark!L17</f>
        <v>3.0673333333308163E-6</v>
      </c>
      <c r="M17" s="5">
        <f>stoichio!M17/14-benchmark!M17</f>
        <v>-2.5702708323326051E-6</v>
      </c>
      <c r="N17">
        <f>stoichio!N17-benchmark!N17</f>
        <v>0</v>
      </c>
      <c r="O17">
        <f>stoichio!O17-benchmark!O17</f>
        <v>0</v>
      </c>
      <c r="P17">
        <f>stoichio!P17-benchmark!P17</f>
        <v>0</v>
      </c>
      <c r="Q17">
        <f>stoichio!Q17-benchmark!Q17</f>
        <v>0</v>
      </c>
      <c r="R17">
        <f>stoichio!R17-benchmark!R17</f>
        <v>0</v>
      </c>
      <c r="S17">
        <f>stoichio!S17-benchmark!S17</f>
        <v>0</v>
      </c>
      <c r="T17">
        <f>stoichio!T17-benchmark!T17</f>
        <v>0</v>
      </c>
      <c r="U17">
        <f>stoichio!U17-benchmark!U17</f>
        <v>0</v>
      </c>
      <c r="V17">
        <f>stoichio!V17-benchmark!V17</f>
        <v>0</v>
      </c>
      <c r="W17">
        <f>stoichio!W17-benchmark!W17</f>
        <v>0</v>
      </c>
      <c r="X17">
        <f>stoichio!X17-benchmark!X17</f>
        <v>0</v>
      </c>
      <c r="Y17">
        <f>stoichio!Y17-benchmark!Y17</f>
        <v>0</v>
      </c>
      <c r="Z17">
        <f>stoichio!Z17-benchmark!Z17</f>
        <v>0</v>
      </c>
      <c r="AA17">
        <f>stoichio!AA17-benchmark!AA17</f>
        <v>0</v>
      </c>
      <c r="AB17">
        <f>stoichio!AB17-benchmark!AB17</f>
        <v>0</v>
      </c>
      <c r="AC17">
        <f>stoichio!AC17-benchmark!AC17</f>
        <v>0</v>
      </c>
    </row>
    <row r="18" spans="1:29" x14ac:dyDescent="0.3">
      <c r="A18">
        <v>17</v>
      </c>
      <c r="B18" t="s">
        <v>43</v>
      </c>
      <c r="C18">
        <f>stoichio!C18-benchmark!C18</f>
        <v>0</v>
      </c>
      <c r="D18">
        <f>stoichio!D18-benchmark!D18</f>
        <v>0</v>
      </c>
      <c r="E18">
        <f>stoichio!E18-benchmark!E18</f>
        <v>0</v>
      </c>
      <c r="F18">
        <f>stoichio!F18-benchmark!F18</f>
        <v>0</v>
      </c>
      <c r="G18">
        <f>stoichio!G18-benchmark!G18</f>
        <v>0</v>
      </c>
      <c r="H18">
        <f>stoichio!H18-benchmark!H18</f>
        <v>0</v>
      </c>
      <c r="I18">
        <f>stoichio!I18-benchmark!I18</f>
        <v>0</v>
      </c>
      <c r="J18">
        <f>stoichio!J18-benchmark!J18</f>
        <v>0</v>
      </c>
      <c r="K18">
        <f>stoichio!K18-benchmark!K18</f>
        <v>0</v>
      </c>
      <c r="L18" s="5">
        <f>stoichio!L18/12-benchmark!L18</f>
        <v>3.0673333333308163E-6</v>
      </c>
      <c r="M18" s="5">
        <f>stoichio!M18/14-benchmark!M18</f>
        <v>-2.5702708323326051E-6</v>
      </c>
      <c r="N18">
        <f>stoichio!N18-benchmark!N18</f>
        <v>0</v>
      </c>
      <c r="O18">
        <f>stoichio!O18-benchmark!O18</f>
        <v>0</v>
      </c>
      <c r="P18">
        <f>stoichio!P18-benchmark!P18</f>
        <v>0</v>
      </c>
      <c r="Q18">
        <f>stoichio!Q18-benchmark!Q18</f>
        <v>0</v>
      </c>
      <c r="R18">
        <f>stoichio!R18-benchmark!R18</f>
        <v>0</v>
      </c>
      <c r="S18">
        <f>stoichio!S18-benchmark!S18</f>
        <v>0</v>
      </c>
      <c r="T18">
        <f>stoichio!T18-benchmark!T18</f>
        <v>0</v>
      </c>
      <c r="U18">
        <f>stoichio!U18-benchmark!U18</f>
        <v>0</v>
      </c>
      <c r="V18">
        <f>stoichio!V18-benchmark!V18</f>
        <v>0</v>
      </c>
      <c r="W18">
        <f>stoichio!W18-benchmark!W18</f>
        <v>0</v>
      </c>
      <c r="X18">
        <f>stoichio!X18-benchmark!X18</f>
        <v>0</v>
      </c>
      <c r="Y18">
        <f>stoichio!Y18-benchmark!Y18</f>
        <v>0</v>
      </c>
      <c r="Z18">
        <f>stoichio!Z18-benchmark!Z18</f>
        <v>0</v>
      </c>
      <c r="AA18">
        <f>stoichio!AA18-benchmark!AA18</f>
        <v>0</v>
      </c>
      <c r="AB18">
        <f>stoichio!AB18-benchmark!AB18</f>
        <v>0</v>
      </c>
      <c r="AC18">
        <f>stoichio!AC18-benchmark!AC18</f>
        <v>0</v>
      </c>
    </row>
    <row r="19" spans="1:29" x14ac:dyDescent="0.3">
      <c r="A19">
        <v>18</v>
      </c>
      <c r="B19" t="s">
        <v>44</v>
      </c>
      <c r="C19">
        <f>stoichio!C19-benchmark!C19</f>
        <v>0</v>
      </c>
      <c r="D19">
        <f>stoichio!D19-benchmark!D19</f>
        <v>0</v>
      </c>
      <c r="E19">
        <f>stoichio!E19-benchmark!E19</f>
        <v>0</v>
      </c>
      <c r="F19">
        <f>stoichio!F19-benchmark!F19</f>
        <v>0</v>
      </c>
      <c r="G19">
        <f>stoichio!G19-benchmark!G19</f>
        <v>0</v>
      </c>
      <c r="H19">
        <f>stoichio!H19-benchmark!H19</f>
        <v>0</v>
      </c>
      <c r="I19">
        <f>stoichio!I19-benchmark!I19</f>
        <v>0</v>
      </c>
      <c r="J19">
        <f>stoichio!J19-benchmark!J19</f>
        <v>0</v>
      </c>
      <c r="K19">
        <f>stoichio!K19-benchmark!K19</f>
        <v>0</v>
      </c>
      <c r="L19" s="5">
        <f>stoichio!L19/12-benchmark!L19</f>
        <v>3.0673333333308163E-6</v>
      </c>
      <c r="M19" s="5">
        <f>stoichio!M19/14-benchmark!M19</f>
        <v>-2.5702708323326051E-6</v>
      </c>
      <c r="N19">
        <f>stoichio!N19-benchmark!N19</f>
        <v>0</v>
      </c>
      <c r="O19">
        <f>stoichio!O19-benchmark!O19</f>
        <v>0</v>
      </c>
      <c r="P19">
        <f>stoichio!P19-benchmark!P19</f>
        <v>0</v>
      </c>
      <c r="Q19">
        <f>stoichio!Q19-benchmark!Q19</f>
        <v>0</v>
      </c>
      <c r="R19">
        <f>stoichio!R19-benchmark!R19</f>
        <v>0</v>
      </c>
      <c r="S19">
        <f>stoichio!S19-benchmark!S19</f>
        <v>0</v>
      </c>
      <c r="T19">
        <f>stoichio!T19-benchmark!T19</f>
        <v>0</v>
      </c>
      <c r="U19">
        <f>stoichio!U19-benchmark!U19</f>
        <v>0</v>
      </c>
      <c r="V19">
        <f>stoichio!V19-benchmark!V19</f>
        <v>0</v>
      </c>
      <c r="W19">
        <f>stoichio!W19-benchmark!W19</f>
        <v>0</v>
      </c>
      <c r="X19">
        <f>stoichio!X19-benchmark!X19</f>
        <v>0</v>
      </c>
      <c r="Y19">
        <f>stoichio!Y19-benchmark!Y19</f>
        <v>0</v>
      </c>
      <c r="Z19">
        <f>stoichio!Z19-benchmark!Z19</f>
        <v>0</v>
      </c>
      <c r="AA19">
        <f>stoichio!AA19-benchmark!AA19</f>
        <v>0</v>
      </c>
      <c r="AB19">
        <f>stoichio!AB19-benchmark!AB19</f>
        <v>0</v>
      </c>
      <c r="AC19">
        <f>stoichio!AC19-benchmark!AC19</f>
        <v>0</v>
      </c>
    </row>
    <row r="20" spans="1:29" x14ac:dyDescent="0.3">
      <c r="A20">
        <v>19</v>
      </c>
      <c r="B20" t="s">
        <v>45</v>
      </c>
      <c r="C20">
        <f>stoichio!C20-benchmark!C20</f>
        <v>0</v>
      </c>
      <c r="D20">
        <f>stoichio!D20-benchmark!D20</f>
        <v>0</v>
      </c>
      <c r="E20">
        <f>stoichio!E20-benchmark!E20</f>
        <v>0</v>
      </c>
      <c r="F20">
        <f>stoichio!F20-benchmark!F20</f>
        <v>0</v>
      </c>
      <c r="G20">
        <f>stoichio!G20-benchmark!G20</f>
        <v>0</v>
      </c>
      <c r="H20">
        <f>stoichio!H20-benchmark!H20</f>
        <v>0</v>
      </c>
      <c r="I20">
        <f>stoichio!I20-benchmark!I20</f>
        <v>0</v>
      </c>
      <c r="J20">
        <f>stoichio!J20-benchmark!J20</f>
        <v>0</v>
      </c>
      <c r="K20">
        <f>stoichio!K20-benchmark!K20</f>
        <v>0</v>
      </c>
      <c r="L20" s="5">
        <f>stoichio!L20/12-benchmark!L20</f>
        <v>3.0673333333308163E-6</v>
      </c>
      <c r="M20" s="5">
        <f>stoichio!M20/14-benchmark!M20</f>
        <v>-2.5702708323326051E-6</v>
      </c>
      <c r="N20">
        <f>stoichio!N20-benchmark!N20</f>
        <v>0</v>
      </c>
      <c r="O20">
        <f>stoichio!O20-benchmark!O20</f>
        <v>0</v>
      </c>
      <c r="P20">
        <f>stoichio!P20-benchmark!P20</f>
        <v>0</v>
      </c>
      <c r="Q20">
        <f>stoichio!Q20-benchmark!Q20</f>
        <v>0</v>
      </c>
      <c r="R20">
        <f>stoichio!R20-benchmark!R20</f>
        <v>0</v>
      </c>
      <c r="S20">
        <f>stoichio!S20-benchmark!S20</f>
        <v>0</v>
      </c>
      <c r="T20">
        <f>stoichio!T20-benchmark!T20</f>
        <v>0</v>
      </c>
      <c r="U20">
        <f>stoichio!U20-benchmark!U20</f>
        <v>0</v>
      </c>
      <c r="V20">
        <f>stoichio!V20-benchmark!V20</f>
        <v>0</v>
      </c>
      <c r="W20">
        <f>stoichio!W20-benchmark!W20</f>
        <v>0</v>
      </c>
      <c r="X20">
        <f>stoichio!X20-benchmark!X20</f>
        <v>0</v>
      </c>
      <c r="Y20">
        <f>stoichio!Y20-benchmark!Y20</f>
        <v>0</v>
      </c>
      <c r="Z20">
        <f>stoichio!Z20-benchmark!Z20</f>
        <v>0</v>
      </c>
      <c r="AA20">
        <f>stoichio!AA20-benchmark!AA20</f>
        <v>0</v>
      </c>
      <c r="AB20">
        <f>stoichio!AB20-benchmark!AB20</f>
        <v>0</v>
      </c>
      <c r="AC20">
        <f>stoichio!AC20-benchmark!AC20</f>
        <v>0</v>
      </c>
    </row>
    <row r="21" spans="1:29" x14ac:dyDescent="0.3">
      <c r="A21" t="s">
        <v>95</v>
      </c>
      <c r="B21" t="s">
        <v>46</v>
      </c>
      <c r="C21">
        <f>stoichio!C21-benchmark!C21</f>
        <v>0</v>
      </c>
      <c r="D21">
        <f>stoichio!D21-benchmark!D21</f>
        <v>0</v>
      </c>
      <c r="E21">
        <f>stoichio!E21-benchmark!E21</f>
        <v>0</v>
      </c>
      <c r="F21">
        <f>stoichio!F21-benchmark!F21</f>
        <v>0</v>
      </c>
      <c r="G21">
        <f>stoichio!G21-benchmark!G21</f>
        <v>0</v>
      </c>
      <c r="H21">
        <f>stoichio!H21-benchmark!H21</f>
        <v>0</v>
      </c>
      <c r="I21">
        <f>stoichio!I21-benchmark!I21</f>
        <v>0</v>
      </c>
      <c r="J21">
        <f>stoichio!J21-benchmark!J21</f>
        <v>0</v>
      </c>
      <c r="K21">
        <f>stoichio!K21-benchmark!K21</f>
        <v>0</v>
      </c>
      <c r="L21" s="5">
        <f>stoichio!L21-benchmark!L21</f>
        <v>0</v>
      </c>
      <c r="M21" s="5">
        <f>stoichio!M21-benchmark!M21</f>
        <v>0</v>
      </c>
      <c r="N21">
        <f>stoichio!N21-benchmark!N21</f>
        <v>0</v>
      </c>
      <c r="O21">
        <f>stoichio!O21-benchmark!O21</f>
        <v>0</v>
      </c>
      <c r="P21">
        <f>stoichio!P21-benchmark!P21</f>
        <v>0</v>
      </c>
      <c r="Q21">
        <f>stoichio!Q21-benchmark!Q21</f>
        <v>0</v>
      </c>
      <c r="R21">
        <f>stoichio!R21-benchmark!R21</f>
        <v>0</v>
      </c>
      <c r="S21">
        <f>stoichio!S21-benchmark!S21</f>
        <v>0</v>
      </c>
      <c r="T21">
        <f>stoichio!T21-benchmark!T21</f>
        <v>0</v>
      </c>
      <c r="U21">
        <f>stoichio!U21-benchmark!U21</f>
        <v>0</v>
      </c>
      <c r="V21">
        <f>stoichio!V21-benchmark!V21</f>
        <v>0</v>
      </c>
      <c r="W21">
        <f>stoichio!W21-benchmark!W21</f>
        <v>0</v>
      </c>
      <c r="X21">
        <f>stoichio!X21-benchmark!X21</f>
        <v>0</v>
      </c>
      <c r="Y21">
        <f>stoichio!Y21-benchmark!Y21</f>
        <v>0</v>
      </c>
      <c r="Z21">
        <f>stoichio!Z21-benchmark!Z21</f>
        <v>0</v>
      </c>
      <c r="AA21">
        <f>stoichio!AA21-benchmark!AA21</f>
        <v>0</v>
      </c>
      <c r="AB21">
        <f>stoichio!AB21-benchmark!AB21</f>
        <v>0</v>
      </c>
      <c r="AC21">
        <f>stoichio!AC21-benchmark!AC21</f>
        <v>0</v>
      </c>
    </row>
    <row r="22" spans="1:29" x14ac:dyDescent="0.3">
      <c r="A22" t="s">
        <v>96</v>
      </c>
      <c r="B22" t="s">
        <v>47</v>
      </c>
      <c r="C22">
        <f>stoichio!C22-benchmark!C22</f>
        <v>0</v>
      </c>
      <c r="D22">
        <f>stoichio!D22-benchmark!D22</f>
        <v>0</v>
      </c>
      <c r="E22">
        <f>stoichio!E22-benchmark!E22</f>
        <v>0</v>
      </c>
      <c r="F22">
        <f>stoichio!F22-benchmark!F22</f>
        <v>0</v>
      </c>
      <c r="G22">
        <f>stoichio!G22-benchmark!G22</f>
        <v>0</v>
      </c>
      <c r="H22">
        <f>stoichio!H22-benchmark!H22</f>
        <v>0</v>
      </c>
      <c r="I22">
        <f>stoichio!I22-benchmark!I22</f>
        <v>0</v>
      </c>
      <c r="J22">
        <f>stoichio!J22-benchmark!J22</f>
        <v>0</v>
      </c>
      <c r="K22">
        <f>stoichio!K22-benchmark!K22</f>
        <v>0</v>
      </c>
      <c r="L22" s="5">
        <f>stoichio!L22-benchmark!L22</f>
        <v>0</v>
      </c>
      <c r="M22" s="5">
        <f>stoichio!M22-benchmark!M22</f>
        <v>0</v>
      </c>
      <c r="N22">
        <f>stoichio!N22-benchmark!N22</f>
        <v>0</v>
      </c>
      <c r="O22">
        <f>stoichio!O22-benchmark!O22</f>
        <v>0</v>
      </c>
      <c r="P22">
        <f>stoichio!P22-benchmark!P22</f>
        <v>0</v>
      </c>
      <c r="Q22">
        <f>stoichio!Q22-benchmark!Q22</f>
        <v>0</v>
      </c>
      <c r="R22">
        <f>stoichio!R22-benchmark!R22</f>
        <v>0</v>
      </c>
      <c r="S22">
        <f>stoichio!S22-benchmark!S22</f>
        <v>0</v>
      </c>
      <c r="T22">
        <f>stoichio!T22-benchmark!T22</f>
        <v>0</v>
      </c>
      <c r="U22">
        <f>stoichio!U22-benchmark!U22</f>
        <v>0</v>
      </c>
      <c r="V22">
        <f>stoichio!V22-benchmark!V22</f>
        <v>0</v>
      </c>
      <c r="W22">
        <f>stoichio!W22-benchmark!W22</f>
        <v>0</v>
      </c>
      <c r="X22">
        <f>stoichio!X22-benchmark!X22</f>
        <v>0</v>
      </c>
      <c r="Y22">
        <f>stoichio!Y22-benchmark!Y22</f>
        <v>0</v>
      </c>
      <c r="Z22">
        <f>stoichio!Z22-benchmark!Z22</f>
        <v>0</v>
      </c>
      <c r="AA22">
        <f>stoichio!AA22-benchmark!AA22</f>
        <v>0</v>
      </c>
      <c r="AB22">
        <f>stoichio!AB22-benchmark!AB22</f>
        <v>0</v>
      </c>
      <c r="AC22">
        <f>stoichio!AC22-benchmark!AC22</f>
        <v>0</v>
      </c>
    </row>
    <row r="23" spans="1:29" x14ac:dyDescent="0.3">
      <c r="A23" t="s">
        <v>97</v>
      </c>
      <c r="B23" t="s">
        <v>48</v>
      </c>
      <c r="C23">
        <f>stoichio!C23-benchmark!C23</f>
        <v>0</v>
      </c>
      <c r="D23">
        <f>stoichio!D23-benchmark!D23</f>
        <v>0</v>
      </c>
      <c r="E23">
        <f>stoichio!E23-benchmark!E23</f>
        <v>0</v>
      </c>
      <c r="F23">
        <f>stoichio!F23-benchmark!F23</f>
        <v>0</v>
      </c>
      <c r="G23">
        <f>stoichio!G23-benchmark!G23</f>
        <v>0</v>
      </c>
      <c r="H23">
        <f>stoichio!H23-benchmark!H23</f>
        <v>0</v>
      </c>
      <c r="I23">
        <f>stoichio!I23-benchmark!I23</f>
        <v>0</v>
      </c>
      <c r="J23">
        <f>stoichio!J23-benchmark!J23</f>
        <v>0</v>
      </c>
      <c r="K23">
        <f>stoichio!K23-benchmark!K23</f>
        <v>0</v>
      </c>
      <c r="L23" s="5">
        <f>stoichio!L23-benchmark!L23</f>
        <v>0</v>
      </c>
      <c r="M23" s="5">
        <f>stoichio!M23-benchmark!M23</f>
        <v>0</v>
      </c>
      <c r="N23">
        <f>stoichio!N23-benchmark!N23</f>
        <v>0</v>
      </c>
      <c r="O23">
        <f>stoichio!O23-benchmark!O23</f>
        <v>0</v>
      </c>
      <c r="P23">
        <f>stoichio!P23-benchmark!P23</f>
        <v>0</v>
      </c>
      <c r="Q23">
        <f>stoichio!Q23-benchmark!Q23</f>
        <v>0</v>
      </c>
      <c r="R23">
        <f>stoichio!R23-benchmark!R23</f>
        <v>0</v>
      </c>
      <c r="S23">
        <f>stoichio!S23-benchmark!S23</f>
        <v>0</v>
      </c>
      <c r="T23">
        <f>stoichio!T23-benchmark!T23</f>
        <v>0</v>
      </c>
      <c r="U23">
        <f>stoichio!U23-benchmark!U23</f>
        <v>0</v>
      </c>
      <c r="V23">
        <f>stoichio!V23-benchmark!V23</f>
        <v>0</v>
      </c>
      <c r="W23">
        <f>stoichio!W23-benchmark!W23</f>
        <v>0</v>
      </c>
      <c r="X23">
        <f>stoichio!X23-benchmark!X23</f>
        <v>0</v>
      </c>
      <c r="Y23">
        <f>stoichio!Y23-benchmark!Y23</f>
        <v>0</v>
      </c>
      <c r="Z23">
        <f>stoichio!Z23-benchmark!Z23</f>
        <v>0</v>
      </c>
      <c r="AA23">
        <f>stoichio!AA23-benchmark!AA23</f>
        <v>0</v>
      </c>
      <c r="AB23">
        <f>stoichio!AB23-benchmark!AB23</f>
        <v>0</v>
      </c>
      <c r="AC23">
        <f>stoichio!AC23-benchmark!AC23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114</vt:i4>
      </vt:variant>
    </vt:vector>
  </HeadingPairs>
  <TitlesOfParts>
    <vt:vector size="117" baseType="lpstr">
      <vt:lpstr>stoichio</vt:lpstr>
      <vt:lpstr>benchmark</vt:lpstr>
      <vt:lpstr>Sheet2</vt:lpstr>
      <vt:lpstr>_R</vt:lpstr>
      <vt:lpstr>b_aa</vt:lpstr>
      <vt:lpstr>b_ac</vt:lpstr>
      <vt:lpstr>b_c4</vt:lpstr>
      <vt:lpstr>b_fa</vt:lpstr>
      <vt:lpstr>b_h2</vt:lpstr>
      <vt:lpstr>b_pro</vt:lpstr>
      <vt:lpstr>b_su</vt:lpstr>
      <vt:lpstr>C_aa</vt:lpstr>
      <vt:lpstr>C_ac</vt:lpstr>
      <vt:lpstr>C_bac</vt:lpstr>
      <vt:lpstr>C_bu</vt:lpstr>
      <vt:lpstr>C_ch</vt:lpstr>
      <vt:lpstr>C_ch4</vt:lpstr>
      <vt:lpstr>C_fa</vt:lpstr>
      <vt:lpstr>C_li</vt:lpstr>
      <vt:lpstr>C_pr</vt:lpstr>
      <vt:lpstr>C_pro</vt:lpstr>
      <vt:lpstr>C_sI</vt:lpstr>
      <vt:lpstr>C_su</vt:lpstr>
      <vt:lpstr>C_va</vt:lpstr>
      <vt:lpstr>C_xc</vt:lpstr>
      <vt:lpstr>C_xI</vt:lpstr>
      <vt:lpstr>f_ac_aa</vt:lpstr>
      <vt:lpstr>f_ac_su</vt:lpstr>
      <vt:lpstr>f_bu_aa</vt:lpstr>
      <vt:lpstr>f_bu_su</vt:lpstr>
      <vt:lpstr>f_ch_xc</vt:lpstr>
      <vt:lpstr>f_fa_li</vt:lpstr>
      <vt:lpstr>f_h2_aa</vt:lpstr>
      <vt:lpstr>f_h2_su</vt:lpstr>
      <vt:lpstr>f_li_xc</vt:lpstr>
      <vt:lpstr>f_pr_xc</vt:lpstr>
      <vt:lpstr>f_pro_aa</vt:lpstr>
      <vt:lpstr>f_pro_su</vt:lpstr>
      <vt:lpstr>f_sI_xc</vt:lpstr>
      <vt:lpstr>f_va_aa</vt:lpstr>
      <vt:lpstr>f_xI_xc</vt:lpstr>
      <vt:lpstr>I_10</vt:lpstr>
      <vt:lpstr>I_11</vt:lpstr>
      <vt:lpstr>I_12</vt:lpstr>
      <vt:lpstr>I_5</vt:lpstr>
      <vt:lpstr>I_6</vt:lpstr>
      <vt:lpstr>I_7</vt:lpstr>
      <vt:lpstr>I_89</vt:lpstr>
      <vt:lpstr>I_IN</vt:lpstr>
      <vt:lpstr>I_nh3</vt:lpstr>
      <vt:lpstr>k_aa</vt:lpstr>
      <vt:lpstr>k_ac</vt:lpstr>
      <vt:lpstr>k_c4</vt:lpstr>
      <vt:lpstr>k_dis</vt:lpstr>
      <vt:lpstr>k_fa</vt:lpstr>
      <vt:lpstr>k_h2</vt:lpstr>
      <vt:lpstr>k_pro</vt:lpstr>
      <vt:lpstr>k_su</vt:lpstr>
      <vt:lpstr>kh_ch</vt:lpstr>
      <vt:lpstr>KH_ch4</vt:lpstr>
      <vt:lpstr>KH_co2</vt:lpstr>
      <vt:lpstr>KH_h2</vt:lpstr>
      <vt:lpstr>kh_li</vt:lpstr>
      <vt:lpstr>kh_pr</vt:lpstr>
      <vt:lpstr>KI_nh3</vt:lpstr>
      <vt:lpstr>kLa</vt:lpstr>
      <vt:lpstr>KS_aa</vt:lpstr>
      <vt:lpstr>KS_ac</vt:lpstr>
      <vt:lpstr>KS_c4</vt:lpstr>
      <vt:lpstr>KS_fa</vt:lpstr>
      <vt:lpstr>KS_h2</vt:lpstr>
      <vt:lpstr>KS_IN</vt:lpstr>
      <vt:lpstr>KS_pro</vt:lpstr>
      <vt:lpstr>KS_su</vt:lpstr>
      <vt:lpstr>N_aa</vt:lpstr>
      <vt:lpstr>N_bac</vt:lpstr>
      <vt:lpstr>N_I</vt:lpstr>
      <vt:lpstr>N_xc</vt:lpstr>
      <vt:lpstr>p_ch4</vt:lpstr>
      <vt:lpstr>p_co2</vt:lpstr>
      <vt:lpstr>p_h2</vt:lpstr>
      <vt:lpstr>pH</vt:lpstr>
      <vt:lpstr>S_aa</vt:lpstr>
      <vt:lpstr>S_ac</vt:lpstr>
      <vt:lpstr>S_bu</vt:lpstr>
      <vt:lpstr>S_ch4</vt:lpstr>
      <vt:lpstr>S_co2</vt:lpstr>
      <vt:lpstr>S_fa</vt:lpstr>
      <vt:lpstr>S_h2</vt:lpstr>
      <vt:lpstr>S_hion</vt:lpstr>
      <vt:lpstr>S_I</vt:lpstr>
      <vt:lpstr>S_IC</vt:lpstr>
      <vt:lpstr>S_IN</vt:lpstr>
      <vt:lpstr>S_nh3</vt:lpstr>
      <vt:lpstr>S_pro</vt:lpstr>
      <vt:lpstr>S_su</vt:lpstr>
      <vt:lpstr>S_va</vt:lpstr>
      <vt:lpstr>T_op</vt:lpstr>
      <vt:lpstr>X_aa</vt:lpstr>
      <vt:lpstr>X_ac</vt:lpstr>
      <vt:lpstr>X_c</vt:lpstr>
      <vt:lpstr>X_c4</vt:lpstr>
      <vt:lpstr>X_ch</vt:lpstr>
      <vt:lpstr>X_fa</vt:lpstr>
      <vt:lpstr>X_h2</vt:lpstr>
      <vt:lpstr>X_I</vt:lpstr>
      <vt:lpstr>X_li</vt:lpstr>
      <vt:lpstr>X_pr</vt:lpstr>
      <vt:lpstr>X_pro</vt:lpstr>
      <vt:lpstr>X_su</vt:lpstr>
      <vt:lpstr>Y_aa</vt:lpstr>
      <vt:lpstr>Y_ac</vt:lpstr>
      <vt:lpstr>Y_c4</vt:lpstr>
      <vt:lpstr>Y_fa</vt:lpstr>
      <vt:lpstr>Y_h2</vt:lpstr>
      <vt:lpstr>Y_pro</vt:lpstr>
      <vt:lpstr>Y_su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Cheung</cp:lastModifiedBy>
  <dcterms:created xsi:type="dcterms:W3CDTF">2022-06-15T17:45:06Z</dcterms:created>
  <dcterms:modified xsi:type="dcterms:W3CDTF">2022-07-04T21:16:14Z</dcterms:modified>
</cp:coreProperties>
</file>