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F:\Q-Storage\App Perhitungan Pajak\"/>
    </mc:Choice>
  </mc:AlternateContent>
  <xr:revisionPtr revIDLastSave="0" documentId="13_ncr:1_{1A6543D3-4837-4047-BCAD-A932063B167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Ph Final 0,5" sheetId="4" r:id="rId1"/>
    <sheet name="PPh 21 Lama" sheetId="7" r:id="rId2"/>
    <sheet name="PPh 21 TER" sheetId="9" r:id="rId3"/>
    <sheet name="PPh 29 OP" sheetId="1" r:id="rId4"/>
    <sheet name="PPh 29 Badan" sheetId="3" r:id="rId5"/>
    <sheet name="Data Umum" sheetId="2" r:id="rId6"/>
    <sheet name="Data TER" sheetId="10" r:id="rId7"/>
  </sheets>
  <definedNames>
    <definedName name="Batas_Atas" localSheetId="1">tabelPPhOP[Batas Atas]</definedName>
    <definedName name="Batas_Atas" localSheetId="2">tabelPPhOP[Batas Atas]</definedName>
    <definedName name="Batas_Atas" localSheetId="4">tabelPPhOP[Batas Atas]</definedName>
    <definedName name="Batas_Atas">tabelPPhOP[Batas Atas]</definedName>
    <definedName name="Batas_Bawah" localSheetId="1">tabelPPhOP[Batas Bawah]</definedName>
    <definedName name="Batas_Bawah" localSheetId="2">tabelPPhOP[Batas Bawah]</definedName>
    <definedName name="Batas_Bawah" localSheetId="4">tabelPPhOP[Batas Bawah]</definedName>
    <definedName name="Batas_Bawah">tabelPPhOP[Batas Bawah]</definedName>
    <definedName name="kategori_TER">'PPh 21 TER'!$C$26</definedName>
    <definedName name="Kode_PTKP" localSheetId="1">tabelPTKP[Kode]</definedName>
    <definedName name="Kode_PTKP" localSheetId="2">tabelPTKP[Kode]</definedName>
    <definedName name="Kode_PTKP" localSheetId="4">tabelPTKP[Kode]</definedName>
    <definedName name="Kode_PTKP">tabelPTKP[Kode]</definedName>
    <definedName name="Nilai_Max" localSheetId="1">tabelPPhOP[Nilai Max]</definedName>
    <definedName name="Nilai_Max" localSheetId="2">tabelPPhOP[Nilai Max]</definedName>
    <definedName name="Nilai_Max" localSheetId="4">tabelPPhOP[Nilai Max]</definedName>
    <definedName name="Nilai_Max">tabelPPhOP[Nilai Max]</definedName>
    <definedName name="Penjualan">'PPh 29 Badan'!$E$3</definedName>
    <definedName name="PKPBadBuk" localSheetId="4">'PPh 29 Badan'!$E$9</definedName>
    <definedName name="PKPOpBuk" localSheetId="2">'PPh 21 TER'!$F$18</definedName>
    <definedName name="PKPOpBuk">'PPh 29 OP'!$E$12</definedName>
    <definedName name="PKPOpNor">'PPh 29 OP'!$J$7</definedName>
    <definedName name="PKPOpSebln">'PPh 21 Lama'!$F$18</definedName>
    <definedName name="PKPOpSethn" localSheetId="1">'PPh 21 Lama'!$G$18</definedName>
    <definedName name="Tarif" localSheetId="1">tabelPPhOP[Tarif]</definedName>
    <definedName name="Tarif" localSheetId="2">tabelPPhOP[Tarif]</definedName>
    <definedName name="Tarif" localSheetId="4">tabelPPhOP[Tarif]</definedName>
    <definedName name="Tarif">tabelPPhOP[Tarif]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J5" i="1" s="1"/>
  <c r="E10" i="9"/>
  <c r="F10" i="9"/>
  <c r="F3" i="9"/>
  <c r="E3" i="9"/>
  <c r="C28" i="9"/>
  <c r="G2" i="7"/>
  <c r="F1" i="7"/>
  <c r="F17" i="7"/>
  <c r="F18" i="7" s="1"/>
  <c r="G17" i="7"/>
  <c r="C27" i="7"/>
  <c r="F3" i="7"/>
  <c r="G3" i="7"/>
  <c r="F2" i="9" l="1"/>
  <c r="G12" i="7"/>
  <c r="G14" i="7"/>
  <c r="G13" i="7"/>
  <c r="G7" i="7"/>
  <c r="G8" i="7"/>
  <c r="G9" i="7"/>
  <c r="G5" i="7"/>
  <c r="G4" i="7"/>
  <c r="F9" i="9"/>
  <c r="F8" i="9"/>
  <c r="F7" i="9"/>
  <c r="F5" i="9"/>
  <c r="O6" i="9"/>
  <c r="N6" i="9"/>
  <c r="F4" i="9"/>
  <c r="C26" i="9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F6" i="7"/>
  <c r="G6" i="7" s="1"/>
  <c r="C27" i="9" l="1"/>
  <c r="E27" i="9" s="1"/>
  <c r="F28" i="9" s="1"/>
  <c r="F12" i="9"/>
  <c r="F14" i="9"/>
  <c r="F17" i="9"/>
  <c r="F13" i="9"/>
  <c r="F10" i="7"/>
  <c r="G10" i="7"/>
  <c r="F11" i="7" l="1"/>
  <c r="F15" i="7" s="1"/>
  <c r="F16" i="7" s="1"/>
  <c r="G11" i="7"/>
  <c r="G16" i="7" s="1"/>
  <c r="F6" i="9"/>
  <c r="D23" i="1"/>
  <c r="G18" i="7" l="1"/>
  <c r="E20" i="7" s="1"/>
  <c r="F11" i="9"/>
  <c r="F16" i="9" s="1"/>
  <c r="F18" i="9" s="1"/>
  <c r="D5" i="4"/>
  <c r="D24" i="7" l="1"/>
  <c r="F24" i="7" s="1"/>
  <c r="D22" i="7"/>
  <c r="F22" i="7" s="1"/>
  <c r="D20" i="7"/>
  <c r="F20" i="7" s="1"/>
  <c r="D23" i="7"/>
  <c r="F23" i="7" s="1"/>
  <c r="D21" i="7"/>
  <c r="F21" i="7" s="1"/>
  <c r="E23" i="7"/>
  <c r="E21" i="7"/>
  <c r="E24" i="7"/>
  <c r="E22" i="7"/>
  <c r="G20" i="7"/>
  <c r="G24" i="7"/>
  <c r="D20" i="9"/>
  <c r="F20" i="9" s="1"/>
  <c r="D24" i="9"/>
  <c r="F24" i="9" s="1"/>
  <c r="D22" i="9"/>
  <c r="F22" i="9" s="1"/>
  <c r="D23" i="9"/>
  <c r="F23" i="9" s="1"/>
  <c r="D21" i="9"/>
  <c r="F21" i="9" s="1"/>
  <c r="J21" i="1"/>
  <c r="J6" i="1"/>
  <c r="G21" i="7" l="1"/>
  <c r="G22" i="7"/>
  <c r="G23" i="7"/>
  <c r="F25" i="7"/>
  <c r="F26" i="7" s="1"/>
  <c r="G27" i="7" s="1"/>
  <c r="F25" i="9"/>
  <c r="F29" i="9" s="1"/>
  <c r="B29" i="9" s="1"/>
  <c r="J7" i="1"/>
  <c r="I10" i="3"/>
  <c r="I9" i="3"/>
  <c r="I8" i="3"/>
  <c r="H6" i="3"/>
  <c r="H5" i="3"/>
  <c r="E26" i="1"/>
  <c r="E5" i="1"/>
  <c r="E7" i="1" s="1"/>
  <c r="C11" i="3"/>
  <c r="C12" i="3"/>
  <c r="G25" i="7" l="1"/>
  <c r="I13" i="1"/>
  <c r="I12" i="1"/>
  <c r="I10" i="1"/>
  <c r="I11" i="1"/>
  <c r="I9" i="1"/>
  <c r="J11" i="3"/>
  <c r="E20" i="3"/>
  <c r="E5" i="3"/>
  <c r="E7" i="3" s="1"/>
  <c r="E9" i="3" s="1"/>
  <c r="G28" i="7" l="1"/>
  <c r="B28" i="7" s="1"/>
  <c r="I5" i="3"/>
  <c r="J5" i="3" s="1"/>
  <c r="J12" i="3" s="1"/>
  <c r="J13" i="3" s="1"/>
  <c r="D12" i="3"/>
  <c r="E12" i="3" s="1"/>
  <c r="I6" i="3"/>
  <c r="J3" i="3"/>
  <c r="D11" i="3"/>
  <c r="E11" i="3" s="1"/>
  <c r="C13" i="2"/>
  <c r="C14" i="2"/>
  <c r="C12" i="2"/>
  <c r="H7" i="2"/>
  <c r="H6" i="2"/>
  <c r="H5" i="2"/>
  <c r="E11" i="1"/>
  <c r="E10" i="1"/>
  <c r="E12" i="1" l="1"/>
  <c r="D14" i="1" s="1"/>
  <c r="E13" i="3"/>
  <c r="E21" i="3" s="1"/>
  <c r="D21" i="3" s="1"/>
  <c r="D17" i="1" l="1"/>
  <c r="E17" i="1" s="1"/>
  <c r="D15" i="1"/>
  <c r="E15" i="1" s="1"/>
  <c r="D18" i="1"/>
  <c r="E18" i="1" s="1"/>
  <c r="D16" i="1"/>
  <c r="E16" i="1" s="1"/>
  <c r="E14" i="1"/>
  <c r="J13" i="1"/>
  <c r="J12" i="1"/>
  <c r="J11" i="1"/>
  <c r="J10" i="1"/>
  <c r="J9" i="1"/>
  <c r="J14" i="1" l="1"/>
  <c r="J22" i="1" s="1"/>
  <c r="I22" i="1" s="1"/>
  <c r="E19" i="1"/>
  <c r="E27" i="1" s="1"/>
  <c r="D27" i="1" s="1"/>
</calcChain>
</file>

<file path=xl/sharedStrings.xml><?xml version="1.0" encoding="utf-8"?>
<sst xmlns="http://schemas.openxmlformats.org/spreadsheetml/2006/main" count="183" uniqueCount="99">
  <si>
    <t>Penjualan</t>
  </si>
  <si>
    <t>Harga Pokok Penjualan</t>
  </si>
  <si>
    <t>Laba Bruto</t>
  </si>
  <si>
    <t>Biaya Usaha</t>
  </si>
  <si>
    <t>Laba Bersih</t>
  </si>
  <si>
    <t>PTKP</t>
  </si>
  <si>
    <t>Penghasilan Kena Pajak</t>
  </si>
  <si>
    <t>PPh Terhutang</t>
  </si>
  <si>
    <t>Kredit Pajak</t>
  </si>
  <si>
    <t>PPh Pasal 22</t>
  </si>
  <si>
    <t>PPh Pasal 23</t>
  </si>
  <si>
    <t>PPh Pasal 25</t>
  </si>
  <si>
    <t>Nilai</t>
  </si>
  <si>
    <t>Kode</t>
  </si>
  <si>
    <t>TK/0</t>
  </si>
  <si>
    <t>TK/1</t>
  </si>
  <si>
    <t>TK/2</t>
  </si>
  <si>
    <t>TK/3</t>
  </si>
  <si>
    <t>K/0</t>
  </si>
  <si>
    <t>K/1</t>
  </si>
  <si>
    <t>K/2</t>
  </si>
  <si>
    <t>K/3</t>
  </si>
  <si>
    <t>Tarif</t>
  </si>
  <si>
    <t>Batas Bawah</t>
  </si>
  <si>
    <t>Batas Atas</t>
  </si>
  <si>
    <t>Nilai Max</t>
  </si>
  <si>
    <t>PPh Pasal 29 (Sblm Pembetulan)</t>
  </si>
  <si>
    <t>PPh Akhir Tahun (PPh Pasal 29)</t>
  </si>
  <si>
    <t>K/I/1</t>
  </si>
  <si>
    <t>K/I/2</t>
  </si>
  <si>
    <t>K/I/3</t>
  </si>
  <si>
    <t>Laba Bersih / Penghasilan Kena Pajak</t>
  </si>
  <si>
    <t>Penghasilan Sewa</t>
  </si>
  <si>
    <t>Jumlah Penghasilan Neto</t>
  </si>
  <si>
    <t>Penghasilan Gaji Netto (di luar usaha)</t>
  </si>
  <si>
    <t>PPh Pasal 21</t>
  </si>
  <si>
    <t>Laba Bersih/ Penghasilan Neto Tahun Lalu</t>
  </si>
  <si>
    <t>PPh Pasal 25 tiap bulan</t>
  </si>
  <si>
    <t>Penjualan Tarif PPh Badan  
(Pasal 17 ayat 1b UU PPH - UU HPP)</t>
  </si>
  <si>
    <t>Penghasilan Kena Pajak Orang Pribadi 
(Tarif umum: Pasal 17 ayat 1a UU HPP)</t>
  </si>
  <si>
    <t>PTKP Orang Pribadi 
(Pasal 7 UU PPH - UU HPP)</t>
  </si>
  <si>
    <t>Kota</t>
  </si>
  <si>
    <t>Semarang</t>
  </si>
  <si>
    <t>Profesi</t>
  </si>
  <si>
    <t>Konsultan</t>
  </si>
  <si>
    <t>Dokter</t>
  </si>
  <si>
    <t>Notaris</t>
  </si>
  <si>
    <t>Pekerjaan bebas bidang teknik</t>
  </si>
  <si>
    <t>Arsitek</t>
  </si>
  <si>
    <t>Pekerjaan Bebas bidang medis</t>
  </si>
  <si>
    <t>Pekerjaan Bebas bidang seni</t>
  </si>
  <si>
    <t>Norma (Pasal 14 UU PPH - UU HPP)</t>
  </si>
  <si>
    <t>Penerimaan</t>
  </si>
  <si>
    <t>Pilih Profesi</t>
  </si>
  <si>
    <t>PPh Final 0,5%</t>
  </si>
  <si>
    <t>Gaji Pokok per bulan</t>
  </si>
  <si>
    <t>Tunjangan</t>
  </si>
  <si>
    <t>Premi atas Kecelakaan</t>
  </si>
  <si>
    <t>Premi atas Kematian</t>
  </si>
  <si>
    <t>%</t>
  </si>
  <si>
    <t>Penghasilan Bruto Sebulan</t>
  </si>
  <si>
    <t>Biaya Jabatan</t>
  </si>
  <si>
    <t>Iuran Jaminan Hari Tua</t>
  </si>
  <si>
    <t>Iuran Pensiun</t>
  </si>
  <si>
    <t>Premi lainnya</t>
  </si>
  <si>
    <t>Iuran Lainnya</t>
  </si>
  <si>
    <t>Penghasilan Neto Sebulan</t>
  </si>
  <si>
    <t>Premi Asuransi BPJS</t>
  </si>
  <si>
    <t>Penghasilan Neto Setahun</t>
  </si>
  <si>
    <t>PPh 21 Setahun</t>
  </si>
  <si>
    <t>bulan</t>
  </si>
  <si>
    <t>PPh 21 yang dibayar per bulan</t>
  </si>
  <si>
    <t>Penghasilan Bruto Bulanan</t>
  </si>
  <si>
    <t>TER</t>
  </si>
  <si>
    <t>Kategori</t>
  </si>
  <si>
    <t>A</t>
  </si>
  <si>
    <t>Tarif Efektif Rerata
(PP 58 Tahun 2023)</t>
  </si>
  <si>
    <t>B</t>
  </si>
  <si>
    <t>C</t>
  </si>
  <si>
    <t>PTKP : TK/0, TK/1, K/0</t>
  </si>
  <si>
    <t>PTKP : TK/2, TK/3, K/1, K/2</t>
  </si>
  <si>
    <t>PTKP : K/3</t>
  </si>
  <si>
    <t>Kategori A</t>
  </si>
  <si>
    <t>Kategori B</t>
  </si>
  <si>
    <t>Kategori C</t>
  </si>
  <si>
    <t>KeyFinder</t>
  </si>
  <si>
    <t>Key Finder</t>
  </si>
  <si>
    <t>s.d.</t>
  </si>
  <si>
    <t>Bulan Karyawan Bekerja</t>
  </si>
  <si>
    <t>Tabel Bulan</t>
  </si>
  <si>
    <t>Bulan Pembayaran PPh</t>
  </si>
  <si>
    <t>PPh 21 yang telah dibayar</t>
  </si>
  <si>
    <t xml:space="preserve">PPh 21 yang telah dipotong </t>
  </si>
  <si>
    <t>Kategori TER</t>
  </si>
  <si>
    <t>Penjualan/Penerimaan per bulan</t>
  </si>
  <si>
    <t>Menggunakan Perhitungan Norma</t>
  </si>
  <si>
    <t>Menggunakan Perhitungan Pencatatan/Pembukuan</t>
  </si>
  <si>
    <t>Perhitungan PPh Badan Akhir Tahun</t>
  </si>
  <si>
    <t>Perhitungan PPh 25 Tahun Depan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</si>
</sst>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* #,##0_-;\-* #,##0_-;_-* &quot;-&quot;??_-;_-@_-"/>
    <numFmt numFmtId="165" formatCode="00"/>
    <numFmt numFmtId="167" formatCode="mmmm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Microsoft YaHei"/>
      <family val="2"/>
    </font>
    <font>
      <b/>
      <sz val="11"/>
      <color theme="1"/>
      <name val="Microsoft YaHei"/>
      <family val="2"/>
    </font>
    <font>
      <sz val="11"/>
      <color theme="0"/>
      <name val="Microsoft YaHei"/>
      <family val="2"/>
    </font>
    <font>
      <sz val="11"/>
      <name val="Microsoft YaHei"/>
      <family val="2"/>
    </font>
    <font>
      <u/>
      <sz val="11"/>
      <color theme="1"/>
      <name val="Microsoft YaHei"/>
      <family val="2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Microsoft YaHei"/>
      <family val="2"/>
    </font>
    <font>
      <b/>
      <sz val="11"/>
      <name val="Microsoft YaHei"/>
      <family val="2"/>
    </font>
    <font>
      <b/>
      <sz val="11"/>
      <color theme="1"/>
      <name val="Microsoft YaHe"/>
      <charset val="1"/>
    </font>
    <font>
      <sz val="11"/>
      <color theme="1"/>
      <name val="Microsoft YaHe"/>
      <charset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9" fontId="0" fillId="0" borderId="0" xfId="3" applyFont="1"/>
    <xf numFmtId="164" fontId="0" fillId="0" borderId="0" xfId="1" applyNumberFormat="1" applyFont="1"/>
    <xf numFmtId="0" fontId="0" fillId="0" borderId="0" xfId="0" applyAlignment="1">
      <alignment horizontal="center"/>
    </xf>
    <xf numFmtId="164" fontId="3" fillId="0" borderId="0" xfId="1" applyNumberFormat="1" applyFont="1"/>
    <xf numFmtId="44" fontId="3" fillId="0" borderId="0" xfId="2" applyFont="1" applyBorder="1"/>
    <xf numFmtId="0" fontId="0" fillId="0" borderId="0" xfId="0" applyBorder="1"/>
    <xf numFmtId="0" fontId="3" fillId="2" borderId="0" xfId="0" applyFont="1" applyFill="1" applyBorder="1"/>
    <xf numFmtId="0" fontId="3" fillId="2" borderId="0" xfId="0" applyFont="1" applyFill="1" applyBorder="1"/>
    <xf numFmtId="0" fontId="0" fillId="2" borderId="0" xfId="0" applyFill="1" applyBorder="1"/>
    <xf numFmtId="0" fontId="4" fillId="2" borderId="0" xfId="0" applyFont="1" applyFill="1" applyBorder="1"/>
    <xf numFmtId="44" fontId="3" fillId="0" borderId="1" xfId="2" applyFont="1" applyBorder="1"/>
    <xf numFmtId="9" fontId="3" fillId="2" borderId="0" xfId="3" applyFont="1" applyFill="1" applyBorder="1" applyAlignment="1">
      <alignment horizontal="center"/>
    </xf>
    <xf numFmtId="9" fontId="5" fillId="2" borderId="0" xfId="3" applyFont="1" applyFill="1" applyBorder="1" applyAlignment="1">
      <alignment horizontal="center"/>
    </xf>
    <xf numFmtId="9" fontId="5" fillId="2" borderId="0" xfId="3" applyFont="1" applyFill="1" applyBorder="1"/>
    <xf numFmtId="164" fontId="3" fillId="2" borderId="0" xfId="1" applyNumberFormat="1" applyFont="1" applyFill="1" applyBorder="1"/>
    <xf numFmtId="164" fontId="5" fillId="2" borderId="0" xfId="1" applyNumberFormat="1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2" xfId="0" applyFont="1" applyFill="1" applyBorder="1"/>
    <xf numFmtId="44" fontId="3" fillId="0" borderId="4" xfId="2" applyFont="1" applyBorder="1"/>
    <xf numFmtId="0" fontId="3" fillId="2" borderId="5" xfId="0" applyFont="1" applyFill="1" applyBorder="1"/>
    <xf numFmtId="44" fontId="3" fillId="0" borderId="6" xfId="2" applyFont="1" applyBorder="1"/>
    <xf numFmtId="0" fontId="4" fillId="2" borderId="5" xfId="0" applyFont="1" applyFill="1" applyBorder="1"/>
    <xf numFmtId="44" fontId="4" fillId="2" borderId="7" xfId="0" applyNumberFormat="1" applyFont="1" applyFill="1" applyBorder="1"/>
    <xf numFmtId="44" fontId="4" fillId="2" borderId="7" xfId="2" applyFont="1" applyFill="1" applyBorder="1"/>
    <xf numFmtId="44" fontId="3" fillId="2" borderId="6" xfId="2" applyFont="1" applyFill="1" applyBorder="1"/>
    <xf numFmtId="44" fontId="3" fillId="2" borderId="7" xfId="2" applyFont="1" applyFill="1" applyBorder="1"/>
    <xf numFmtId="0" fontId="7" fillId="2" borderId="5" xfId="0" applyFont="1" applyFill="1" applyBorder="1"/>
    <xf numFmtId="0" fontId="3" fillId="2" borderId="5" xfId="0" applyFont="1" applyFill="1" applyBorder="1"/>
    <xf numFmtId="44" fontId="6" fillId="2" borderId="8" xfId="2" applyFont="1" applyFill="1" applyBorder="1"/>
    <xf numFmtId="0" fontId="3" fillId="2" borderId="1" xfId="0" applyFont="1" applyFill="1" applyBorder="1"/>
    <xf numFmtId="0" fontId="3" fillId="3" borderId="0" xfId="0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/>
    <xf numFmtId="0" fontId="3" fillId="2" borderId="5" xfId="0" applyFont="1" applyFill="1" applyBorder="1"/>
    <xf numFmtId="0" fontId="3" fillId="2" borderId="0" xfId="0" applyFont="1" applyFill="1" applyBorder="1"/>
    <xf numFmtId="44" fontId="6" fillId="2" borderId="6" xfId="2" applyFont="1" applyFill="1" applyBorder="1"/>
    <xf numFmtId="9" fontId="0" fillId="0" borderId="10" xfId="3" applyNumberFormat="1" applyFont="1" applyBorder="1"/>
    <xf numFmtId="0" fontId="8" fillId="0" borderId="11" xfId="0" applyFont="1" applyBorder="1" applyAlignment="1">
      <alignment horizontal="center"/>
    </xf>
    <xf numFmtId="0" fontId="3" fillId="2" borderId="5" xfId="0" applyFont="1" applyFill="1" applyBorder="1" applyAlignment="1">
      <alignment vertical="top"/>
    </xf>
    <xf numFmtId="0" fontId="3" fillId="2" borderId="0" xfId="0" applyFont="1" applyFill="1" applyBorder="1" applyAlignment="1">
      <alignment vertical="top"/>
    </xf>
    <xf numFmtId="164" fontId="3" fillId="2" borderId="0" xfId="1" applyNumberFormat="1" applyFont="1" applyFill="1" applyBorder="1" applyAlignment="1">
      <alignment horizontal="center"/>
    </xf>
    <xf numFmtId="9" fontId="5" fillId="2" borderId="7" xfId="3" applyFont="1" applyFill="1" applyBorder="1" applyAlignment="1">
      <alignment horizontal="center"/>
    </xf>
    <xf numFmtId="164" fontId="3" fillId="0" borderId="5" xfId="1" applyNumberFormat="1" applyFont="1" applyBorder="1"/>
    <xf numFmtId="44" fontId="4" fillId="2" borderId="4" xfId="2" applyFont="1" applyFill="1" applyBorder="1"/>
    <xf numFmtId="44" fontId="6" fillId="2" borderId="4" xfId="3" applyNumberFormat="1" applyFont="1" applyFill="1" applyBorder="1" applyAlignment="1">
      <alignment horizontal="center"/>
    </xf>
    <xf numFmtId="44" fontId="3" fillId="2" borderId="7" xfId="2" applyFont="1" applyFill="1" applyBorder="1" applyAlignment="1">
      <alignment horizontal="center"/>
    </xf>
    <xf numFmtId="44" fontId="6" fillId="2" borderId="6" xfId="2" applyFont="1" applyFill="1" applyBorder="1" applyAlignment="1">
      <alignment horizontal="center"/>
    </xf>
    <xf numFmtId="44" fontId="3" fillId="2" borderId="7" xfId="0" applyNumberFormat="1" applyFont="1" applyFill="1" applyBorder="1"/>
    <xf numFmtId="0" fontId="10" fillId="2" borderId="5" xfId="0" applyFont="1" applyFill="1" applyBorder="1"/>
    <xf numFmtId="0" fontId="6" fillId="2" borderId="5" xfId="0" applyFont="1" applyFill="1" applyBorder="1"/>
    <xf numFmtId="44" fontId="3" fillId="0" borderId="7" xfId="2" applyFont="1" applyFill="1" applyBorder="1"/>
    <xf numFmtId="44" fontId="3" fillId="0" borderId="6" xfId="2" applyFont="1" applyFill="1" applyBorder="1"/>
    <xf numFmtId="9" fontId="9" fillId="2" borderId="0" xfId="3" applyFont="1" applyFill="1" applyBorder="1" applyAlignment="1">
      <alignment horizontal="center"/>
    </xf>
    <xf numFmtId="164" fontId="9" fillId="2" borderId="0" xfId="1" applyNumberFormat="1" applyFont="1" applyFill="1" applyBorder="1"/>
    <xf numFmtId="44" fontId="9" fillId="2" borderId="7" xfId="2" applyFont="1" applyFill="1" applyBorder="1"/>
    <xf numFmtId="9" fontId="9" fillId="2" borderId="0" xfId="3" applyFont="1" applyFill="1" applyBorder="1"/>
    <xf numFmtId="44" fontId="9" fillId="2" borderId="6" xfId="2" applyFont="1" applyFill="1" applyBorder="1"/>
    <xf numFmtId="44" fontId="6" fillId="2" borderId="4" xfId="2" applyFont="1" applyFill="1" applyBorder="1" applyAlignment="1">
      <alignment horizontal="center"/>
    </xf>
    <xf numFmtId="44" fontId="3" fillId="2" borderId="4" xfId="2" applyFont="1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7" xfId="0" applyFill="1" applyBorder="1"/>
    <xf numFmtId="44" fontId="6" fillId="2" borderId="7" xfId="2" applyFont="1" applyFill="1" applyBorder="1" applyAlignment="1">
      <alignment horizontal="center"/>
    </xf>
    <xf numFmtId="0" fontId="4" fillId="2" borderId="1" xfId="0" applyFont="1" applyFill="1" applyBorder="1"/>
    <xf numFmtId="44" fontId="10" fillId="2" borderId="6" xfId="2" applyFont="1" applyFill="1" applyBorder="1" applyAlignment="1">
      <alignment horizontal="center"/>
    </xf>
    <xf numFmtId="0" fontId="0" fillId="2" borderId="0" xfId="0" applyFill="1" applyBorder="1"/>
    <xf numFmtId="0" fontId="3" fillId="2" borderId="1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8" fillId="0" borderId="0" xfId="0" applyFont="1" applyAlignment="1">
      <alignment wrapText="1"/>
    </xf>
    <xf numFmtId="0" fontId="0" fillId="2" borderId="5" xfId="0" applyFill="1" applyBorder="1"/>
    <xf numFmtId="0" fontId="0" fillId="2" borderId="0" xfId="0" applyFill="1" applyBorder="1"/>
    <xf numFmtId="0" fontId="0" fillId="0" borderId="5" xfId="0" applyBorder="1"/>
    <xf numFmtId="44" fontId="3" fillId="0" borderId="7" xfId="2" applyFont="1" applyBorder="1"/>
    <xf numFmtId="0" fontId="0" fillId="0" borderId="1" xfId="0" applyBorder="1"/>
    <xf numFmtId="9" fontId="4" fillId="2" borderId="0" xfId="3" applyFont="1" applyFill="1" applyBorder="1"/>
    <xf numFmtId="0" fontId="0" fillId="2" borderId="1" xfId="0" applyFill="1" applyBorder="1"/>
    <xf numFmtId="44" fontId="4" fillId="2" borderId="4" xfId="2" applyFont="1" applyFill="1" applyBorder="1" applyAlignment="1">
      <alignment horizontal="center"/>
    </xf>
    <xf numFmtId="0" fontId="3" fillId="2" borderId="1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8" fillId="0" borderId="0" xfId="0" applyFont="1" applyAlignment="1">
      <alignment horizontal="center" vertical="center" wrapText="1"/>
    </xf>
    <xf numFmtId="0" fontId="3" fillId="2" borderId="1" xfId="0" applyFont="1" applyFill="1" applyBorder="1"/>
    <xf numFmtId="0" fontId="3" fillId="2" borderId="0" xfId="0" applyFont="1" applyFill="1" applyBorder="1"/>
    <xf numFmtId="0" fontId="4" fillId="2" borderId="9" xfId="0" applyFont="1" applyFill="1" applyBorder="1"/>
    <xf numFmtId="9" fontId="3" fillId="2" borderId="0" xfId="3" applyFont="1" applyFill="1" applyBorder="1"/>
    <xf numFmtId="9" fontId="3" fillId="2" borderId="0" xfId="3" applyNumberFormat="1" applyFont="1" applyFill="1" applyBorder="1"/>
    <xf numFmtId="44" fontId="3" fillId="0" borderId="2" xfId="2" applyFont="1" applyBorder="1"/>
    <xf numFmtId="44" fontId="3" fillId="2" borderId="0" xfId="2" applyFont="1" applyFill="1" applyBorder="1"/>
    <xf numFmtId="44" fontId="4" fillId="2" borderId="0" xfId="0" applyNumberFormat="1" applyFont="1" applyFill="1" applyBorder="1"/>
    <xf numFmtId="44" fontId="4" fillId="2" borderId="4" xfId="0" applyNumberFormat="1" applyFont="1" applyFill="1" applyBorder="1"/>
    <xf numFmtId="44" fontId="4" fillId="2" borderId="0" xfId="2" applyFont="1" applyFill="1" applyBorder="1"/>
    <xf numFmtId="0" fontId="3" fillId="2" borderId="1" xfId="0" applyFont="1" applyFill="1" applyBorder="1" applyAlignment="1"/>
    <xf numFmtId="0" fontId="4" fillId="2" borderId="5" xfId="0" applyFont="1" applyFill="1" applyBorder="1" applyAlignment="1">
      <alignment wrapText="1"/>
    </xf>
    <xf numFmtId="44" fontId="3" fillId="2" borderId="0" xfId="2" applyFont="1" applyFill="1" applyBorder="1" applyAlignment="1">
      <alignment vertical="top"/>
    </xf>
    <xf numFmtId="44" fontId="4" fillId="2" borderId="7" xfId="2" applyFont="1" applyFill="1" applyBorder="1" applyAlignment="1">
      <alignment vertical="top"/>
    </xf>
    <xf numFmtId="44" fontId="10" fillId="2" borderId="4" xfId="2" applyFont="1" applyFill="1" applyBorder="1" applyAlignment="1">
      <alignment horizontal="center"/>
    </xf>
    <xf numFmtId="0" fontId="4" fillId="2" borderId="9" xfId="0" applyFont="1" applyFill="1" applyBorder="1" applyAlignment="1"/>
    <xf numFmtId="44" fontId="10" fillId="2" borderId="6" xfId="2" applyFont="1" applyFill="1" applyBorder="1"/>
    <xf numFmtId="9" fontId="3" fillId="2" borderId="0" xfId="3" applyFont="1" applyFill="1" applyBorder="1" applyAlignment="1">
      <alignment horizontal="right"/>
    </xf>
    <xf numFmtId="0" fontId="0" fillId="2" borderId="0" xfId="0" applyFill="1"/>
    <xf numFmtId="10" fontId="0" fillId="0" borderId="0" xfId="3" applyNumberFormat="1" applyFont="1" applyAlignment="1">
      <alignment horizontal="center"/>
    </xf>
    <xf numFmtId="0" fontId="0" fillId="0" borderId="0" xfId="0" quotePrefix="1"/>
    <xf numFmtId="44" fontId="0" fillId="0" borderId="0" xfId="2" applyFont="1"/>
    <xf numFmtId="0" fontId="8" fillId="0" borderId="0" xfId="0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2" borderId="5" xfId="0" applyFont="1" applyFill="1" applyBorder="1" applyAlignment="1">
      <alignment vertical="top"/>
    </xf>
    <xf numFmtId="44" fontId="10" fillId="2" borderId="7" xfId="2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9" fontId="6" fillId="2" borderId="0" xfId="3" applyFont="1" applyFill="1" applyBorder="1" applyAlignment="1">
      <alignment horizontal="left"/>
    </xf>
    <xf numFmtId="0" fontId="3" fillId="2" borderId="5" xfId="0" applyFont="1" applyFill="1" applyBorder="1" applyAlignment="1">
      <alignment horizontal="left" vertical="top"/>
    </xf>
    <xf numFmtId="0" fontId="0" fillId="2" borderId="5" xfId="0" applyFill="1" applyBorder="1"/>
    <xf numFmtId="0" fontId="0" fillId="2" borderId="0" xfId="0" applyFill="1" applyBorder="1"/>
    <xf numFmtId="0" fontId="3" fillId="2" borderId="9" xfId="0" applyFont="1" applyFill="1" applyBorder="1"/>
    <xf numFmtId="0" fontId="3" fillId="2" borderId="1" xfId="0" applyFont="1" applyFill="1" applyBorder="1"/>
    <xf numFmtId="0" fontId="3" fillId="0" borderId="2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2" borderId="5" xfId="0" applyFont="1" applyFill="1" applyBorder="1"/>
    <xf numFmtId="0" fontId="3" fillId="2" borderId="0" xfId="0" applyFont="1" applyFill="1" applyBorder="1"/>
    <xf numFmtId="0" fontId="4" fillId="2" borderId="9" xfId="0" applyFont="1" applyFill="1" applyBorder="1"/>
    <xf numFmtId="0" fontId="4" fillId="2" borderId="1" xfId="0" applyFont="1" applyFill="1" applyBorder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44" fontId="3" fillId="2" borderId="0" xfId="0" applyNumberFormat="1" applyFont="1" applyFill="1" applyBorder="1"/>
    <xf numFmtId="0" fontId="0" fillId="4" borderId="10" xfId="0" applyFont="1" applyFill="1" applyBorder="1"/>
    <xf numFmtId="0" fontId="0" fillId="0" borderId="10" xfId="0" applyFont="1" applyBorder="1"/>
    <xf numFmtId="0" fontId="8" fillId="0" borderId="15" xfId="0" applyFont="1" applyBorder="1"/>
    <xf numFmtId="0" fontId="8" fillId="0" borderId="0" xfId="0" applyFont="1" applyAlignment="1">
      <alignment horizontal="left"/>
    </xf>
    <xf numFmtId="0" fontId="8" fillId="0" borderId="15" xfId="0" applyFont="1" applyBorder="1" applyAlignment="1">
      <alignment horizontal="center" wrapText="1"/>
    </xf>
    <xf numFmtId="9" fontId="3" fillId="2" borderId="0" xfId="3" applyFont="1" applyFill="1" applyAlignment="1">
      <alignment horizontal="center"/>
    </xf>
    <xf numFmtId="0" fontId="3" fillId="3" borderId="0" xfId="0" applyFont="1" applyFill="1" applyBorder="1" applyAlignment="1" applyProtection="1">
      <alignment horizontal="center"/>
      <protection locked="0"/>
    </xf>
    <xf numFmtId="44" fontId="3" fillId="0" borderId="0" xfId="2" applyFont="1" applyFill="1" applyBorder="1" applyProtection="1">
      <protection locked="0"/>
    </xf>
    <xf numFmtId="44" fontId="3" fillId="0" borderId="2" xfId="2" applyFont="1" applyBorder="1" applyProtection="1">
      <protection locked="0"/>
    </xf>
    <xf numFmtId="44" fontId="3" fillId="2" borderId="4" xfId="2" applyFont="1" applyFill="1" applyBorder="1" applyProtection="1"/>
    <xf numFmtId="9" fontId="3" fillId="0" borderId="0" xfId="3" applyFont="1" applyFill="1" applyBorder="1" applyAlignment="1" applyProtection="1">
      <alignment horizontal="center"/>
      <protection locked="0"/>
    </xf>
    <xf numFmtId="44" fontId="3" fillId="2" borderId="7" xfId="2" applyFont="1" applyFill="1" applyBorder="1" applyProtection="1"/>
    <xf numFmtId="0" fontId="4" fillId="2" borderId="5" xfId="0" applyFont="1" applyFill="1" applyBorder="1" applyAlignment="1">
      <alignment horizontal="left" vertical="top"/>
    </xf>
    <xf numFmtId="0" fontId="8" fillId="0" borderId="0" xfId="0" applyFont="1" applyAlignment="1">
      <alignment vertical="center"/>
    </xf>
    <xf numFmtId="0" fontId="4" fillId="2" borderId="12" xfId="0" applyFont="1" applyFill="1" applyBorder="1"/>
    <xf numFmtId="0" fontId="4" fillId="2" borderId="0" xfId="0" applyFont="1" applyFill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165" fontId="4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Alignment="1" applyProtection="1">
      <alignment horizontal="left"/>
      <protection locked="0"/>
    </xf>
    <xf numFmtId="165" fontId="0" fillId="0" borderId="0" xfId="0" applyNumberFormat="1"/>
    <xf numFmtId="167" fontId="12" fillId="0" borderId="0" xfId="0" applyNumberFormat="1" applyFont="1" applyFill="1" applyBorder="1" applyAlignment="1">
      <alignment horizontal="center"/>
    </xf>
    <xf numFmtId="0" fontId="11" fillId="2" borderId="14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44" fontId="4" fillId="2" borderId="2" xfId="2" applyFont="1" applyFill="1" applyBorder="1" applyAlignment="1">
      <alignment horizontal="center"/>
    </xf>
    <xf numFmtId="44" fontId="3" fillId="2" borderId="1" xfId="2" applyFont="1" applyFill="1" applyBorder="1"/>
    <xf numFmtId="9" fontId="3" fillId="2" borderId="0" xfId="3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>
      <alignment horizontal="center" vertical="top"/>
    </xf>
    <xf numFmtId="44" fontId="10" fillId="2" borderId="2" xfId="2" applyFont="1" applyFill="1" applyBorder="1" applyAlignment="1">
      <alignment horizontal="center"/>
    </xf>
    <xf numFmtId="165" fontId="13" fillId="0" borderId="1" xfId="0" applyNumberFormat="1" applyFont="1" applyBorder="1"/>
    <xf numFmtId="44" fontId="3" fillId="0" borderId="1" xfId="2" applyFont="1" applyFill="1" applyBorder="1" applyProtection="1">
      <protection locked="0"/>
    </xf>
    <xf numFmtId="44" fontId="4" fillId="2" borderId="2" xfId="0" applyNumberFormat="1" applyFont="1" applyFill="1" applyBorder="1"/>
    <xf numFmtId="165" fontId="0" fillId="0" borderId="17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15"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  <border>
        <left/>
        <right/>
        <top/>
        <bottom/>
      </border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64" formatCode="_-* #,##0_-;\-* #,##0_-;_-* &quot;-&quot;??_-;_-@_-"/>
    </dxf>
    <dxf>
      <numFmt numFmtId="164" formatCode="_-* #,##0_-;\-* #,##0_-;_-* &quot;-&quot;??_-;_-@_-"/>
    </dxf>
    <dxf>
      <border outline="0">
        <top style="thin">
          <color theme="6"/>
        </top>
      </border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155DCD-89DD-4366-AD7E-6520F8862DB9}" name="tabelPTKP" displayName="tabelPTKP" ref="B3:D14" totalsRowShown="0" headerRowDxfId="114">
  <autoFilter ref="B3:D14" xr:uid="{56F83A7F-7A2E-46FC-AAE4-4710B0D731DE}">
    <filterColumn colId="0" hiddenButton="1"/>
    <filterColumn colId="1" hiddenButton="1"/>
    <filterColumn colId="2" hiddenButton="1"/>
  </autoFilter>
  <tableColumns count="3">
    <tableColumn id="1" xr3:uid="{047B0C00-7E3F-4205-A6BC-B230B76A70B4}" name="Kode"/>
    <tableColumn id="2" xr3:uid="{7D4738D7-E70B-447F-9684-8B74B5EFACC0}" name="Nilai" dataDxfId="113" dataCellStyle="Comma"/>
    <tableColumn id="3" xr3:uid="{1B151C0B-44A5-47A5-8415-985691034FA9}" name="Kategori" dataDxfId="112" dataCellStyle="Comma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358881-D0B6-48F0-8F18-77A29577F020}" name="tabelPPhOP" displayName="tabelPPhOP" ref="F3:I8" totalsRowShown="0" headerRowDxfId="111">
  <autoFilter ref="F3:I8" xr:uid="{A44B72C8-5B60-4AA6-B0BD-B5CB410DEF34}">
    <filterColumn colId="0" hiddenButton="1"/>
    <filterColumn colId="1" hiddenButton="1"/>
    <filterColumn colId="2" hiddenButton="1"/>
    <filterColumn colId="3" hiddenButton="1"/>
  </autoFilter>
  <tableColumns count="4">
    <tableColumn id="4" xr3:uid="{B57581AE-EDD7-46E6-9A7B-3C0782C6B42E}" name="Batas Bawah" dataDxfId="110" dataCellStyle="Comma"/>
    <tableColumn id="5" xr3:uid="{08D29E26-C432-43FC-A66F-A455B106DC9A}" name="Batas Atas" dataDxfId="109" dataCellStyle="Comma"/>
    <tableColumn id="1" xr3:uid="{627B581E-9C13-4298-950A-71B1F1EBC68B}" name="Nilai Max" dataDxfId="108" dataCellStyle="Comma"/>
    <tableColumn id="2" xr3:uid="{B2B277E4-E60B-4AAA-A33F-E5763F695766}" name="Tarif" dataDxfId="107" dataCellStyle="Percent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C0E609-0757-48BF-8489-4C7DBB4F29A1}" name="tabelPPhBadan" displayName="tabelPPhBadan" ref="K3:M7" totalsRowShown="0" headerRowDxfId="106" headerRowBorderDxfId="105" tableBorderDxfId="104">
  <autoFilter ref="K3:M7" xr:uid="{3DFEFCE7-E360-4FAF-9921-FC5EFA3F766D}">
    <filterColumn colId="0" hiddenButton="1"/>
    <filterColumn colId="1" hiddenButton="1"/>
    <filterColumn colId="2" hiddenButton="1"/>
  </autoFilter>
  <tableColumns count="3">
    <tableColumn id="1" xr3:uid="{A0897485-BFC9-4DF4-9A61-AE0BF4F87799}" name="Batas Bawah" dataDxfId="103" dataCellStyle="Comma"/>
    <tableColumn id="2" xr3:uid="{F7B6C726-2F9E-4BC1-A82D-F22BE04B625F}" name="Batas Atas" dataDxfId="102" dataCellStyle="Comma"/>
    <tableColumn id="4" xr3:uid="{70E2B21D-5CBF-41C9-8E41-3AEC13B7A95E}" name="Tarif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81BF44-397E-4B10-8CBE-481042F686F7}" name="tabelNorma" displayName="tabelNorma" ref="O3:Q10" totalsRowShown="0" headerRowDxfId="101">
  <autoFilter ref="O3:Q10" xr:uid="{45F33885-7E22-4ECB-B2ED-251C7E4D4432}"/>
  <sortState ref="O4:Q10">
    <sortCondition ref="P3:P10"/>
  </sortState>
  <tableColumns count="3">
    <tableColumn id="1" xr3:uid="{8D25DDAC-D229-44F9-AAFF-B5AF34D1054B}" name="Kota"/>
    <tableColumn id="2" xr3:uid="{9BF9EA29-DDD0-4F96-8746-511EF4D61A18}" name="Profesi"/>
    <tableColumn id="3" xr3:uid="{30D34727-BE01-4C04-8A02-D2B0DF650EBD}" name="Nilai" dataDxfId="100" dataCellStyle="Percent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897FF5-EB32-4ECF-AE43-B4A043E74906}" name="tabelA" displayName="tabelA" ref="B3:E47" totalsRowShown="0">
  <autoFilter ref="B3:E47" xr:uid="{9F7DD718-9490-4201-BE9C-9DA29BB882EA}">
    <filterColumn colId="0" hiddenButton="1"/>
    <filterColumn colId="1" hiddenButton="1"/>
    <filterColumn colId="2" hiddenButton="1"/>
    <filterColumn colId="3" hiddenButton="1"/>
  </autoFilter>
  <tableColumns count="4">
    <tableColumn id="5" xr3:uid="{119B45C7-1380-4B34-806C-F3EFE75899C7}" name="KeyFinder" dataDxfId="90">
      <calculatedColumnFormula>IF(AND('PPh 21 TER'!$E$4 &gt; tabelA[[#This Row],[Batas Bawah]], 'PPh 21 TER'!$E$4 &lt;= tabelA[[#This Row],[Batas Atas]]), 1, 0)</calculatedColumnFormula>
    </tableColumn>
    <tableColumn id="1" xr3:uid="{DE396ACC-7D3B-4BA1-A964-78E88133B73A}" name="Batas Bawah" dataDxfId="99" dataCellStyle="Currency"/>
    <tableColumn id="2" xr3:uid="{7729C1D1-6931-4674-B363-A09C2190E262}" name="Batas Atas" dataDxfId="98" dataCellStyle="Currency"/>
    <tableColumn id="3" xr3:uid="{A37B8AD2-BE23-4F69-B574-A90B0040BD69}" name="TER" dataDxfId="97" dataCellStyle="Percent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1D6926-43C3-47D4-A155-470BA7EA2C1A}" name="tabelB" displayName="tabelB" ref="G3:J43" totalsRowShown="0">
  <autoFilter ref="G3:J43" xr:uid="{200A6B5E-5A7F-494F-A2C0-B160A9DEE52C}">
    <filterColumn colId="0" hiddenButton="1"/>
    <filterColumn colId="1" hiddenButton="1"/>
    <filterColumn colId="2" hiddenButton="1"/>
    <filterColumn colId="3" hiddenButton="1"/>
  </autoFilter>
  <tableColumns count="4">
    <tableColumn id="5" xr3:uid="{509CD0CE-F1F6-4283-90E5-DE65ACA91105}" name="KeyFinder" dataDxfId="89">
      <calculatedColumnFormula>IF(AND('PPh 21 TER'!$E$4 &gt; tabelB[[#This Row],[Batas Bawah]], 'PPh 21 TER'!$E$4 &lt;= tabelB[[#This Row],[Batas Atas]]), 1, 0)</calculatedColumnFormula>
    </tableColumn>
    <tableColumn id="1" xr3:uid="{1902C69F-DD97-422A-BA82-E8851510FEEE}" name="Batas Bawah" dataDxfId="96" dataCellStyle="Currency"/>
    <tableColumn id="2" xr3:uid="{293F5D91-132F-44AD-BE26-EC886009FA7F}" name="Batas Atas" dataDxfId="95" dataCellStyle="Currency"/>
    <tableColumn id="3" xr3:uid="{BCD0A9CB-79E1-43C4-955E-58B8D9AB977A}" name="TER" dataDxfId="94" dataCellStyle="Percent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F2EC89-0848-4C61-A50A-CBE9CD7693E0}" name="tabelC" displayName="tabelC" ref="L3:O44" totalsRowShown="0">
  <autoFilter ref="L3:O44" xr:uid="{9234CBAA-EF71-4AD2-85D8-31D2CFD10B3E}">
    <filterColumn colId="0" hiddenButton="1"/>
    <filterColumn colId="1" hiddenButton="1"/>
    <filterColumn colId="2" hiddenButton="1"/>
    <filterColumn colId="3" hiddenButton="1"/>
  </autoFilter>
  <tableColumns count="4">
    <tableColumn id="5" xr3:uid="{9686FF47-C584-4FC1-AC9B-FD6D95DEAC32}" name="Key Finder" dataDxfId="88">
      <calculatedColumnFormula>IF(AND('PPh 21 TER'!$E$4 &gt; tabelC[[#This Row],[Batas Bawah]], 'PPh 21 TER'!$E$4 &lt;= tabelC[[#This Row],[Batas Atas]]), 1, 0)</calculatedColumnFormula>
    </tableColumn>
    <tableColumn id="1" xr3:uid="{F0B613D6-FE49-4A78-B010-A26F4A76901A}" name="Batas Bawah" dataDxfId="93" dataCellStyle="Currency"/>
    <tableColumn id="2" xr3:uid="{C19F37CC-7A7C-4BAA-BCCF-B4AB85B72AC3}" name="Batas Atas" dataDxfId="92" dataCellStyle="Currency"/>
    <tableColumn id="3" xr3:uid="{712F4000-6337-49F5-82B2-238EBD454EA9}" name="TER" dataDxfId="91" dataCellStyle="Percent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4DC23-BE1A-4056-8378-B6D16AC2832F}">
  <sheetPr codeName="Sheet4"/>
  <dimension ref="B2:D5"/>
  <sheetViews>
    <sheetView showGridLines="0" tabSelected="1" workbookViewId="0">
      <selection activeCell="B7" sqref="B7"/>
    </sheetView>
  </sheetViews>
  <sheetFormatPr defaultRowHeight="15"/>
  <cols>
    <col min="2" max="2" width="21.85546875" bestFit="1" customWidth="1"/>
    <col min="3" max="3" width="19.85546875" customWidth="1"/>
    <col min="4" max="4" width="22.140625" bestFit="1" customWidth="1"/>
  </cols>
  <sheetData>
    <row r="2" spans="2:4" ht="15.75" thickBot="1"/>
    <row r="3" spans="2:4" ht="16.5">
      <c r="B3" s="18" t="s">
        <v>94</v>
      </c>
      <c r="C3" s="62"/>
      <c r="D3" s="20">
        <v>350000000</v>
      </c>
    </row>
    <row r="4" spans="2:4">
      <c r="B4" s="72"/>
      <c r="C4" s="73"/>
      <c r="D4" s="63"/>
    </row>
    <row r="5" spans="2:4" ht="15.75" thickBot="1">
      <c r="B5" s="86" t="s">
        <v>54</v>
      </c>
      <c r="C5" s="78"/>
      <c r="D5" s="100">
        <f>0.5%*D3</f>
        <v>1750000</v>
      </c>
    </row>
  </sheetData>
  <conditionalFormatting sqref="D5">
    <cfRule type="expression" dxfId="51" priority="1">
      <formula>$E$12&gt;5000000000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6BFD-DFB1-48D2-A9A3-83A6F5339526}">
  <sheetPr codeName="Sheet5"/>
  <dimension ref="A1:I30"/>
  <sheetViews>
    <sheetView showGridLines="0" zoomScaleNormal="100" workbookViewId="0">
      <selection activeCell="D9" sqref="D9"/>
    </sheetView>
  </sheetViews>
  <sheetFormatPr defaultRowHeight="15"/>
  <cols>
    <col min="2" max="2" width="35.140625" bestFit="1" customWidth="1"/>
    <col min="3" max="3" width="5.7109375" bestFit="1" customWidth="1"/>
    <col min="4" max="4" width="22.140625" bestFit="1" customWidth="1"/>
    <col min="5" max="5" width="15.7109375" customWidth="1"/>
    <col min="6" max="6" width="24.7109375" customWidth="1"/>
    <col min="7" max="7" width="24.85546875" customWidth="1"/>
    <col min="8" max="8" width="10.42578125" customWidth="1"/>
  </cols>
  <sheetData>
    <row r="1" spans="1:9" ht="15.75" thickBot="1">
      <c r="C1" s="76"/>
      <c r="D1" s="76"/>
      <c r="E1" s="76"/>
      <c r="F1" s="159">
        <f>($E$2-$C$2)+1</f>
        <v>12</v>
      </c>
      <c r="G1" s="76"/>
    </row>
    <row r="2" spans="1:9" ht="15.75" thickBot="1">
      <c r="B2" s="142" t="s">
        <v>88</v>
      </c>
      <c r="C2" s="148">
        <v>1</v>
      </c>
      <c r="D2" s="143" t="s">
        <v>87</v>
      </c>
      <c r="E2" s="149">
        <v>12</v>
      </c>
      <c r="F2" s="102"/>
      <c r="G2" s="153" t="str">
        <f>CONCATENATE("selama ",($E$2-$C$2)+1," bulan")</f>
        <v>selama 12 bulan</v>
      </c>
      <c r="H2" s="74"/>
    </row>
    <row r="3" spans="1:9" ht="15.75" thickBot="1">
      <c r="B3" s="144" t="s">
        <v>90</v>
      </c>
      <c r="C3" s="145"/>
      <c r="D3" s="145"/>
      <c r="E3" s="147"/>
      <c r="F3" s="146" t="str">
        <f>IF(AND($C$2=1,$E$2=12),CONCATENATE(TEXT(DATE(2023,$C$2,1),"mmmm")," s.d.",TEXT(DATE(2023,$E$2-1,1),"mmmm")),CONCATENATE(TEXT(DATE(2023,$C$2,1),"mmmm")," s.d.",TEXT(DATE(2023,$E$2,1),"mmmm")))</f>
        <v>Januari s.d.November</v>
      </c>
      <c r="G3" s="152" t="str">
        <f>IF(AND($C$2=1,$E$2=12),TEXT(DATE(2023,$E$2,1),"mmmm"),TEXT(DATE(2023,$E$2+1,1),"mmmm"))</f>
        <v>Desember</v>
      </c>
    </row>
    <row r="4" spans="1:9" ht="16.5">
      <c r="B4" s="18" t="s">
        <v>55</v>
      </c>
      <c r="C4" s="19"/>
      <c r="D4" s="19"/>
      <c r="E4" s="19"/>
      <c r="F4" s="89">
        <v>10000000</v>
      </c>
      <c r="G4" s="60">
        <f>$F$4*(($E$2-$C$2)+1)</f>
        <v>120000000</v>
      </c>
    </row>
    <row r="5" spans="1:9" ht="16.5">
      <c r="B5" s="81" t="s">
        <v>56</v>
      </c>
      <c r="C5" s="82"/>
      <c r="D5" s="82"/>
      <c r="E5" s="85"/>
      <c r="F5" s="5">
        <v>0</v>
      </c>
      <c r="G5" s="27">
        <f>F5*(($E$2-$C$2)+1)</f>
        <v>0</v>
      </c>
      <c r="H5" s="6"/>
      <c r="I5" s="6"/>
    </row>
    <row r="6" spans="1:9" ht="16.5">
      <c r="A6" s="6"/>
      <c r="B6" s="81" t="s">
        <v>67</v>
      </c>
      <c r="C6" s="126">
        <v>0</v>
      </c>
      <c r="D6" s="82" t="s">
        <v>59</v>
      </c>
      <c r="E6" s="85"/>
      <c r="F6" s="127">
        <f>$F$4*C6</f>
        <v>0</v>
      </c>
      <c r="G6" s="27">
        <f>F6*(($E$2-$C$2)+1)</f>
        <v>0</v>
      </c>
    </row>
    <row r="7" spans="1:9" ht="16.5">
      <c r="A7" s="6"/>
      <c r="B7" s="81" t="s">
        <v>57</v>
      </c>
      <c r="C7" s="88"/>
      <c r="D7" s="82"/>
      <c r="E7" s="85"/>
      <c r="F7" s="5">
        <v>0</v>
      </c>
      <c r="G7" s="27">
        <f>F7*(($E$2-$C$2)+1)</f>
        <v>0</v>
      </c>
      <c r="H7" s="6"/>
    </row>
    <row r="8" spans="1:9" ht="16.5">
      <c r="A8" s="6"/>
      <c r="B8" s="81" t="s">
        <v>58</v>
      </c>
      <c r="C8" s="87"/>
      <c r="D8" s="82"/>
      <c r="E8" s="85"/>
      <c r="F8" s="5">
        <v>0</v>
      </c>
      <c r="G8" s="27">
        <f>F8*(($E$2-$C$2)+1)</f>
        <v>0</v>
      </c>
      <c r="H8" s="6"/>
    </row>
    <row r="9" spans="1:9" ht="17.25" thickBot="1">
      <c r="A9" s="6"/>
      <c r="B9" s="81" t="s">
        <v>64</v>
      </c>
      <c r="C9" s="87"/>
      <c r="D9" s="82"/>
      <c r="E9" s="85"/>
      <c r="F9" s="11">
        <v>0</v>
      </c>
      <c r="G9" s="27">
        <f>F9*(($E$2-$C$2)+1)</f>
        <v>0</v>
      </c>
      <c r="H9" s="6"/>
    </row>
    <row r="10" spans="1:9">
      <c r="A10" s="6"/>
      <c r="B10" s="23" t="s">
        <v>60</v>
      </c>
      <c r="C10" s="10"/>
      <c r="D10" s="10"/>
      <c r="E10" s="10"/>
      <c r="F10" s="91">
        <f>SUM(F4:F9)</f>
        <v>10000000</v>
      </c>
      <c r="G10" s="92">
        <f>SUM(G4:G9)</f>
        <v>120000000</v>
      </c>
      <c r="H10" s="6"/>
    </row>
    <row r="11" spans="1:9" ht="16.5">
      <c r="A11" s="6"/>
      <c r="B11" s="81" t="s">
        <v>61</v>
      </c>
      <c r="C11" s="12">
        <v>0.05</v>
      </c>
      <c r="D11" s="82"/>
      <c r="E11" s="85"/>
      <c r="F11" s="90">
        <f>IF(F10*C11 &gt;= 500000,500000,F10*C11)</f>
        <v>500000</v>
      </c>
      <c r="G11" s="27">
        <f>IF(G10*C11 &gt;= 6000000,6000000,G10*C11)</f>
        <v>6000000</v>
      </c>
      <c r="H11" s="6"/>
    </row>
    <row r="12" spans="1:9" ht="16.5">
      <c r="A12" s="6"/>
      <c r="B12" s="81" t="s">
        <v>62</v>
      </c>
      <c r="C12" s="87"/>
      <c r="D12" s="82"/>
      <c r="E12" s="85"/>
      <c r="F12" s="5">
        <v>0</v>
      </c>
      <c r="G12" s="27">
        <f>F12*(($E$2-$C$2)+1)</f>
        <v>0</v>
      </c>
      <c r="H12" s="4"/>
    </row>
    <row r="13" spans="1:9" ht="16.5">
      <c r="A13" s="6"/>
      <c r="B13" s="81" t="s">
        <v>63</v>
      </c>
      <c r="C13" s="87"/>
      <c r="D13" s="82"/>
      <c r="E13" s="85"/>
      <c r="F13" s="5">
        <v>100000</v>
      </c>
      <c r="G13" s="27">
        <f>F13*(($E$2-$C$2)+1)</f>
        <v>1200000</v>
      </c>
      <c r="H13" s="4"/>
    </row>
    <row r="14" spans="1:9" ht="17.25" thickBot="1">
      <c r="A14" s="6"/>
      <c r="B14" s="81" t="s">
        <v>65</v>
      </c>
      <c r="C14" s="87"/>
      <c r="D14" s="82"/>
      <c r="E14" s="85"/>
      <c r="F14" s="11">
        <v>0</v>
      </c>
      <c r="G14" s="26">
        <f>F14*(($E$2-$C$2)+1)</f>
        <v>0</v>
      </c>
      <c r="H14" s="4"/>
    </row>
    <row r="15" spans="1:9" ht="16.5">
      <c r="A15" s="6"/>
      <c r="B15" s="23" t="s">
        <v>66</v>
      </c>
      <c r="C15" s="10"/>
      <c r="D15" s="10"/>
      <c r="E15" s="10"/>
      <c r="F15" s="93">
        <f>F10-(SUM(F11:F14))</f>
        <v>9400000</v>
      </c>
      <c r="G15" s="45"/>
      <c r="H15" s="4"/>
    </row>
    <row r="16" spans="1:9" ht="16.5">
      <c r="A16" s="6"/>
      <c r="B16" s="50" t="s">
        <v>68</v>
      </c>
      <c r="C16" s="10"/>
      <c r="D16" s="10"/>
      <c r="E16" s="10"/>
      <c r="F16" s="93">
        <f>$F$15*12</f>
        <v>112800000</v>
      </c>
      <c r="G16" s="25">
        <f>G10-(SUM(G11:G14))</f>
        <v>112800000</v>
      </c>
      <c r="H16" s="4"/>
    </row>
    <row r="17" spans="1:8" ht="17.25" thickBot="1">
      <c r="A17" s="6"/>
      <c r="B17" s="81" t="s">
        <v>5</v>
      </c>
      <c r="C17" s="32" t="s">
        <v>18</v>
      </c>
      <c r="D17" s="82"/>
      <c r="E17" s="85"/>
      <c r="F17" s="155">
        <f>VLOOKUP($C$17,tabelPTKP[#All],2,FALSE)</f>
        <v>58500000</v>
      </c>
      <c r="G17" s="26">
        <f>VLOOKUP($C$17,tabelPTKP[#All],2,FALSE)</f>
        <v>58500000</v>
      </c>
      <c r="H17" s="4"/>
    </row>
    <row r="18" spans="1:8" ht="16.5">
      <c r="B18" s="23" t="s">
        <v>6</v>
      </c>
      <c r="C18" s="82"/>
      <c r="D18" s="82"/>
      <c r="E18" s="85"/>
      <c r="F18" s="154">
        <f>IF(FLOOR((F16-F17),1000)&lt;0,"NIHIL",FLOOR((F16-F17),1000))</f>
        <v>54300000</v>
      </c>
      <c r="G18" s="79">
        <f>IF(FLOOR((G16-G17),1000)&lt;0,"NIHIL",FLOOR((G16-G17),1000))</f>
        <v>54300000</v>
      </c>
    </row>
    <row r="19" spans="1:8" ht="16.5">
      <c r="A19" s="6"/>
      <c r="B19" s="81"/>
      <c r="C19" s="82"/>
      <c r="D19" s="82"/>
      <c r="E19" s="85"/>
      <c r="F19" s="82"/>
      <c r="G19" s="27"/>
    </row>
    <row r="20" spans="1:8" ht="16.5">
      <c r="A20" s="6"/>
      <c r="B20" s="140" t="s">
        <v>69</v>
      </c>
      <c r="C20" s="12">
        <v>0.05</v>
      </c>
      <c r="D20" s="15">
        <f>IF(PKPOpSebln = "NIHIL","",IF(PKPOpSebln&gt;'Data Umum'!$G$4,'Data Umum'!$H$4,PKPOpSebln-'Data Umum'!$F$4))</f>
        <v>54300000</v>
      </c>
      <c r="E20" s="15">
        <f>IF(PKPOpSethn = "NIHIL","",IF(PKPOpSethn&gt;'Data Umum'!$G$4,'Data Umum'!$H$4,PKPOpSethn-'Data Umum'!$F$4))</f>
        <v>54300000</v>
      </c>
      <c r="F20" s="90">
        <f>IFERROR($C$20*D$20,"")</f>
        <v>2715000</v>
      </c>
      <c r="G20" s="27">
        <f>IFERROR($C$20*E$20,"")</f>
        <v>2715000</v>
      </c>
    </row>
    <row r="21" spans="1:8" ht="16.5">
      <c r="B21" s="140"/>
      <c r="C21" s="54">
        <v>0.15</v>
      </c>
      <c r="D21" s="55">
        <f>IF(PKPOpSebln="NIHIL","",IF(PKPOpSebln&gt;'Data Umum'!$G$5,'Data Umum'!$H$5,IF(PKPOpSebln&gt;'Data Umum'!$F$5,PKPOpSebln-'Data Umum'!$F$5,0)))</f>
        <v>0</v>
      </c>
      <c r="E21" s="55">
        <f>IF(PKPOpSethn="NIHIL","",IF(PKPOpSethn&gt;'Data Umum'!$G$5,'Data Umum'!$H$5,IF(PKPOpSethn&gt;'Data Umum'!$F$5,PKPOpSethn-'Data Umum'!$F$5,0)))</f>
        <v>0</v>
      </c>
      <c r="F21" s="90">
        <f>IFERROR($C$20*D$21,"")</f>
        <v>0</v>
      </c>
      <c r="G21" s="27">
        <f t="shared" ref="G21:G24" si="0">IFERROR(C21*D21,"")</f>
        <v>0</v>
      </c>
    </row>
    <row r="22" spans="1:8" ht="16.5">
      <c r="B22" s="140"/>
      <c r="C22" s="54">
        <v>0.25</v>
      </c>
      <c r="D22" s="55">
        <f>IF(PKPOpSebln="NIHIL","",IF(PKPOpSebln&gt;'Data Umum'!$G$6,'Data Umum'!$H$6,IF(PKPOpSebln&gt;'Data Umum'!$F$6,PKPOpSebln-'Data Umum'!$F$6,0)))</f>
        <v>0</v>
      </c>
      <c r="E22" s="55">
        <f>IF(PKPOpSethn="NIHIL","",IF(PKPOpSethn&gt;'Data Umum'!$G$6,'Data Umum'!$H$6,IF(PKPOpSethn&gt;'Data Umum'!$F$6,PKPOpSethn-'Data Umum'!$F$6,0)))</f>
        <v>0</v>
      </c>
      <c r="F22" s="90">
        <f>IFERROR($C$20*D$22,"")</f>
        <v>0</v>
      </c>
      <c r="G22" s="27">
        <f t="shared" si="0"/>
        <v>0</v>
      </c>
    </row>
    <row r="23" spans="1:8" ht="16.5">
      <c r="B23" s="140"/>
      <c r="C23" s="54">
        <v>0.3</v>
      </c>
      <c r="D23" s="55">
        <f>IF(PKPOpSebln="NIHIL","",IF(PKPOpSebln&gt;'Data Umum'!$G$7,'Data Umum'!$H$7,IF(PKPOpSebln&gt;'Data Umum'!$F$7,PKPOpSebln-'Data Umum'!$F$7,0)))</f>
        <v>0</v>
      </c>
      <c r="E23" s="55">
        <f>IF(PKPOpSethn="NIHIL","",IF(PKPOpSethn&gt;'Data Umum'!$G$7,'Data Umum'!$H$7,IF(PKPOpSethn&gt;'Data Umum'!$F$7,PKPOpSethn-'Data Umum'!$F$7,0)))</f>
        <v>0</v>
      </c>
      <c r="F23" s="90">
        <f>IFERROR($C$20*D$23,"")</f>
        <v>0</v>
      </c>
      <c r="G23" s="27">
        <f t="shared" si="0"/>
        <v>0</v>
      </c>
    </row>
    <row r="24" spans="1:8" ht="17.25" thickBot="1">
      <c r="B24" s="140"/>
      <c r="C24" s="54">
        <v>0.35</v>
      </c>
      <c r="D24" s="55">
        <f>IF(PKPOpSebln="NIHIL","",IF(PKPOpSebln&gt;'Data Umum'!$F$8,PKPOpSebln-'Data Umum'!$F$8,IF(PKPOpSebln&gt;'Data Umum'!$F$8,PKPOpSebln-'Data Umum'!$F$8,0)))</f>
        <v>0</v>
      </c>
      <c r="E24" s="55">
        <f>IF(PKPOpSethn="NIHIL","",IF(PKPOpSethn&gt;'Data Umum'!$F$8,PKPOpSethn-'Data Umum'!$F$8,IF(PKPOpSethn&gt;'Data Umum'!$F$8,PKPOpSethn-'Data Umum'!$F$8,0)))</f>
        <v>0</v>
      </c>
      <c r="F24" s="155">
        <f>IFERROR($C$20*D$24,"")</f>
        <v>0</v>
      </c>
      <c r="G24" s="27">
        <f t="shared" si="0"/>
        <v>0</v>
      </c>
      <c r="H24" s="6"/>
    </row>
    <row r="25" spans="1:8" ht="16.5">
      <c r="B25" s="140"/>
      <c r="C25" s="14"/>
      <c r="D25" s="16"/>
      <c r="E25" s="16"/>
      <c r="F25" s="158">
        <f>IFERROR(SUM(F20:F23),"NIHIL")</f>
        <v>2715000</v>
      </c>
      <c r="G25" s="98">
        <f>IFERROR(SUM(G20:G23),"NIHIL")</f>
        <v>2715000</v>
      </c>
    </row>
    <row r="26" spans="1:8" ht="16.5">
      <c r="B26" s="23" t="s">
        <v>71</v>
      </c>
      <c r="C26" s="82"/>
      <c r="D26" s="82"/>
      <c r="E26" s="85"/>
      <c r="F26" s="93">
        <f>$F$25/12</f>
        <v>226250</v>
      </c>
      <c r="G26" s="27"/>
    </row>
    <row r="27" spans="1:8" ht="16.5">
      <c r="B27" s="95" t="s">
        <v>92</v>
      </c>
      <c r="C27" s="157">
        <f>IF(AND($C$2=1,$E$2=12),11,(($E$2-$C$2)+1))</f>
        <v>11</v>
      </c>
      <c r="D27" s="41" t="s">
        <v>70</v>
      </c>
      <c r="E27" s="41"/>
      <c r="F27" s="96"/>
      <c r="G27" s="97">
        <f>$F$26*C27</f>
        <v>2488750</v>
      </c>
    </row>
    <row r="28" spans="1:8" ht="17.25" thickBot="1">
      <c r="B28" s="99" t="str">
        <f>CONCATENATE("PPh 21 ",IF($G$28&lt;0,"lebih bayar","kurang bayar")," di bulan ",$G$3)</f>
        <v>PPh 21 kurang bayar di bulan Desember</v>
      </c>
      <c r="C28" s="94"/>
      <c r="D28" s="80"/>
      <c r="E28" s="84"/>
      <c r="F28" s="80"/>
      <c r="G28" s="100">
        <f>$G$25-$G$27</f>
        <v>226250</v>
      </c>
    </row>
    <row r="29" spans="1:8">
      <c r="D29" s="6"/>
      <c r="E29" s="6"/>
      <c r="F29" s="6"/>
      <c r="G29" s="6"/>
    </row>
    <row r="30" spans="1:8">
      <c r="D30" s="6"/>
      <c r="E30" s="6"/>
      <c r="F30" s="6"/>
    </row>
  </sheetData>
  <mergeCells count="2">
    <mergeCell ref="B3:D3"/>
    <mergeCell ref="B20:B25"/>
  </mergeCells>
  <conditionalFormatting sqref="C21:G21">
    <cfRule type="expression" dxfId="50" priority="27">
      <formula>$G$18&gt;60000000</formula>
    </cfRule>
  </conditionalFormatting>
  <conditionalFormatting sqref="G23:G24 C22:G22">
    <cfRule type="expression" dxfId="49" priority="26">
      <formula>$G$18&gt;250000000</formula>
    </cfRule>
  </conditionalFormatting>
  <conditionalFormatting sqref="C23:G23">
    <cfRule type="expression" dxfId="48" priority="25">
      <formula>$G$18&gt;500000000</formula>
    </cfRule>
  </conditionalFormatting>
  <conditionalFormatting sqref="C24:G25">
    <cfRule type="expression" dxfId="47" priority="24">
      <formula>$G$18&gt;5000000000</formula>
    </cfRule>
  </conditionalFormatting>
  <conditionalFormatting sqref="G28">
    <cfRule type="expression" dxfId="46" priority="22">
      <formula>$G$18&gt;5000000000</formula>
    </cfRule>
  </conditionalFormatting>
  <conditionalFormatting sqref="C20 E20:G20 C21:G24">
    <cfRule type="expression" dxfId="45" priority="20">
      <formula>ISERROR($G$18)</formula>
    </cfRule>
    <cfRule type="expression" dxfId="44" priority="21">
      <formula>$G$18=#NUM!</formula>
    </cfRule>
  </conditionalFormatting>
  <conditionalFormatting sqref="C20:C24">
    <cfRule type="expression" dxfId="43" priority="5">
      <formula>$G$18="NIHIL"</formula>
    </cfRule>
  </conditionalFormatting>
  <conditionalFormatting sqref="D20">
    <cfRule type="expression" dxfId="42" priority="4">
      <formula>$G$18=#NUM!</formula>
    </cfRule>
  </conditionalFormatting>
  <conditionalFormatting sqref="D20">
    <cfRule type="expression" dxfId="41" priority="3">
      <formula>ISERROR($G$18)</formula>
    </cfRule>
  </conditionalFormatting>
  <conditionalFormatting sqref="F21:G24">
    <cfRule type="cellIs" dxfId="40" priority="2" operator="equal">
      <formula>0</formula>
    </cfRule>
  </conditionalFormatting>
  <conditionalFormatting sqref="F16:F25 D20">
    <cfRule type="expression" dxfId="39" priority="1">
      <formula>$F$1=12</formula>
    </cfRule>
  </conditionalFormatting>
  <dataValidations count="4">
    <dataValidation type="list" allowBlank="1" showInputMessage="1" showErrorMessage="1" prompt="Pilih PTKP Tersedia" sqref="C17" xr:uid="{26DC6ECB-7C6A-4E8F-85A4-8AD4FC9C119E}">
      <formula1>Kode_PTKP</formula1>
    </dataValidation>
    <dataValidation type="list" allowBlank="1" showInputMessage="1" showErrorMessage="1" prompt="Pilih jenis premi asuransi" sqref="C6" xr:uid="{70BC81AA-747E-4D5E-B5C2-3F947E93CF0F}">
      <mc:AlternateContent xmlns:x12ac="http://schemas.microsoft.com/office/spreadsheetml/2011/1/ac" xmlns:mc="http://schemas.openxmlformats.org/markup-compatibility/2006">
        <mc:Choice Requires="x12ac">
          <x12ac:list>"0,5","0,3",0</x12ac:list>
        </mc:Choice>
        <mc:Fallback>
          <formula1>"0,5,0,3,0"</formula1>
        </mc:Fallback>
      </mc:AlternateContent>
    </dataValidation>
    <dataValidation type="whole" operator="greaterThan" allowBlank="1" showInputMessage="1" showErrorMessage="1" sqref="K13" xr:uid="{51D4DCCB-72A6-4381-B892-710B31D26CFA}">
      <formula1>0</formula1>
    </dataValidation>
    <dataValidation type="decimal" operator="greaterThanOrEqual" allowBlank="1" showInputMessage="1" showErrorMessage="1" sqref="F4:F5 F7:F9 F12:F14" xr:uid="{6BE77285-E378-4370-A1FC-93ACAE77FEE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143249-161A-4C77-A287-AD3A7E4592C3}">
          <x14:formula1>
            <xm:f>'Data Umum'!$B$4:$B$11</xm:f>
          </x14:formula1>
          <xm:sqref>D17:E17</xm:sqref>
        </x14:dataValidation>
        <x14:dataValidation type="list" allowBlank="1" showInputMessage="1" showErrorMessage="1" xr:uid="{0291D94B-864E-4F0A-84B8-8A51FB338BA2}">
          <x14:formula1>
            <xm:f>'Data Umum'!$B$18:$B$29</xm:f>
          </x14:formula1>
          <xm:sqref>C2 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4C699-55A2-425C-A787-B46622EEF731}">
  <sheetPr codeName="Sheet6"/>
  <dimension ref="A1:O31"/>
  <sheetViews>
    <sheetView showGridLines="0" zoomScaleNormal="100" workbookViewId="0">
      <selection activeCell="B3" sqref="B3:D3"/>
    </sheetView>
  </sheetViews>
  <sheetFormatPr defaultRowHeight="15"/>
  <cols>
    <col min="2" max="2" width="35" customWidth="1"/>
    <col min="3" max="3" width="8.7109375" customWidth="1"/>
    <col min="4" max="4" width="17.5703125" bestFit="1" customWidth="1"/>
    <col min="5" max="5" width="23.5703125" bestFit="1" customWidth="1"/>
    <col min="6" max="6" width="25.140625" customWidth="1"/>
    <col min="7" max="7" width="10.42578125" customWidth="1"/>
    <col min="8" max="8" width="10.7109375" bestFit="1" customWidth="1"/>
    <col min="15" max="15" width="10.7109375" bestFit="1" customWidth="1"/>
  </cols>
  <sheetData>
    <row r="1" spans="1:15" ht="15.75" thickBot="1">
      <c r="C1" s="76"/>
      <c r="D1" s="76"/>
      <c r="E1" s="76"/>
      <c r="F1" s="76"/>
    </row>
    <row r="2" spans="1:15" ht="15.75" thickBot="1">
      <c r="B2" s="142" t="s">
        <v>88</v>
      </c>
      <c r="C2" s="148">
        <v>1</v>
      </c>
      <c r="D2" s="143" t="s">
        <v>87</v>
      </c>
      <c r="E2" s="149">
        <v>12</v>
      </c>
      <c r="F2" s="153" t="str">
        <f>CONCATENATE("selama ",($E$2-$C$2)+1," bulan")</f>
        <v>selama 12 bulan</v>
      </c>
      <c r="G2" s="74"/>
    </row>
    <row r="3" spans="1:15" ht="15.75" thickBot="1">
      <c r="B3" s="144" t="s">
        <v>90</v>
      </c>
      <c r="C3" s="145"/>
      <c r="D3" s="145"/>
      <c r="E3" s="146" t="str">
        <f>IF(AND($C$2=1,$E$2=12),CONCATENATE(TEXT(DATE(2023,$C$2,1),"mmmm")," s.d.",TEXT(DATE(2023,$E$2-1,1),"mmmm")),CONCATENATE(TEXT(DATE(2023,$C$2,1),"mmmm")," s.d.",TEXT(DATE(2023,$E$2,1),"mmmm")))</f>
        <v>Januari s.d.November</v>
      </c>
      <c r="F3" s="152" t="str">
        <f>IF(AND($C$2=1,$E$2=12),TEXT(DATE(2023,$E$2,1),"mmmm"),TEXT(DATE(2023,$E$2+1,1),"mmmm"))</f>
        <v>Desember</v>
      </c>
      <c r="H3" s="150"/>
      <c r="I3" s="150"/>
    </row>
    <row r="4" spans="1:15" ht="16.5">
      <c r="B4" s="18" t="s">
        <v>55</v>
      </c>
      <c r="C4" s="19"/>
      <c r="D4" s="19"/>
      <c r="E4" s="136">
        <v>10000000</v>
      </c>
      <c r="F4" s="137">
        <f>$E$4*(($E$2-$C$2)+1)</f>
        <v>120000000</v>
      </c>
      <c r="H4" s="150"/>
      <c r="I4" s="150"/>
    </row>
    <row r="5" spans="1:15" ht="16.5">
      <c r="B5" s="81" t="s">
        <v>56</v>
      </c>
      <c r="C5" s="82"/>
      <c r="D5" s="102"/>
      <c r="E5" s="135">
        <v>0</v>
      </c>
      <c r="F5" s="139">
        <f>E5*(($E$2-$C$2)+1)</f>
        <v>0</v>
      </c>
      <c r="G5" s="6"/>
      <c r="H5" s="6"/>
    </row>
    <row r="6" spans="1:15" ht="16.5">
      <c r="A6" s="6"/>
      <c r="B6" s="81" t="s">
        <v>67</v>
      </c>
      <c r="C6" s="102"/>
      <c r="D6" s="102"/>
      <c r="E6" s="138">
        <v>0</v>
      </c>
      <c r="F6" s="139">
        <f>E6/100*$F$4</f>
        <v>0</v>
      </c>
      <c r="N6" s="151">
        <f>DATE(2023,$C$2,1)</f>
        <v>44927</v>
      </c>
      <c r="O6" s="151">
        <f>DATE(2023,$E$2-1,1)</f>
        <v>45231</v>
      </c>
    </row>
    <row r="7" spans="1:15" ht="16.5">
      <c r="A7" s="6"/>
      <c r="B7" s="81" t="s">
        <v>57</v>
      </c>
      <c r="C7" s="88"/>
      <c r="D7" s="102"/>
      <c r="E7" s="135">
        <v>0</v>
      </c>
      <c r="F7" s="139">
        <f>E7*(($E$2-$C$2)+1)</f>
        <v>0</v>
      </c>
      <c r="G7" s="6"/>
    </row>
    <row r="8" spans="1:15" ht="16.5">
      <c r="A8" s="6"/>
      <c r="B8" s="81" t="s">
        <v>58</v>
      </c>
      <c r="C8" s="87"/>
      <c r="D8" s="102"/>
      <c r="E8" s="135">
        <v>0</v>
      </c>
      <c r="F8" s="139">
        <f>E8*(($E$2-$C$2)+1)</f>
        <v>0</v>
      </c>
      <c r="G8" s="6"/>
    </row>
    <row r="9" spans="1:15" ht="17.25" thickBot="1">
      <c r="A9" s="6"/>
      <c r="B9" s="81" t="s">
        <v>64</v>
      </c>
      <c r="C9" s="87"/>
      <c r="D9" s="102"/>
      <c r="E9" s="160">
        <v>0</v>
      </c>
      <c r="F9" s="139">
        <f>E9*(($E$2-$C$2)+1)</f>
        <v>0</v>
      </c>
      <c r="G9" s="6"/>
    </row>
    <row r="10" spans="1:15">
      <c r="A10" s="6"/>
      <c r="B10" s="23" t="s">
        <v>60</v>
      </c>
      <c r="C10" s="10"/>
      <c r="D10" s="10"/>
      <c r="E10" s="161">
        <f>SUM(E4:E9)</f>
        <v>10000000</v>
      </c>
      <c r="F10" s="92">
        <f>SUM(F4:F9)</f>
        <v>120000000</v>
      </c>
      <c r="G10" s="6"/>
    </row>
    <row r="11" spans="1:15" ht="16.5">
      <c r="A11" s="6"/>
      <c r="B11" s="81" t="s">
        <v>61</v>
      </c>
      <c r="C11" s="102"/>
      <c r="D11" s="156">
        <v>0.05</v>
      </c>
      <c r="E11" s="90"/>
      <c r="F11" s="27">
        <f>IF(F10*D11 &gt;= 6000000,6000000,F10*D11)</f>
        <v>6000000</v>
      </c>
      <c r="G11" s="6"/>
    </row>
    <row r="12" spans="1:15" ht="16.5">
      <c r="A12" s="6"/>
      <c r="B12" s="81" t="s">
        <v>62</v>
      </c>
      <c r="C12" s="87"/>
      <c r="D12" s="135">
        <v>0</v>
      </c>
      <c r="E12" s="90"/>
      <c r="F12" s="27">
        <f>D12*12</f>
        <v>0</v>
      </c>
      <c r="G12" s="4"/>
    </row>
    <row r="13" spans="1:15" ht="16.5">
      <c r="A13" s="6"/>
      <c r="B13" s="81" t="s">
        <v>63</v>
      </c>
      <c r="C13" s="101"/>
      <c r="D13" s="135">
        <v>100000</v>
      </c>
      <c r="E13" s="90"/>
      <c r="F13" s="27">
        <f>D13*12</f>
        <v>1200000</v>
      </c>
      <c r="G13" s="4"/>
    </row>
    <row r="14" spans="1:15" ht="17.25" thickBot="1">
      <c r="A14" s="6"/>
      <c r="B14" s="81" t="s">
        <v>65</v>
      </c>
      <c r="C14" s="87"/>
      <c r="D14" s="135">
        <v>0</v>
      </c>
      <c r="E14" s="90"/>
      <c r="F14" s="27">
        <f>D14*12</f>
        <v>0</v>
      </c>
      <c r="G14" s="4"/>
    </row>
    <row r="15" spans="1:15" ht="16.5">
      <c r="A15" s="6"/>
      <c r="B15" s="23" t="s">
        <v>66</v>
      </c>
      <c r="C15" s="10"/>
      <c r="D15" s="10"/>
      <c r="E15" s="93"/>
      <c r="F15" s="45"/>
      <c r="G15" s="4"/>
    </row>
    <row r="16" spans="1:15" ht="16.5">
      <c r="A16" s="6"/>
      <c r="B16" s="50" t="s">
        <v>68</v>
      </c>
      <c r="C16" s="10"/>
      <c r="D16" s="10"/>
      <c r="E16" s="10"/>
      <c r="F16" s="93">
        <f>F10-(SUM(F11:F14))</f>
        <v>112800000</v>
      </c>
      <c r="G16" s="44"/>
    </row>
    <row r="17" spans="1:7" ht="17.25" thickBot="1">
      <c r="A17" s="6"/>
      <c r="B17" s="81" t="s">
        <v>5</v>
      </c>
      <c r="C17" s="134" t="s">
        <v>18</v>
      </c>
      <c r="D17" s="82"/>
      <c r="E17" s="82"/>
      <c r="F17" s="26">
        <f>VLOOKUP(C17,tabelPTKP[#All],2,FALSE)</f>
        <v>58500000</v>
      </c>
      <c r="G17" s="4"/>
    </row>
    <row r="18" spans="1:7" ht="16.5">
      <c r="B18" s="23" t="s">
        <v>6</v>
      </c>
      <c r="C18" s="82"/>
      <c r="D18" s="82"/>
      <c r="E18" s="82"/>
      <c r="F18" s="79">
        <f>IF(FLOOR((F16-F17),1000)&lt;0,"NIHIL",FLOOR((F16-F17),1000))</f>
        <v>54300000</v>
      </c>
    </row>
    <row r="19" spans="1:7" ht="16.5">
      <c r="A19" s="6"/>
      <c r="B19" s="81"/>
      <c r="C19" s="82"/>
      <c r="D19" s="82"/>
      <c r="E19" s="82"/>
      <c r="F19" s="27"/>
    </row>
    <row r="20" spans="1:7" ht="16.5">
      <c r="A20" s="6"/>
      <c r="B20" s="109" t="s">
        <v>69</v>
      </c>
      <c r="C20" s="12">
        <v>0.05</v>
      </c>
      <c r="D20" s="15">
        <f>IF(PKPOpBuk = "NIHIL","",IF(PKPOpBuk&gt;'Data Umum'!$G$4,'Data Umum'!$H$4,$F$18-'Data Umum'!$F$4))</f>
        <v>54300000</v>
      </c>
      <c r="E20" s="15"/>
      <c r="F20" s="27">
        <f>IFERROR(C20*D20,"")</f>
        <v>2715000</v>
      </c>
    </row>
    <row r="21" spans="1:7" ht="16.5">
      <c r="B21" s="40"/>
      <c r="C21" s="54">
        <v>0.15</v>
      </c>
      <c r="D21" s="55">
        <f>IF(PKPOpBuk="NIHIL","",IF(PKPOpBuk&gt;'Data Umum'!$G$5,'Data Umum'!$H$5,IF(PKPOpBuk&gt;'Data Umum'!$F$5,PKPOpBuk-'Data Umum'!$F$5,0)))</f>
        <v>0</v>
      </c>
      <c r="E21" s="55"/>
      <c r="F21" s="27">
        <f t="shared" ref="F21:F24" si="0">IFERROR(C21*D21,"")</f>
        <v>0</v>
      </c>
    </row>
    <row r="22" spans="1:7" ht="16.5">
      <c r="B22" s="40"/>
      <c r="C22" s="54">
        <v>0.25</v>
      </c>
      <c r="D22" s="55">
        <f>IF(PKPOpBuk="NIHIL","",IF(PKPOpBuk&gt;'Data Umum'!$G$6,'Data Umum'!$H$6,IF(PKPOpBuk&gt;'Data Umum'!$F$6,PKPOpBuk-'Data Umum'!$F$6,0)))</f>
        <v>0</v>
      </c>
      <c r="E22" s="55"/>
      <c r="F22" s="27">
        <f t="shared" si="0"/>
        <v>0</v>
      </c>
    </row>
    <row r="23" spans="1:7" ht="16.5">
      <c r="B23" s="40"/>
      <c r="C23" s="54">
        <v>0.3</v>
      </c>
      <c r="D23" s="55">
        <f>IF(PKPOpBuk="NIHIL","",IF(PKPOpBuk&gt;'Data Umum'!$G$7,'Data Umum'!$H$7,IF(PKPOpBuk&gt;'Data Umum'!$F$7,PKPOpBuk-'Data Umum'!$F$7,0)))</f>
        <v>0</v>
      </c>
      <c r="E23" s="55"/>
      <c r="F23" s="27">
        <f t="shared" si="0"/>
        <v>0</v>
      </c>
    </row>
    <row r="24" spans="1:7" ht="17.25" thickBot="1">
      <c r="B24" s="40"/>
      <c r="C24" s="54">
        <v>0.35</v>
      </c>
      <c r="D24" s="55">
        <f>IF(PKPOpBuk="NIHIL","",IF(PKPOpBuk&gt;'Data Umum'!$F$8,PKPOpBuk-'Data Umum'!$F$8,IF(PKPOpBuk&gt;'Data Umum'!$F$8,PKPOpBuk-'Data Umum'!$F$8,0)))</f>
        <v>0</v>
      </c>
      <c r="E24" s="55"/>
      <c r="F24" s="27">
        <f t="shared" si="0"/>
        <v>0</v>
      </c>
      <c r="G24" s="6"/>
    </row>
    <row r="25" spans="1:7" ht="16.5">
      <c r="B25" s="109"/>
      <c r="C25" s="14"/>
      <c r="D25" s="16"/>
      <c r="E25" s="16"/>
      <c r="F25" s="98">
        <f>IFERROR(SUM(F20:F23),"NIHIL")</f>
        <v>2715000</v>
      </c>
    </row>
    <row r="26" spans="1:7" ht="16.5">
      <c r="B26" s="109" t="s">
        <v>93</v>
      </c>
      <c r="C26" s="112" t="str">
        <f>_xlfn.IFNA(VLOOKUP(C17,tabelPTKP[],3,FALSE),"Non Kategori")</f>
        <v>A</v>
      </c>
      <c r="D26" s="16"/>
      <c r="E26" s="16"/>
      <c r="F26" s="110"/>
    </row>
    <row r="27" spans="1:7" ht="16.5">
      <c r="B27" s="23" t="s">
        <v>71</v>
      </c>
      <c r="C27" s="133">
        <f>IF(kategori_TER="A",VLOOKUP(1,tabelA[],4,FALSE),IF(kategori_TER="B",VLOOKUP(1,tabelB[],4,FALSE),VLOOKUP(1,tabelC[],4,FALSE)))</f>
        <v>0.02</v>
      </c>
      <c r="D27" s="82"/>
      <c r="E27" s="93">
        <f>$C$27*E4</f>
        <v>200000</v>
      </c>
      <c r="F27" s="27"/>
    </row>
    <row r="28" spans="1:7" ht="16.5">
      <c r="B28" s="95" t="s">
        <v>91</v>
      </c>
      <c r="C28" s="157">
        <f>IF(AND($C$2=1,$E$2=12),11,(($E$2-$C$2)+1))</f>
        <v>11</v>
      </c>
      <c r="D28" s="41" t="s">
        <v>70</v>
      </c>
      <c r="E28" s="96"/>
      <c r="F28" s="97">
        <f>$E$27*C28</f>
        <v>2200000</v>
      </c>
    </row>
    <row r="29" spans="1:7" ht="17.25" thickBot="1">
      <c r="B29" s="99" t="str">
        <f>CONCATENATE("PPh 21 ",IF($F$29&lt;0,"lebih bayar","kurang bayar")," di bulan ",$F$3)</f>
        <v>PPh 21 kurang bayar di bulan Desember</v>
      </c>
      <c r="C29" s="94"/>
      <c r="D29" s="80"/>
      <c r="E29" s="80"/>
      <c r="F29" s="100">
        <f>$F$25-$F$28</f>
        <v>515000</v>
      </c>
    </row>
    <row r="30" spans="1:7">
      <c r="D30" s="6"/>
      <c r="E30" s="6"/>
      <c r="F30" s="6"/>
    </row>
    <row r="31" spans="1:7">
      <c r="D31" s="6"/>
      <c r="E31" s="6"/>
    </row>
  </sheetData>
  <sheetProtection selectLockedCells="1"/>
  <mergeCells count="1">
    <mergeCell ref="B3:D3"/>
  </mergeCells>
  <conditionalFormatting sqref="C21:F21">
    <cfRule type="expression" dxfId="38" priority="8">
      <formula>$F$18&gt;60000000</formula>
    </cfRule>
  </conditionalFormatting>
  <conditionalFormatting sqref="C22:F22 F23:F24">
    <cfRule type="expression" dxfId="37" priority="7">
      <formula>$F$18&gt;250000000</formula>
    </cfRule>
  </conditionalFormatting>
  <conditionalFormatting sqref="C23:F23">
    <cfRule type="expression" dxfId="36" priority="6">
      <formula>$F$18&gt;500000000</formula>
    </cfRule>
  </conditionalFormatting>
  <conditionalFormatting sqref="C24:F26">
    <cfRule type="expression" dxfId="35" priority="5">
      <formula>$F$18&gt;5000000000</formula>
    </cfRule>
  </conditionalFormatting>
  <conditionalFormatting sqref="F29">
    <cfRule type="expression" dxfId="34" priority="4">
      <formula>$F$18&gt;5000000000</formula>
    </cfRule>
  </conditionalFormatting>
  <conditionalFormatting sqref="D20:F24">
    <cfRule type="expression" dxfId="33" priority="3">
      <formula>$F$18=#NUM!</formula>
    </cfRule>
  </conditionalFormatting>
  <conditionalFormatting sqref="C20:F24">
    <cfRule type="expression" dxfId="32" priority="2">
      <formula>ISERROR($F$18)</formula>
    </cfRule>
  </conditionalFormatting>
  <conditionalFormatting sqref="C20:C24">
    <cfRule type="expression" dxfId="31" priority="1">
      <formula>$F$18="NIHIL"</formula>
    </cfRule>
  </conditionalFormatting>
  <dataValidations disablePrompts="1" count="3">
    <dataValidation type="list" allowBlank="1" showInputMessage="1" showErrorMessage="1" sqref="E6" xr:uid="{8CF96D33-D06F-48F7-8620-A038DF8CBDF9}">
      <mc:AlternateContent xmlns:x12ac="http://schemas.microsoft.com/office/spreadsheetml/2011/1/ac" xmlns:mc="http://schemas.openxmlformats.org/markup-compatibility/2006">
        <mc:Choice Requires="x12ac">
          <x12ac:list>"0,05","0,03",0</x12ac:list>
        </mc:Choice>
        <mc:Fallback>
          <formula1>"0,05,0,03,0"</formula1>
        </mc:Fallback>
      </mc:AlternateContent>
    </dataValidation>
    <dataValidation type="list" allowBlank="1" showInputMessage="1" showErrorMessage="1" prompt="Pilih PTKP tersedia" sqref="C17" xr:uid="{9739871D-B47A-4DE6-B63F-1F716AE74F39}">
      <formula1>Kode_PTKP</formula1>
    </dataValidation>
    <dataValidation type="decimal" errorStyle="information" operator="lessThan" allowBlank="1" showInputMessage="1" showErrorMessage="1" errorTitle="Hasil Rugi" error="Perusahaan anda mengalami kerugian. Hasil yang merugi dapat dikompensasikan ke tahun berikutnya." sqref="E15:F15 F16" xr:uid="{69DB1941-8CB5-4809-BD49-790F36B2956B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32E73FD0-B864-4724-813E-4BDF9A2C7582}">
          <x14:formula1>
            <xm:f>'Data Umum'!$B$4:$B$11</xm:f>
          </x14:formula1>
          <xm:sqref>E17</xm:sqref>
        </x14:dataValidation>
        <x14:dataValidation type="list" allowBlank="1" showInputMessage="1" showErrorMessage="1" xr:uid="{F5CA7EEA-9B50-4CBC-8EB8-F60580668CD8}">
          <x14:formula1>
            <xm:f>'Data Umum'!$B$18:$B$29</xm:f>
          </x14:formula1>
          <xm:sqref>C2 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showGridLines="0" zoomScaleNormal="100" workbookViewId="0">
      <selection activeCell="B1" sqref="B1:E2"/>
    </sheetView>
  </sheetViews>
  <sheetFormatPr defaultRowHeight="15"/>
  <cols>
    <col min="2" max="2" width="29.42578125" bestFit="1" customWidth="1"/>
    <col min="3" max="3" width="9" customWidth="1"/>
    <col min="4" max="4" width="22.140625" bestFit="1" customWidth="1"/>
    <col min="5" max="5" width="25.28515625" bestFit="1" customWidth="1"/>
    <col min="6" max="6" width="10.42578125" customWidth="1"/>
    <col min="7" max="7" width="31.140625" customWidth="1"/>
    <col min="8" max="8" width="7.140625" bestFit="1" customWidth="1"/>
    <col min="9" max="9" width="20.7109375" bestFit="1" customWidth="1"/>
    <col min="10" max="10" width="24" bestFit="1" customWidth="1"/>
  </cols>
  <sheetData>
    <row r="1" spans="1:11">
      <c r="B1" s="166" t="s">
        <v>96</v>
      </c>
      <c r="C1" s="166"/>
      <c r="D1" s="166"/>
      <c r="E1" s="166"/>
      <c r="G1" s="166" t="s">
        <v>95</v>
      </c>
      <c r="H1" s="166"/>
      <c r="I1" s="166"/>
      <c r="J1" s="166"/>
    </row>
    <row r="2" spans="1:11" ht="15.75" thickBot="1">
      <c r="B2" s="167"/>
      <c r="C2" s="167"/>
      <c r="D2" s="167"/>
      <c r="E2" s="167"/>
      <c r="G2" s="167"/>
      <c r="H2" s="167"/>
      <c r="I2" s="167"/>
      <c r="J2" s="167"/>
    </row>
    <row r="3" spans="1:11" ht="16.5">
      <c r="B3" s="18" t="s">
        <v>0</v>
      </c>
      <c r="C3" s="19"/>
      <c r="D3" s="19"/>
      <c r="E3" s="20">
        <v>348000000</v>
      </c>
      <c r="G3" s="69" t="s">
        <v>53</v>
      </c>
      <c r="H3" s="118" t="s">
        <v>48</v>
      </c>
      <c r="I3" s="118"/>
      <c r="J3" s="119"/>
    </row>
    <row r="4" spans="1:11" ht="17.25" thickBot="1">
      <c r="B4" s="21" t="s">
        <v>1</v>
      </c>
      <c r="C4" s="7"/>
      <c r="D4" s="7"/>
      <c r="E4" s="22">
        <v>0</v>
      </c>
      <c r="F4" s="6"/>
      <c r="G4" s="69" t="s">
        <v>52</v>
      </c>
      <c r="H4" s="70"/>
      <c r="I4" s="70"/>
      <c r="J4" s="75">
        <v>600000000</v>
      </c>
      <c r="K4" s="74"/>
    </row>
    <row r="5" spans="1:11" ht="16.5">
      <c r="A5" s="6"/>
      <c r="B5" s="23" t="s">
        <v>2</v>
      </c>
      <c r="C5" s="10"/>
      <c r="D5" s="10"/>
      <c r="E5" s="24">
        <f>E3-E4</f>
        <v>348000000</v>
      </c>
      <c r="G5" s="50" t="s">
        <v>4</v>
      </c>
      <c r="H5" s="77">
        <f>INDEX(tabelNorma[Nilai],MATCH(H3:I3,tabelNorma[Profesi],0))</f>
        <v>0.47</v>
      </c>
      <c r="I5" s="10"/>
      <c r="J5" s="27">
        <f>J4*H5</f>
        <v>282000000</v>
      </c>
    </row>
    <row r="6" spans="1:11" ht="17.25" thickBot="1">
      <c r="A6" s="6"/>
      <c r="B6" s="21" t="s">
        <v>3</v>
      </c>
      <c r="C6" s="7"/>
      <c r="D6" s="7"/>
      <c r="E6" s="22">
        <v>6000000</v>
      </c>
      <c r="F6" s="6"/>
      <c r="G6" s="69" t="s">
        <v>5</v>
      </c>
      <c r="H6" s="32" t="s">
        <v>21</v>
      </c>
      <c r="I6" s="70"/>
      <c r="J6" s="26">
        <f>VLOOKUP(H6,tabelPTKP[#All],2,FALSE)</f>
        <v>72000000</v>
      </c>
    </row>
    <row r="7" spans="1:11" ht="16.5">
      <c r="A7" s="6"/>
      <c r="B7" s="23" t="s">
        <v>4</v>
      </c>
      <c r="C7" s="10"/>
      <c r="D7" s="10"/>
      <c r="E7" s="25">
        <f>E5-E6</f>
        <v>342000000</v>
      </c>
      <c r="F7" s="6"/>
      <c r="G7" s="69" t="s">
        <v>6</v>
      </c>
      <c r="H7" s="70"/>
      <c r="I7" s="70"/>
      <c r="J7" s="20">
        <f>MROUND(J5-J6,1000)</f>
        <v>210000000</v>
      </c>
    </row>
    <row r="8" spans="1:11" ht="16.5">
      <c r="A8" s="6"/>
      <c r="B8" s="51" t="s">
        <v>32</v>
      </c>
      <c r="C8" s="10"/>
      <c r="D8" s="10"/>
      <c r="E8" s="52">
        <v>0</v>
      </c>
      <c r="F8" s="6"/>
      <c r="G8" s="69"/>
      <c r="H8" s="70"/>
      <c r="I8" s="70"/>
      <c r="J8" s="27"/>
    </row>
    <row r="9" spans="1:11" ht="17.25" thickBot="1">
      <c r="A9" s="6"/>
      <c r="B9" s="51" t="s">
        <v>34</v>
      </c>
      <c r="C9" s="10"/>
      <c r="D9" s="10"/>
      <c r="E9" s="53">
        <v>0</v>
      </c>
      <c r="F9" s="6"/>
      <c r="G9" s="113" t="s">
        <v>7</v>
      </c>
      <c r="H9" s="12">
        <v>0.05</v>
      </c>
      <c r="I9" s="15">
        <f>IF(PKPOpNor&gt;'Data Umum'!$G$4,'Data Umum'!$H$4,$E$12-'Data Umum'!$F$4)</f>
        <v>60000000</v>
      </c>
      <c r="J9" s="27">
        <f>H9*I9</f>
        <v>3000000</v>
      </c>
    </row>
    <row r="10" spans="1:11" ht="16.5">
      <c r="A10" s="6"/>
      <c r="B10" s="50" t="s">
        <v>33</v>
      </c>
      <c r="C10" s="10"/>
      <c r="D10" s="10"/>
      <c r="E10" s="25">
        <f>SUM(E7:E9)</f>
        <v>342000000</v>
      </c>
      <c r="F10" s="6"/>
      <c r="G10" s="113"/>
      <c r="H10" s="54">
        <v>0.15</v>
      </c>
      <c r="I10" s="55">
        <f>IF(PKPOpNor&gt;'Data Umum'!$G$5,'Data Umum'!$H$5,IF(PKPOpNor&gt;'Data Umum'!$F$5,PKPOpNor-'Data Umum'!$F$5,0))</f>
        <v>150000000</v>
      </c>
      <c r="J10" s="56">
        <f t="shared" ref="J10:J13" si="0">H10*I10</f>
        <v>22500000</v>
      </c>
    </row>
    <row r="11" spans="1:11" ht="17.25" thickBot="1">
      <c r="A11" s="6"/>
      <c r="B11" s="21" t="s">
        <v>5</v>
      </c>
      <c r="C11" s="32" t="s">
        <v>21</v>
      </c>
      <c r="D11" s="7"/>
      <c r="E11" s="26">
        <f>VLOOKUP(C11,tabelPTKP[#All],2,FALSE)</f>
        <v>72000000</v>
      </c>
      <c r="F11" s="4"/>
      <c r="G11" s="113"/>
      <c r="H11" s="54">
        <v>0.25</v>
      </c>
      <c r="I11" s="55">
        <f>IF(PKPOpNor&gt;'Data Umum'!$G$6,'Data Umum'!$H$6,IF(PKPOpNor&gt;'Data Umum'!$F$6,PKPOpNor-'Data Umum'!$F$6,0))</f>
        <v>0</v>
      </c>
      <c r="J11" s="56">
        <f t="shared" si="0"/>
        <v>0</v>
      </c>
    </row>
    <row r="12" spans="1:11" ht="16.5">
      <c r="A12" s="6"/>
      <c r="B12" s="23" t="s">
        <v>6</v>
      </c>
      <c r="C12" s="7"/>
      <c r="D12" s="7"/>
      <c r="E12" s="79">
        <f>FLOOR((E10-E11),1000)</f>
        <v>270000000</v>
      </c>
      <c r="F12" s="4"/>
      <c r="G12" s="113"/>
      <c r="H12" s="54">
        <v>0.3</v>
      </c>
      <c r="I12" s="55">
        <f>IF(PKPOpNor&gt;'Data Umum'!$G$7,'Data Umum'!$H$7,IF(PKPOpNor&gt;'Data Umum'!$F$7,PKPOpNor-'Data Umum'!$F$7,0))</f>
        <v>0</v>
      </c>
      <c r="J12" s="56">
        <f t="shared" si="0"/>
        <v>0</v>
      </c>
    </row>
    <row r="13" spans="1:11" ht="17.25" thickBot="1">
      <c r="A13" s="6"/>
      <c r="B13" s="21"/>
      <c r="C13" s="7"/>
      <c r="D13" s="7"/>
      <c r="E13" s="27"/>
      <c r="F13" s="4"/>
      <c r="G13" s="113"/>
      <c r="H13" s="57">
        <v>0.35</v>
      </c>
      <c r="I13" s="55">
        <f>IF(PKPOpNor&gt;'Data Umum'!$F$8,PKPOpNor-'Data Umum'!$F$8,IF(PKPOpNor&gt;'Data Umum'!$F$8,PKPOpNor-'Data Umum'!$F$8,0))</f>
        <v>0</v>
      </c>
      <c r="J13" s="58">
        <f t="shared" si="0"/>
        <v>0</v>
      </c>
    </row>
    <row r="14" spans="1:11" ht="16.5">
      <c r="A14" s="6"/>
      <c r="B14" s="113" t="s">
        <v>7</v>
      </c>
      <c r="C14" s="12">
        <v>0.05</v>
      </c>
      <c r="D14" s="15">
        <f>IF(PKPOpBuk&gt;'Data Umum'!$G$4,'Data Umum'!$H$4,$E$12-'Data Umum'!$F$4)</f>
        <v>60000000</v>
      </c>
      <c r="E14" s="27">
        <f>C14*D14</f>
        <v>3000000</v>
      </c>
      <c r="F14" s="4"/>
      <c r="G14" s="113"/>
      <c r="H14" s="14"/>
      <c r="I14" s="16"/>
      <c r="J14" s="59">
        <f>IFERROR(SUM(J9:J12),"NIHIL")</f>
        <v>25500000</v>
      </c>
    </row>
    <row r="15" spans="1:11" ht="16.5">
      <c r="A15" s="6"/>
      <c r="B15" s="113"/>
      <c r="C15" s="54">
        <v>0.15</v>
      </c>
      <c r="D15" s="55">
        <f>IF(PKPOpBuk&gt;'Data Umum'!$G$5,'Data Umum'!$H$5,IF(PKPOpBuk&gt;'Data Umum'!$F$5,PKPOpBuk-'Data Umum'!$F$5,0))</f>
        <v>190000000</v>
      </c>
      <c r="E15" s="56">
        <f t="shared" ref="E15:E18" si="1">C15*D15</f>
        <v>28500000</v>
      </c>
      <c r="F15" s="4"/>
      <c r="G15" s="28" t="s">
        <v>8</v>
      </c>
      <c r="H15" s="70"/>
      <c r="I15" s="70"/>
      <c r="J15" s="27"/>
    </row>
    <row r="16" spans="1:11" ht="16.5">
      <c r="A16" s="6"/>
      <c r="B16" s="113"/>
      <c r="C16" s="54">
        <v>0.25</v>
      </c>
      <c r="D16" s="55">
        <f>IF(PKPOpBuk&gt;'Data Umum'!$G$6,'Data Umum'!$H$6,IF(PKPOpBuk&gt;'Data Umum'!$F$6,PKPOpBuk-'Data Umum'!$F$6,0))</f>
        <v>20000000</v>
      </c>
      <c r="E16" s="56">
        <f t="shared" si="1"/>
        <v>5000000</v>
      </c>
      <c r="F16" s="4"/>
      <c r="G16" s="69" t="s">
        <v>35</v>
      </c>
      <c r="H16" s="70"/>
      <c r="I16" s="5">
        <v>150000</v>
      </c>
      <c r="J16" s="27"/>
    </row>
    <row r="17" spans="1:10" ht="16.5">
      <c r="B17" s="113"/>
      <c r="C17" s="54">
        <v>0.3</v>
      </c>
      <c r="D17" s="55">
        <f>IF(PKPOpBuk&gt;'Data Umum'!$G$7,'Data Umum'!$H$7,IF(PKPOpBuk&gt;'Data Umum'!$F$7,PKPOpBuk-'Data Umum'!$F$7,0))</f>
        <v>0</v>
      </c>
      <c r="E17" s="56">
        <f t="shared" si="1"/>
        <v>0</v>
      </c>
      <c r="G17" s="120" t="s">
        <v>9</v>
      </c>
      <c r="H17" s="121"/>
      <c r="I17" s="5">
        <v>0</v>
      </c>
      <c r="J17" s="27"/>
    </row>
    <row r="18" spans="1:10" ht="17.25" thickBot="1">
      <c r="A18" s="6"/>
      <c r="B18" s="113"/>
      <c r="C18" s="57">
        <v>0.35</v>
      </c>
      <c r="D18" s="55">
        <f>IF(PKPOpBuk&gt;'Data Umum'!$F$8,PKPOpBuk-'Data Umum'!$F$8,IF(PKPOpBuk&gt;'Data Umum'!$F$8,PKPOpBuk-'Data Umum'!$F$8,0))</f>
        <v>0</v>
      </c>
      <c r="E18" s="58">
        <f t="shared" si="1"/>
        <v>0</v>
      </c>
      <c r="G18" s="120" t="s">
        <v>10</v>
      </c>
      <c r="H18" s="121"/>
      <c r="I18" s="5">
        <v>400000</v>
      </c>
      <c r="J18" s="27"/>
    </row>
    <row r="19" spans="1:10" ht="16.5">
      <c r="A19" s="6"/>
      <c r="B19" s="113"/>
      <c r="C19" s="14"/>
      <c r="D19" s="16"/>
      <c r="E19" s="59">
        <f>IFERROR(SUM(E14:E17),"NIHIL")</f>
        <v>36500000</v>
      </c>
      <c r="G19" s="120" t="s">
        <v>11</v>
      </c>
      <c r="H19" s="121"/>
      <c r="I19" s="5">
        <v>18000000</v>
      </c>
      <c r="J19" s="27"/>
    </row>
    <row r="20" spans="1:10" ht="17.25" thickBot="1">
      <c r="B20" s="28" t="s">
        <v>8</v>
      </c>
      <c r="C20" s="7"/>
      <c r="D20" s="7"/>
      <c r="E20" s="27"/>
      <c r="G20" s="120" t="s">
        <v>26</v>
      </c>
      <c r="H20" s="121"/>
      <c r="I20" s="11">
        <v>0</v>
      </c>
      <c r="J20" s="27"/>
    </row>
    <row r="21" spans="1:10" ht="17.25" thickBot="1">
      <c r="B21" s="35" t="s">
        <v>35</v>
      </c>
      <c r="C21" s="36"/>
      <c r="D21" s="5">
        <v>150000</v>
      </c>
      <c r="E21" s="27"/>
      <c r="G21" s="114"/>
      <c r="H21" s="115"/>
      <c r="I21" s="67"/>
      <c r="J21" s="30">
        <f>SUM(I16:I20)</f>
        <v>18550000</v>
      </c>
    </row>
    <row r="22" spans="1:10" ht="18" thickTop="1" thickBot="1">
      <c r="B22" s="120" t="s">
        <v>9</v>
      </c>
      <c r="C22" s="121"/>
      <c r="D22" s="5">
        <v>0</v>
      </c>
      <c r="E22" s="27"/>
      <c r="G22" s="116" t="s">
        <v>27</v>
      </c>
      <c r="H22" s="117"/>
      <c r="I22" s="68" t="str">
        <f>IF(J22&gt;=1,"Kurang Bayar","Lebih Bayar")</f>
        <v>Kurang Bayar</v>
      </c>
      <c r="J22" s="37">
        <f>IFERROR(J14-J21,-J21)</f>
        <v>6950000</v>
      </c>
    </row>
    <row r="23" spans="1:10" ht="16.5">
      <c r="B23" s="120" t="s">
        <v>10</v>
      </c>
      <c r="C23" s="121"/>
      <c r="D23" s="5">
        <f>E8*2%</f>
        <v>0</v>
      </c>
      <c r="E23" s="27"/>
      <c r="F23" s="6"/>
    </row>
    <row r="24" spans="1:10" ht="16.5">
      <c r="B24" s="120" t="s">
        <v>11</v>
      </c>
      <c r="C24" s="121"/>
      <c r="D24" s="5">
        <v>18000000</v>
      </c>
      <c r="E24" s="27"/>
    </row>
    <row r="25" spans="1:10" ht="17.25" thickBot="1">
      <c r="B25" s="120" t="s">
        <v>26</v>
      </c>
      <c r="C25" s="121"/>
      <c r="D25" s="11">
        <v>0</v>
      </c>
      <c r="E25" s="27"/>
    </row>
    <row r="26" spans="1:10" ht="17.25" thickBot="1">
      <c r="B26" s="114"/>
      <c r="C26" s="115"/>
      <c r="D26" s="9"/>
      <c r="E26" s="30">
        <f>SUM(D21:D25)</f>
        <v>18150000</v>
      </c>
    </row>
    <row r="27" spans="1:10" ht="18" thickTop="1" thickBot="1">
      <c r="B27" s="116" t="s">
        <v>27</v>
      </c>
      <c r="C27" s="117"/>
      <c r="D27" s="17" t="str">
        <f>IF(E27&gt;=1,"Kurang Bayar","Lebih Bayar")</f>
        <v>Kurang Bayar</v>
      </c>
      <c r="E27" s="37">
        <f>IFERROR(E19-E26,-E26)</f>
        <v>18350000</v>
      </c>
    </row>
    <row r="28" spans="1:10">
      <c r="D28" s="6"/>
      <c r="E28" s="6"/>
    </row>
    <row r="29" spans="1:10">
      <c r="D29" s="6"/>
    </row>
  </sheetData>
  <mergeCells count="17">
    <mergeCell ref="G1:J2"/>
    <mergeCell ref="B1:E2"/>
    <mergeCell ref="B26:C26"/>
    <mergeCell ref="B27:C27"/>
    <mergeCell ref="B14:B19"/>
    <mergeCell ref="B22:C22"/>
    <mergeCell ref="B23:C23"/>
    <mergeCell ref="B24:C24"/>
    <mergeCell ref="B25:C25"/>
    <mergeCell ref="G21:H21"/>
    <mergeCell ref="G22:H22"/>
    <mergeCell ref="H3:J3"/>
    <mergeCell ref="G9:G14"/>
    <mergeCell ref="G17:H17"/>
    <mergeCell ref="G18:H18"/>
    <mergeCell ref="G19:H19"/>
    <mergeCell ref="G20:H20"/>
  </mergeCells>
  <conditionalFormatting sqref="C15:E15">
    <cfRule type="expression" dxfId="30" priority="22">
      <formula>$E$12&gt;60000000</formula>
    </cfRule>
  </conditionalFormatting>
  <conditionalFormatting sqref="C16:E16">
    <cfRule type="expression" dxfId="29" priority="21">
      <formula>$E$12&gt;250000000</formula>
    </cfRule>
  </conditionalFormatting>
  <conditionalFormatting sqref="C17:E17">
    <cfRule type="expression" dxfId="28" priority="20">
      <formula>$E$12&gt;500000000</formula>
    </cfRule>
  </conditionalFormatting>
  <conditionalFormatting sqref="C18:E19">
    <cfRule type="expression" dxfId="27" priority="19">
      <formula>$E$12&gt;5000000000</formula>
    </cfRule>
  </conditionalFormatting>
  <conditionalFormatting sqref="E26">
    <cfRule type="expression" dxfId="26" priority="18">
      <formula>$E$12&gt;5000000000</formula>
    </cfRule>
  </conditionalFormatting>
  <conditionalFormatting sqref="E27">
    <cfRule type="expression" dxfId="25" priority="17">
      <formula>$E$12&gt;5000000000</formula>
    </cfRule>
  </conditionalFormatting>
  <conditionalFormatting sqref="D14:E18">
    <cfRule type="expression" dxfId="24" priority="16">
      <formula>$E$12=#NUM!</formula>
    </cfRule>
  </conditionalFormatting>
  <conditionalFormatting sqref="C14:E18">
    <cfRule type="expression" dxfId="23" priority="15">
      <formula>ISERROR($E$12)</formula>
    </cfRule>
  </conditionalFormatting>
  <conditionalFormatting sqref="H10 J10">
    <cfRule type="expression" dxfId="22" priority="14">
      <formula>$E$12&gt;60000000</formula>
    </cfRule>
  </conditionalFormatting>
  <conditionalFormatting sqref="H11 J11">
    <cfRule type="expression" dxfId="21" priority="13">
      <formula>$E$12&gt;250000000</formula>
    </cfRule>
  </conditionalFormatting>
  <conditionalFormatting sqref="H12 J12">
    <cfRule type="expression" dxfId="20" priority="12">
      <formula>$E$12&gt;500000000</formula>
    </cfRule>
  </conditionalFormatting>
  <conditionalFormatting sqref="H14:J14 H13 J13">
    <cfRule type="expression" dxfId="19" priority="11">
      <formula>$E$12&gt;5000000000</formula>
    </cfRule>
  </conditionalFormatting>
  <conditionalFormatting sqref="J21">
    <cfRule type="expression" dxfId="18" priority="10">
      <formula>$E$12&gt;5000000000</formula>
    </cfRule>
  </conditionalFormatting>
  <conditionalFormatting sqref="J22">
    <cfRule type="expression" dxfId="17" priority="9">
      <formula>$E$12&gt;5000000000</formula>
    </cfRule>
  </conditionalFormatting>
  <conditionalFormatting sqref="J9:J13">
    <cfRule type="expression" dxfId="16" priority="8">
      <formula>$E$12=#NUM!</formula>
    </cfRule>
  </conditionalFormatting>
  <conditionalFormatting sqref="H9:H13 J9:J13">
    <cfRule type="expression" dxfId="15" priority="7">
      <formula>ISERROR($E$12)</formula>
    </cfRule>
  </conditionalFormatting>
  <conditionalFormatting sqref="I10">
    <cfRule type="expression" dxfId="14" priority="6">
      <formula>$E$12&gt;60000000</formula>
    </cfRule>
  </conditionalFormatting>
  <conditionalFormatting sqref="I11">
    <cfRule type="expression" dxfId="13" priority="5">
      <formula>$E$12&gt;250000000</formula>
    </cfRule>
  </conditionalFormatting>
  <conditionalFormatting sqref="I12">
    <cfRule type="expression" dxfId="12" priority="4">
      <formula>$E$12&gt;500000000</formula>
    </cfRule>
  </conditionalFormatting>
  <conditionalFormatting sqref="I13">
    <cfRule type="expression" dxfId="11" priority="3">
      <formula>$E$12&gt;5000000000</formula>
    </cfRule>
  </conditionalFormatting>
  <conditionalFormatting sqref="I9:I13">
    <cfRule type="expression" dxfId="10" priority="2">
      <formula>$E$12=#NUM!</formula>
    </cfRule>
  </conditionalFormatting>
  <conditionalFormatting sqref="I9:I13">
    <cfRule type="expression" dxfId="9" priority="1">
      <formula>ISERROR($E$12)</formula>
    </cfRule>
  </conditionalFormatting>
  <dataValidations count="4">
    <dataValidation type="list" allowBlank="1" showInputMessage="1" showErrorMessage="1" prompt="Pilih PTKP tersedia" sqref="C11 H6" xr:uid="{3DA1AFE0-89B1-429D-8210-85B5AA109C51}">
      <formula1>Kode_PTKP</formula1>
    </dataValidation>
    <dataValidation type="decimal" errorStyle="information" operator="lessThan" allowBlank="1" showErrorMessage="1" errorTitle="Usaha anda mengalami kerugian." error="Tidak dikenakan pajak penghasilan." sqref="E10" xr:uid="{481920DB-2F69-4D9F-8B1A-9AAB9212D511}">
      <formula1>0</formula1>
    </dataValidation>
    <dataValidation type="decimal" errorStyle="information" operator="lessThan" allowBlank="1" showInputMessage="1" showErrorMessage="1" errorTitle="Hasil Rugi" error="Perusahaan anda mengalami kerugian. Hasil yang merugi dapat dikompensasikan ke tahun berikutnya." sqref="E7" xr:uid="{885DDBB9-A0D0-4318-B43E-231DBC75C0F4}">
      <formula1>0</formula1>
    </dataValidation>
    <dataValidation allowBlank="1" showInputMessage="1" showErrorMessage="1" prompt="Pilih profesi tersedia" sqref="H3:J3" xr:uid="{A83FDD39-7232-4DAE-983C-F767E1B4C919}"/>
  </dataValidations>
  <pageMargins left="0.7" right="0.7" top="0.75" bottom="0.75" header="0.3" footer="0.3"/>
  <ignoredErrors>
    <ignoredError sqref="E11" formula="1"/>
  </ignoredError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15DC050-939B-434F-9C96-4836C185E64E}">
          <x14:formula1>
            <xm:f>'Data Umum'!$B$4:$B$11</xm:f>
          </x14:formula1>
          <xm:sqref>D11 I6</xm:sqref>
        </x14:dataValidation>
        <x14:dataValidation type="list" showInputMessage="1" showErrorMessage="1" xr:uid="{EB76F22B-4CE4-4571-A352-C96A8FC47356}">
          <x14:formula1>
            <xm:f>'Data Umum'!$P$4:$P$10</xm:f>
          </x14:formula1>
          <xm:sqref>H4:I4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4617B-04FB-45F5-8577-54587C67B796}">
  <sheetPr codeName="Sheet2"/>
  <dimension ref="A1:J23"/>
  <sheetViews>
    <sheetView showGridLines="0" topLeftCell="A4" workbookViewId="0">
      <selection activeCell="G3" sqref="G3"/>
    </sheetView>
  </sheetViews>
  <sheetFormatPr defaultRowHeight="15"/>
  <cols>
    <col min="2" max="2" width="25.140625" bestFit="1" customWidth="1"/>
    <col min="3" max="3" width="8.7109375" customWidth="1"/>
    <col min="4" max="4" width="22.140625" bestFit="1" customWidth="1"/>
    <col min="5" max="5" width="25.28515625" bestFit="1" customWidth="1"/>
    <col min="6" max="6" width="10.5703125" customWidth="1"/>
    <col min="7" max="7" width="38.7109375" bestFit="1" customWidth="1"/>
    <col min="9" max="9" width="22.140625" bestFit="1" customWidth="1"/>
    <col min="10" max="10" width="24" bestFit="1" customWidth="1"/>
  </cols>
  <sheetData>
    <row r="1" spans="1:10">
      <c r="B1" s="166" t="s">
        <v>97</v>
      </c>
      <c r="C1" s="166"/>
      <c r="D1" s="166"/>
      <c r="E1" s="166"/>
      <c r="G1" s="166" t="s">
        <v>98</v>
      </c>
      <c r="H1" s="166"/>
      <c r="I1" s="166"/>
      <c r="J1" s="166"/>
    </row>
    <row r="2" spans="1:10" ht="15.75" thickBot="1">
      <c r="B2" s="167"/>
      <c r="C2" s="167"/>
      <c r="D2" s="167"/>
      <c r="E2" s="167"/>
      <c r="G2" s="167"/>
      <c r="H2" s="167"/>
      <c r="I2" s="167"/>
      <c r="J2" s="167"/>
    </row>
    <row r="3" spans="1:10" ht="16.5">
      <c r="B3" s="18" t="s">
        <v>0</v>
      </c>
      <c r="C3" s="19"/>
      <c r="D3" s="19"/>
      <c r="E3" s="20">
        <v>5900900900</v>
      </c>
      <c r="G3" s="61" t="s">
        <v>36</v>
      </c>
      <c r="H3" s="62"/>
      <c r="I3" s="62"/>
      <c r="J3" s="60">
        <f>PKPBadBuk</f>
        <v>400901000</v>
      </c>
    </row>
    <row r="4" spans="1:10" ht="17.25" thickBot="1">
      <c r="B4" s="29" t="s">
        <v>1</v>
      </c>
      <c r="C4" s="8"/>
      <c r="D4" s="8"/>
      <c r="E4" s="22">
        <v>5500000000</v>
      </c>
      <c r="F4" s="6"/>
      <c r="G4" s="33"/>
      <c r="H4" s="34"/>
      <c r="I4" s="34"/>
      <c r="J4" s="63"/>
    </row>
    <row r="5" spans="1:10" ht="16.5">
      <c r="A5" s="6"/>
      <c r="B5" s="35" t="s">
        <v>2</v>
      </c>
      <c r="C5" s="10"/>
      <c r="D5" s="10"/>
      <c r="E5" s="49">
        <f>E3-E4</f>
        <v>400900900</v>
      </c>
      <c r="G5" s="40" t="s">
        <v>7</v>
      </c>
      <c r="H5" s="12">
        <f>IF(Penjualan &lt;= 'Data Umum'!$L$4,11%,IF(Penjualan&lt;='Data Umum'!$L$5,11%,22%))</f>
        <v>0.11</v>
      </c>
      <c r="I5" s="42">
        <f>IF(PKPBadBuk&gt;0,IF(Penjualan &lt;= 'Data Umum'!$L$4,PKPBadBuk,IF(Penjualan&lt;='Data Umum'!$L$5,(4800000000/Penjualan*PKPBadBuk),PKPBadBuk)),"NIHIL")</f>
        <v>326106950.88948196</v>
      </c>
      <c r="J5" s="47">
        <f>IF(I5="NIHIL","NIHIL",H5*I5)</f>
        <v>35871764.597843014</v>
      </c>
    </row>
    <row r="6" spans="1:10" ht="17.25" thickBot="1">
      <c r="A6" s="6"/>
      <c r="B6" s="29" t="s">
        <v>3</v>
      </c>
      <c r="C6" s="8"/>
      <c r="D6" s="8"/>
      <c r="E6" s="22">
        <v>200000000</v>
      </c>
      <c r="F6" s="6"/>
      <c r="G6" s="40"/>
      <c r="H6" s="12">
        <f>IF(AND(Penjualan&lt;='Data Umum'!$L$5,Penjualan&gt;'Data Umum'!$K$5),22%,"")</f>
        <v>0.22</v>
      </c>
      <c r="I6" s="42">
        <f>IF(AND(Penjualan&lt;='Data Umum'!$L$5,Penjualan&gt;'Data Umum'!$K$5),PKPBadBuk-(4800000000/Penjualan*PKPBadBuk),"")</f>
        <v>74794049.110518038</v>
      </c>
      <c r="J6" s="27"/>
    </row>
    <row r="7" spans="1:10" ht="16.5">
      <c r="A7" s="6"/>
      <c r="B7" s="35" t="s">
        <v>4</v>
      </c>
      <c r="C7" s="36"/>
      <c r="D7" s="36"/>
      <c r="E7" s="27">
        <f>E5-E6</f>
        <v>200900900</v>
      </c>
      <c r="F7" s="6"/>
      <c r="G7" s="28" t="s">
        <v>8</v>
      </c>
      <c r="H7" s="36"/>
      <c r="I7" s="36"/>
      <c r="J7" s="27"/>
    </row>
    <row r="8" spans="1:10" ht="17.25" thickBot="1">
      <c r="A8" s="6"/>
      <c r="B8" s="35" t="s">
        <v>32</v>
      </c>
      <c r="C8" s="36"/>
      <c r="D8" s="36"/>
      <c r="E8" s="22">
        <v>200000000</v>
      </c>
      <c r="F8" s="6"/>
      <c r="G8" s="120" t="s">
        <v>9</v>
      </c>
      <c r="H8" s="121"/>
      <c r="I8" s="5">
        <f>D16</f>
        <v>75000000</v>
      </c>
      <c r="J8" s="27"/>
    </row>
    <row r="9" spans="1:10" ht="16.5">
      <c r="A9" s="6"/>
      <c r="B9" s="23" t="s">
        <v>31</v>
      </c>
      <c r="C9" s="10"/>
      <c r="D9" s="10"/>
      <c r="E9" s="45">
        <f>MROUND(E7+E8,1000)</f>
        <v>400901000</v>
      </c>
      <c r="F9" s="6"/>
      <c r="G9" s="120" t="s">
        <v>10</v>
      </c>
      <c r="H9" s="121"/>
      <c r="I9" s="5">
        <f>D17</f>
        <v>4000000</v>
      </c>
      <c r="J9" s="27"/>
    </row>
    <row r="10" spans="1:10" ht="17.25" thickBot="1">
      <c r="A10" s="6"/>
      <c r="B10" s="29"/>
      <c r="C10" s="8"/>
      <c r="D10" s="8"/>
      <c r="E10" s="27"/>
      <c r="F10" s="6"/>
      <c r="G10" s="120" t="s">
        <v>26</v>
      </c>
      <c r="H10" s="121"/>
      <c r="I10" s="11">
        <f>D19</f>
        <v>0</v>
      </c>
      <c r="J10" s="27"/>
    </row>
    <row r="11" spans="1:10" ht="17.25" thickBot="1">
      <c r="A11" s="6"/>
      <c r="B11" s="40" t="s">
        <v>7</v>
      </c>
      <c r="C11" s="12">
        <f>IF(Penjualan &lt;= 'Data Umum'!$L$4,11%,IF(Penjualan&lt;='Data Umum'!$L$5,11%,22%))</f>
        <v>0.11</v>
      </c>
      <c r="D11" s="42">
        <f>IF(PKPBadBuk&gt;0,IF(Penjualan &lt;= 'Data Umum'!$L$4,PKPBadBuk,IF(Penjualan&lt;='Data Umum'!$L$5,(4800000000/Penjualan*PKPBadBuk),PKPBadBuk)),"NIHIL")</f>
        <v>326106950.88948196</v>
      </c>
      <c r="E11" s="47">
        <f>IF(D11="NIHIL","NIHIL",C11*D11)</f>
        <v>35871764.597843014</v>
      </c>
      <c r="F11" s="4"/>
      <c r="G11" s="114"/>
      <c r="H11" s="115"/>
      <c r="I11" s="34"/>
      <c r="J11" s="30">
        <f>SUM(I8:I10)</f>
        <v>79000000</v>
      </c>
    </row>
    <row r="12" spans="1:10" ht="18" thickTop="1" thickBot="1">
      <c r="A12" s="6"/>
      <c r="B12" s="40"/>
      <c r="C12" s="12">
        <f>IF(AND(Penjualan&lt;='Data Umum'!$L$5,Penjualan&gt;'Data Umum'!$K$5),22%,"")</f>
        <v>0.22</v>
      </c>
      <c r="D12" s="42">
        <f>IF(AND(Penjualan&lt;='Data Umum'!$L$5,Penjualan&gt;'Data Umum'!$K$5),PKPBadBuk-(4800000000/Penjualan*PKPBadBuk),"")</f>
        <v>74794049.110518038</v>
      </c>
      <c r="E12" s="26">
        <f>IF(AND(Penjualan&lt;='Data Umum'!$L$5,Penjualan&gt;'Data Umum'!$K$5),C12*D12,0)</f>
        <v>16454690.804313969</v>
      </c>
      <c r="F12" s="44"/>
      <c r="G12" s="120" t="s">
        <v>11</v>
      </c>
      <c r="H12" s="121"/>
      <c r="I12" s="36"/>
      <c r="J12" s="64">
        <f>J5-J11</f>
        <v>-43128235.402156986</v>
      </c>
    </row>
    <row r="13" spans="1:10" ht="17.25" thickBot="1">
      <c r="A13" s="6"/>
      <c r="B13" s="40"/>
      <c r="C13" s="41"/>
      <c r="D13" s="13"/>
      <c r="E13" s="46">
        <f>IF(E11="NIHIL","NIHIL",E11+E12)</f>
        <v>52326455.402156979</v>
      </c>
      <c r="F13" s="4"/>
      <c r="G13" s="122" t="s">
        <v>37</v>
      </c>
      <c r="H13" s="123"/>
      <c r="I13" s="65"/>
      <c r="J13" s="66">
        <f>J12/12</f>
        <v>-3594019.6168464157</v>
      </c>
    </row>
    <row r="14" spans="1:10" ht="16.5">
      <c r="A14" s="6"/>
      <c r="B14" s="40"/>
      <c r="C14" s="13"/>
      <c r="D14" s="13"/>
      <c r="E14" s="43"/>
      <c r="F14" s="4"/>
    </row>
    <row r="15" spans="1:10" ht="16.5">
      <c r="B15" s="28" t="s">
        <v>8</v>
      </c>
      <c r="C15" s="8"/>
      <c r="D15" s="8"/>
      <c r="E15" s="27"/>
    </row>
    <row r="16" spans="1:10" ht="16.5">
      <c r="A16" s="6"/>
      <c r="B16" s="120" t="s">
        <v>9</v>
      </c>
      <c r="C16" s="121"/>
      <c r="D16" s="5">
        <v>75000000</v>
      </c>
      <c r="E16" s="27"/>
    </row>
    <row r="17" spans="1:6" ht="16.5">
      <c r="A17" s="6"/>
      <c r="B17" s="120" t="s">
        <v>10</v>
      </c>
      <c r="C17" s="121"/>
      <c r="D17" s="5">
        <v>4000000</v>
      </c>
      <c r="E17" s="27"/>
    </row>
    <row r="18" spans="1:6" ht="16.5">
      <c r="B18" s="120" t="s">
        <v>11</v>
      </c>
      <c r="C18" s="121"/>
      <c r="D18" s="5">
        <v>150000000</v>
      </c>
      <c r="E18" s="27"/>
    </row>
    <row r="19" spans="1:6" ht="17.25" thickBot="1">
      <c r="B19" s="120" t="s">
        <v>26</v>
      </c>
      <c r="C19" s="121"/>
      <c r="D19" s="11">
        <v>0</v>
      </c>
      <c r="E19" s="27"/>
    </row>
    <row r="20" spans="1:6" ht="17.25" thickBot="1">
      <c r="B20" s="114"/>
      <c r="C20" s="115"/>
      <c r="D20" s="9"/>
      <c r="E20" s="30">
        <f>SUM(D16:D19)</f>
        <v>229000000</v>
      </c>
    </row>
    <row r="21" spans="1:6" ht="18" thickTop="1" thickBot="1">
      <c r="B21" s="116" t="s">
        <v>27</v>
      </c>
      <c r="C21" s="117"/>
      <c r="D21" s="31" t="str">
        <f>IF(E21&gt;=1,"Kurang Bayar",IF(E21="NIHIL","","Lebih Bayar"))</f>
        <v>Lebih Bayar</v>
      </c>
      <c r="E21" s="48">
        <f>IFERROR(E13-E20,-E20)</f>
        <v>-176673544.59784302</v>
      </c>
      <c r="F21" s="6"/>
    </row>
    <row r="22" spans="1:6">
      <c r="D22" s="6"/>
      <c r="E22" s="6"/>
    </row>
    <row r="23" spans="1:6">
      <c r="D23" s="6"/>
    </row>
  </sheetData>
  <mergeCells count="14">
    <mergeCell ref="B1:E2"/>
    <mergeCell ref="G1:J2"/>
    <mergeCell ref="B21:C21"/>
    <mergeCell ref="B16:C16"/>
    <mergeCell ref="B17:C17"/>
    <mergeCell ref="B18:C18"/>
    <mergeCell ref="B19:C19"/>
    <mergeCell ref="B20:C20"/>
    <mergeCell ref="G13:H13"/>
    <mergeCell ref="G12:H12"/>
    <mergeCell ref="G8:H8"/>
    <mergeCell ref="G9:H9"/>
    <mergeCell ref="G10:H10"/>
    <mergeCell ref="G11:H11"/>
  </mergeCells>
  <conditionalFormatting sqref="E20">
    <cfRule type="expression" dxfId="8" priority="11">
      <formula>$E$9&gt;5000000000</formula>
    </cfRule>
  </conditionalFormatting>
  <conditionalFormatting sqref="E21">
    <cfRule type="expression" dxfId="7" priority="10">
      <formula>$E$9&gt;5000000000</formula>
    </cfRule>
  </conditionalFormatting>
  <conditionalFormatting sqref="E11:E12">
    <cfRule type="expression" dxfId="6" priority="9">
      <formula>$C$11="fasilitas"</formula>
    </cfRule>
  </conditionalFormatting>
  <conditionalFormatting sqref="C14:E14 D13:E13">
    <cfRule type="expression" dxfId="5" priority="8">
      <formula>$E$9&gt;60000000</formula>
    </cfRule>
  </conditionalFormatting>
  <conditionalFormatting sqref="E12">
    <cfRule type="expression" dxfId="4" priority="6">
      <formula>$C$12=""</formula>
    </cfRule>
  </conditionalFormatting>
  <conditionalFormatting sqref="J5">
    <cfRule type="expression" dxfId="3" priority="5">
      <formula>$C$11="fasilitas"</formula>
    </cfRule>
  </conditionalFormatting>
  <conditionalFormatting sqref="J11">
    <cfRule type="expression" dxfId="2" priority="3">
      <formula>$E$9&gt;5000000000</formula>
    </cfRule>
  </conditionalFormatting>
  <conditionalFormatting sqref="J13">
    <cfRule type="expression" dxfId="1" priority="2">
      <formula>$E$9&gt;5000000000</formula>
    </cfRule>
  </conditionalFormatting>
  <conditionalFormatting sqref="J12">
    <cfRule type="expression" dxfId="0" priority="1">
      <formula>$E$9&gt;5000000000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2A491-2CE6-43B9-B8F6-6D045DD80A67}">
  <sheetPr codeName="Sheet3"/>
  <dimension ref="B2:S29"/>
  <sheetViews>
    <sheetView showGridLines="0" workbookViewId="0">
      <selection activeCell="P13" sqref="P13"/>
    </sheetView>
  </sheetViews>
  <sheetFormatPr defaultRowHeight="15"/>
  <cols>
    <col min="2" max="2" width="11.28515625" customWidth="1"/>
    <col min="3" max="4" width="19.7109375" customWidth="1"/>
    <col min="6" max="6" width="14.140625" customWidth="1"/>
    <col min="7" max="8" width="14.28515625" bestFit="1" customWidth="1"/>
    <col min="11" max="11" width="15.85546875" customWidth="1"/>
    <col min="12" max="12" width="16.7109375" customWidth="1"/>
    <col min="14" max="14" width="10.28515625" customWidth="1"/>
    <col min="15" max="15" width="9.7109375" bestFit="1" customWidth="1"/>
    <col min="16" max="16" width="28.5703125" bestFit="1" customWidth="1"/>
  </cols>
  <sheetData>
    <row r="2" spans="2:19" ht="32.25" customHeight="1">
      <c r="B2" s="124" t="s">
        <v>40</v>
      </c>
      <c r="C2" s="124"/>
      <c r="D2" s="83" t="s">
        <v>76</v>
      </c>
      <c r="F2" s="124" t="s">
        <v>39</v>
      </c>
      <c r="G2" s="124"/>
      <c r="H2" s="124"/>
      <c r="I2" s="124"/>
      <c r="K2" s="124" t="s">
        <v>38</v>
      </c>
      <c r="L2" s="124"/>
      <c r="M2" s="124"/>
      <c r="N2" s="71"/>
      <c r="O2" s="124" t="s">
        <v>51</v>
      </c>
      <c r="P2" s="124"/>
      <c r="Q2" s="124"/>
      <c r="S2" s="141"/>
    </row>
    <row r="3" spans="2:19" ht="15.75" thickBot="1">
      <c r="B3" s="3" t="s">
        <v>13</v>
      </c>
      <c r="C3" s="3" t="s">
        <v>12</v>
      </c>
      <c r="D3" s="3" t="s">
        <v>74</v>
      </c>
      <c r="F3" s="3" t="s">
        <v>23</v>
      </c>
      <c r="G3" s="3" t="s">
        <v>24</v>
      </c>
      <c r="H3" s="3" t="s">
        <v>25</v>
      </c>
      <c r="I3" s="3" t="s">
        <v>22</v>
      </c>
      <c r="K3" s="39" t="s">
        <v>23</v>
      </c>
      <c r="L3" s="39" t="s">
        <v>24</v>
      </c>
      <c r="M3" s="39" t="s">
        <v>22</v>
      </c>
      <c r="O3" s="3" t="s">
        <v>41</v>
      </c>
      <c r="P3" s="3" t="s">
        <v>43</v>
      </c>
      <c r="Q3" s="3" t="s">
        <v>12</v>
      </c>
    </row>
    <row r="4" spans="2:19">
      <c r="B4" t="s">
        <v>14</v>
      </c>
      <c r="C4" s="2">
        <v>54000000</v>
      </c>
      <c r="D4" s="111" t="s">
        <v>75</v>
      </c>
      <c r="F4" s="2"/>
      <c r="G4" s="2">
        <v>60000000</v>
      </c>
      <c r="H4" s="2">
        <v>60000000</v>
      </c>
      <c r="I4" s="1">
        <v>0.05</v>
      </c>
      <c r="K4" s="2"/>
      <c r="L4" s="2">
        <v>4800000000</v>
      </c>
      <c r="M4" s="38">
        <v>0.11</v>
      </c>
      <c r="O4" t="s">
        <v>42</v>
      </c>
      <c r="P4" t="s">
        <v>48</v>
      </c>
      <c r="Q4" s="1">
        <v>0.47</v>
      </c>
    </row>
    <row r="5" spans="2:19">
      <c r="B5" t="s">
        <v>15</v>
      </c>
      <c r="C5" s="2">
        <v>58500000</v>
      </c>
      <c r="D5" s="111" t="s">
        <v>75</v>
      </c>
      <c r="F5" s="2">
        <v>60000000</v>
      </c>
      <c r="G5" s="2">
        <v>250000000</v>
      </c>
      <c r="H5" s="2">
        <f>tabelPPhOP[[#This Row],[Batas Atas]]-G4</f>
        <v>190000000</v>
      </c>
      <c r="I5" s="1">
        <v>0.15</v>
      </c>
      <c r="K5" s="2">
        <v>4800000000</v>
      </c>
      <c r="L5" s="2">
        <v>50000000000</v>
      </c>
      <c r="M5" s="38">
        <v>0.11</v>
      </c>
      <c r="O5" t="s">
        <v>42</v>
      </c>
      <c r="P5" t="s">
        <v>45</v>
      </c>
      <c r="Q5" s="1">
        <v>0.45</v>
      </c>
    </row>
    <row r="6" spans="2:19">
      <c r="B6" t="s">
        <v>16</v>
      </c>
      <c r="C6" s="2">
        <v>63000000</v>
      </c>
      <c r="D6" s="111" t="s">
        <v>77</v>
      </c>
      <c r="F6" s="2">
        <v>250000000</v>
      </c>
      <c r="G6" s="2">
        <v>500000000</v>
      </c>
      <c r="H6" s="2">
        <f>tabelPPhOP[[#This Row],[Batas Atas]]-G5</f>
        <v>250000000</v>
      </c>
      <c r="I6" s="1">
        <v>0.25</v>
      </c>
      <c r="K6" s="2">
        <v>4800000000</v>
      </c>
      <c r="L6" s="2">
        <v>50000000000</v>
      </c>
      <c r="M6" s="1">
        <v>0.22</v>
      </c>
      <c r="O6" t="s">
        <v>42</v>
      </c>
      <c r="P6" t="s">
        <v>44</v>
      </c>
      <c r="Q6" s="1">
        <v>0.55000000000000004</v>
      </c>
    </row>
    <row r="7" spans="2:19">
      <c r="B7" t="s">
        <v>17</v>
      </c>
      <c r="C7" s="2">
        <v>67500000</v>
      </c>
      <c r="D7" s="111" t="s">
        <v>77</v>
      </c>
      <c r="F7" s="2">
        <v>500000000</v>
      </c>
      <c r="G7" s="2">
        <v>5000000000</v>
      </c>
      <c r="H7" s="2">
        <f>tabelPPhOP[[#This Row],[Batas Atas]]-G6</f>
        <v>4500000000</v>
      </c>
      <c r="I7" s="1">
        <v>0.3</v>
      </c>
      <c r="K7" s="2">
        <v>50000000000</v>
      </c>
      <c r="L7" s="2"/>
      <c r="M7" s="1">
        <v>0.22</v>
      </c>
      <c r="O7" t="s">
        <v>42</v>
      </c>
      <c r="P7" t="s">
        <v>46</v>
      </c>
      <c r="Q7" s="1">
        <v>0.55000000000000004</v>
      </c>
    </row>
    <row r="8" spans="2:19">
      <c r="B8" t="s">
        <v>18</v>
      </c>
      <c r="C8" s="2">
        <v>58500000</v>
      </c>
      <c r="D8" s="111" t="s">
        <v>75</v>
      </c>
      <c r="F8" s="2">
        <v>5000000000</v>
      </c>
      <c r="G8" s="2"/>
      <c r="H8" s="2"/>
      <c r="I8" s="1">
        <v>0.35</v>
      </c>
      <c r="O8" t="s">
        <v>42</v>
      </c>
      <c r="P8" t="s">
        <v>49</v>
      </c>
      <c r="Q8" s="1">
        <v>0.28999999999999998</v>
      </c>
    </row>
    <row r="9" spans="2:19">
      <c r="B9" t="s">
        <v>19</v>
      </c>
      <c r="C9" s="2">
        <v>63000000</v>
      </c>
      <c r="D9" s="111" t="s">
        <v>77</v>
      </c>
      <c r="O9" t="s">
        <v>42</v>
      </c>
      <c r="P9" t="s">
        <v>50</v>
      </c>
      <c r="Q9" s="1">
        <v>0.35</v>
      </c>
    </row>
    <row r="10" spans="2:19">
      <c r="B10" t="s">
        <v>20</v>
      </c>
      <c r="C10" s="2">
        <v>67500000</v>
      </c>
      <c r="D10" s="111" t="s">
        <v>77</v>
      </c>
      <c r="O10" t="s">
        <v>42</v>
      </c>
      <c r="P10" t="s">
        <v>47</v>
      </c>
      <c r="Q10" s="1">
        <v>0.25</v>
      </c>
    </row>
    <row r="11" spans="2:19">
      <c r="B11" t="s">
        <v>21</v>
      </c>
      <c r="C11" s="2">
        <v>72000000</v>
      </c>
      <c r="D11" s="111" t="s">
        <v>78</v>
      </c>
    </row>
    <row r="12" spans="2:19">
      <c r="B12" t="s">
        <v>28</v>
      </c>
      <c r="C12" s="2">
        <f>C9+$C$4</f>
        <v>117000000</v>
      </c>
      <c r="D12" s="111" t="e">
        <v>#N/A</v>
      </c>
    </row>
    <row r="13" spans="2:19">
      <c r="B13" t="s">
        <v>29</v>
      </c>
      <c r="C13" s="2">
        <f t="shared" ref="C13:C14" si="0">C10+$C$4</f>
        <v>121500000</v>
      </c>
      <c r="D13" s="111" t="e">
        <v>#N/A</v>
      </c>
    </row>
    <row r="14" spans="2:19">
      <c r="B14" t="s">
        <v>30</v>
      </c>
      <c r="C14" s="2">
        <f t="shared" si="0"/>
        <v>126000000</v>
      </c>
      <c r="D14" s="111" t="e">
        <v>#N/A</v>
      </c>
    </row>
    <row r="17" spans="2:2">
      <c r="B17" s="165" t="s">
        <v>89</v>
      </c>
    </row>
    <row r="18" spans="2:2">
      <c r="B18" s="162">
        <v>1</v>
      </c>
    </row>
    <row r="19" spans="2:2">
      <c r="B19" s="163">
        <v>2</v>
      </c>
    </row>
    <row r="20" spans="2:2">
      <c r="B20" s="164">
        <v>3</v>
      </c>
    </row>
    <row r="21" spans="2:2">
      <c r="B21" s="162">
        <v>4</v>
      </c>
    </row>
    <row r="22" spans="2:2">
      <c r="B22" s="162">
        <v>5</v>
      </c>
    </row>
    <row r="23" spans="2:2">
      <c r="B23" s="162">
        <v>6</v>
      </c>
    </row>
    <row r="24" spans="2:2">
      <c r="B24" s="162">
        <v>7</v>
      </c>
    </row>
    <row r="25" spans="2:2">
      <c r="B25" s="162">
        <v>8</v>
      </c>
    </row>
    <row r="26" spans="2:2">
      <c r="B26" s="162">
        <v>9</v>
      </c>
    </row>
    <row r="27" spans="2:2">
      <c r="B27" s="162">
        <v>10</v>
      </c>
    </row>
    <row r="28" spans="2:2">
      <c r="B28" s="162">
        <v>11</v>
      </c>
    </row>
    <row r="29" spans="2:2">
      <c r="B29" s="163">
        <v>12</v>
      </c>
    </row>
  </sheetData>
  <mergeCells count="4">
    <mergeCell ref="B2:C2"/>
    <mergeCell ref="F2:I2"/>
    <mergeCell ref="K2:M2"/>
    <mergeCell ref="O2:Q2"/>
  </mergeCells>
  <phoneticPr fontId="2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D425-0D25-4491-8859-E509BD915555}">
  <sheetPr codeName="Sheet7"/>
  <dimension ref="B1:O47"/>
  <sheetViews>
    <sheetView showGridLines="0" topLeftCell="C1" workbookViewId="0">
      <selection activeCell="N1" sqref="N1"/>
    </sheetView>
  </sheetViews>
  <sheetFormatPr defaultRowHeight="15"/>
  <cols>
    <col min="2" max="2" width="10" hidden="1" customWidth="1"/>
    <col min="3" max="4" width="19.28515625" bestFit="1" customWidth="1"/>
    <col min="5" max="5" width="15.140625" bestFit="1" customWidth="1"/>
    <col min="6" max="6" width="7.85546875" customWidth="1"/>
    <col min="7" max="7" width="10" hidden="1" customWidth="1"/>
    <col min="8" max="9" width="19.28515625" bestFit="1" customWidth="1"/>
    <col min="10" max="10" width="13" customWidth="1"/>
    <col min="11" max="11" width="10" bestFit="1" customWidth="1"/>
    <col min="12" max="12" width="10" hidden="1" customWidth="1"/>
    <col min="13" max="14" width="19.28515625" bestFit="1" customWidth="1"/>
    <col min="15" max="15" width="13.42578125" customWidth="1"/>
    <col min="16" max="16" width="10.42578125" bestFit="1" customWidth="1"/>
  </cols>
  <sheetData>
    <row r="1" spans="2:15">
      <c r="C1" s="131" t="s">
        <v>82</v>
      </c>
      <c r="E1" s="106" t="s">
        <v>79</v>
      </c>
      <c r="H1" s="131" t="s">
        <v>83</v>
      </c>
      <c r="J1" s="106" t="s">
        <v>80</v>
      </c>
      <c r="M1" s="131" t="s">
        <v>84</v>
      </c>
      <c r="O1" s="106" t="s">
        <v>81</v>
      </c>
    </row>
    <row r="2" spans="2:15" ht="15" customHeight="1">
      <c r="C2" s="125" t="s">
        <v>72</v>
      </c>
      <c r="D2" s="125"/>
      <c r="H2" s="125" t="s">
        <v>72</v>
      </c>
      <c r="I2" s="125"/>
      <c r="J2" s="108"/>
      <c r="K2" s="108"/>
      <c r="L2" s="108"/>
      <c r="M2" s="125" t="s">
        <v>72</v>
      </c>
      <c r="N2" s="125"/>
    </row>
    <row r="3" spans="2:15" ht="15.75" thickBot="1">
      <c r="B3" s="132" t="s">
        <v>85</v>
      </c>
      <c r="C3" s="3" t="s">
        <v>23</v>
      </c>
      <c r="D3" s="3" t="s">
        <v>24</v>
      </c>
      <c r="E3" s="107" t="s">
        <v>73</v>
      </c>
      <c r="G3" s="132" t="s">
        <v>85</v>
      </c>
      <c r="H3" s="3" t="s">
        <v>23</v>
      </c>
      <c r="I3" s="3" t="s">
        <v>24</v>
      </c>
      <c r="J3" s="107" t="s">
        <v>73</v>
      </c>
      <c r="L3" s="130" t="s">
        <v>86</v>
      </c>
      <c r="M3" s="3" t="s">
        <v>23</v>
      </c>
      <c r="N3" s="3" t="s">
        <v>24</v>
      </c>
      <c r="O3" s="107" t="s">
        <v>73</v>
      </c>
    </row>
    <row r="4" spans="2:15">
      <c r="B4" s="128">
        <f>IF(AND('PPh 21 TER'!$E$4 &gt; tabelA[[#This Row],[Batas Bawah]], 'PPh 21 TER'!$E$4 &lt;= tabelA[[#This Row],[Batas Atas]]), 1, 0)</f>
        <v>0</v>
      </c>
      <c r="C4" s="105"/>
      <c r="D4" s="105">
        <v>5400000</v>
      </c>
      <c r="E4" s="103">
        <v>0</v>
      </c>
      <c r="G4" s="128">
        <f>IF(AND('PPh 21 TER'!$E$4 &gt; tabelB[[#This Row],[Batas Bawah]], 'PPh 21 TER'!$E$4 &lt;= tabelB[[#This Row],[Batas Atas]]), 1, 0)</f>
        <v>0</v>
      </c>
      <c r="H4" s="105"/>
      <c r="I4" s="105">
        <v>6200000</v>
      </c>
      <c r="J4" s="103">
        <v>0</v>
      </c>
      <c r="L4" s="128">
        <f>IF(AND('PPh 21 TER'!$E$4 &gt; tabelC[[#This Row],[Batas Bawah]], 'PPh 21 TER'!$E$4 &lt;= tabelC[[#This Row],[Batas Atas]]), 1, 0)</f>
        <v>0</v>
      </c>
      <c r="M4" s="105"/>
      <c r="N4" s="105">
        <v>6600000</v>
      </c>
      <c r="O4" s="103">
        <v>0</v>
      </c>
    </row>
    <row r="5" spans="2:15">
      <c r="B5" s="129">
        <f>IF(AND('PPh 21 TER'!$E$4 &gt; tabelA[[#This Row],[Batas Bawah]], 'PPh 21 TER'!$E$4 &lt;= tabelA[[#This Row],[Batas Atas]]), 1, 0)</f>
        <v>0</v>
      </c>
      <c r="C5" s="105">
        <v>5400000</v>
      </c>
      <c r="D5" s="105">
        <v>5650000</v>
      </c>
      <c r="E5" s="103">
        <v>2.5000000000000001E-3</v>
      </c>
      <c r="G5" s="129">
        <f>IF(AND('PPh 21 TER'!$E$4 &gt; tabelB[[#This Row],[Batas Bawah]], 'PPh 21 TER'!$E$4 &lt;= tabelB[[#This Row],[Batas Atas]]), 1, 0)</f>
        <v>0</v>
      </c>
      <c r="H5" s="105">
        <v>6200000</v>
      </c>
      <c r="I5" s="105">
        <v>6500000</v>
      </c>
      <c r="J5" s="103">
        <v>2.5000000000000001E-3</v>
      </c>
      <c r="L5" s="129">
        <f>IF(AND('PPh 21 TER'!$E$4 &gt; tabelC[[#This Row],[Batas Bawah]], 'PPh 21 TER'!$E$4 &lt;= tabelC[[#This Row],[Batas Atas]]), 1, 0)</f>
        <v>0</v>
      </c>
      <c r="M5" s="105">
        <v>6600000</v>
      </c>
      <c r="N5" s="105">
        <v>6950000</v>
      </c>
      <c r="O5" s="103">
        <v>2.5000000000000001E-3</v>
      </c>
    </row>
    <row r="6" spans="2:15">
      <c r="B6" s="128">
        <f>IF(AND('PPh 21 TER'!$E$4 &gt; tabelA[[#This Row],[Batas Bawah]], 'PPh 21 TER'!$E$4 &lt;= tabelA[[#This Row],[Batas Atas]]), 1, 0)</f>
        <v>0</v>
      </c>
      <c r="C6" s="105">
        <v>5650000</v>
      </c>
      <c r="D6" s="105">
        <v>5950000</v>
      </c>
      <c r="E6" s="103">
        <v>5.0000000000000001E-3</v>
      </c>
      <c r="G6" s="128">
        <f>IF(AND('PPh 21 TER'!$E$4 &gt; tabelB[[#This Row],[Batas Bawah]], 'PPh 21 TER'!$E$4 &lt;= tabelB[[#This Row],[Batas Atas]]), 1, 0)</f>
        <v>0</v>
      </c>
      <c r="H6" s="105">
        <v>6500000</v>
      </c>
      <c r="I6" s="105">
        <v>6850000</v>
      </c>
      <c r="J6" s="103">
        <v>5.0000000000000001E-3</v>
      </c>
      <c r="L6" s="128">
        <f>IF(AND('PPh 21 TER'!$E$4 &gt; tabelC[[#This Row],[Batas Bawah]], 'PPh 21 TER'!$E$4 &lt;= tabelC[[#This Row],[Batas Atas]]), 1, 0)</f>
        <v>0</v>
      </c>
      <c r="M6" s="105">
        <v>6950000</v>
      </c>
      <c r="N6" s="105">
        <v>7350000</v>
      </c>
      <c r="O6" s="103">
        <v>5.0000000000000001E-3</v>
      </c>
    </row>
    <row r="7" spans="2:15">
      <c r="B7" s="129">
        <f>IF(AND('PPh 21 TER'!$E$4 &gt; tabelA[[#This Row],[Batas Bawah]], 'PPh 21 TER'!$E$4 &lt;= tabelA[[#This Row],[Batas Atas]]), 1, 0)</f>
        <v>0</v>
      </c>
      <c r="C7" s="105">
        <v>5950000</v>
      </c>
      <c r="D7" s="105">
        <v>6300000</v>
      </c>
      <c r="E7" s="103"/>
      <c r="G7" s="129">
        <f>IF(AND('PPh 21 TER'!$E$4 &gt; tabelB[[#This Row],[Batas Bawah]], 'PPh 21 TER'!$E$4 &lt;= tabelB[[#This Row],[Batas Atas]]), 1, 0)</f>
        <v>0</v>
      </c>
      <c r="H7" s="105">
        <v>6850000</v>
      </c>
      <c r="I7" s="105">
        <v>7300000</v>
      </c>
      <c r="J7" s="103">
        <v>7.4999999999999997E-3</v>
      </c>
      <c r="L7" s="129">
        <f>IF(AND('PPh 21 TER'!$E$4 &gt; tabelC[[#This Row],[Batas Bawah]], 'PPh 21 TER'!$E$4 &lt;= tabelC[[#This Row],[Batas Atas]]), 1, 0)</f>
        <v>0</v>
      </c>
      <c r="M7" s="105">
        <v>7350000</v>
      </c>
      <c r="N7" s="105">
        <v>7800000</v>
      </c>
      <c r="O7" s="103">
        <v>7.4999999999999997E-3</v>
      </c>
    </row>
    <row r="8" spans="2:15">
      <c r="B8" s="128">
        <f>IF(AND('PPh 21 TER'!$E$4 &gt; tabelA[[#This Row],[Batas Bawah]], 'PPh 21 TER'!$E$4 &lt;= tabelA[[#This Row],[Batas Atas]]), 1, 0)</f>
        <v>0</v>
      </c>
      <c r="C8" s="105">
        <v>6300000</v>
      </c>
      <c r="D8" s="105">
        <v>6750000</v>
      </c>
      <c r="E8" s="103">
        <v>0.01</v>
      </c>
      <c r="G8" s="128">
        <f>IF(AND('PPh 21 TER'!$E$4 &gt; tabelB[[#This Row],[Batas Bawah]], 'PPh 21 TER'!$E$4 &lt;= tabelB[[#This Row],[Batas Atas]]), 1, 0)</f>
        <v>0</v>
      </c>
      <c r="H8" s="105">
        <v>7300000</v>
      </c>
      <c r="I8" s="105">
        <v>9200000</v>
      </c>
      <c r="J8" s="103">
        <v>0.01</v>
      </c>
      <c r="L8" s="128">
        <f>IF(AND('PPh 21 TER'!$E$4 &gt; tabelC[[#This Row],[Batas Bawah]], 'PPh 21 TER'!$E$4 &lt;= tabelC[[#This Row],[Batas Atas]]), 1, 0)</f>
        <v>0</v>
      </c>
      <c r="M8" s="105">
        <v>7800000</v>
      </c>
      <c r="N8" s="105">
        <v>8850000</v>
      </c>
      <c r="O8" s="103">
        <v>0.01</v>
      </c>
    </row>
    <row r="9" spans="2:15">
      <c r="B9" s="129">
        <f>IF(AND('PPh 21 TER'!$E$4 &gt; tabelA[[#This Row],[Batas Bawah]], 'PPh 21 TER'!$E$4 &lt;= tabelA[[#This Row],[Batas Atas]]), 1, 0)</f>
        <v>0</v>
      </c>
      <c r="C9" s="105">
        <v>6750000</v>
      </c>
      <c r="D9" s="105">
        <v>7500000</v>
      </c>
      <c r="E9" s="103">
        <v>1.2500000000000001E-2</v>
      </c>
      <c r="G9" s="129">
        <f>IF(AND('PPh 21 TER'!$E$4 &gt; tabelB[[#This Row],[Batas Bawah]], 'PPh 21 TER'!$E$4 &lt;= tabelB[[#This Row],[Batas Atas]]), 1, 0)</f>
        <v>1</v>
      </c>
      <c r="H9" s="105">
        <v>9200000</v>
      </c>
      <c r="I9" s="105">
        <v>10750000</v>
      </c>
      <c r="J9" s="103">
        <v>1.4999999999999999E-2</v>
      </c>
      <c r="L9" s="129">
        <f>IF(AND('PPh 21 TER'!$E$4 &gt; tabelC[[#This Row],[Batas Bawah]], 'PPh 21 TER'!$E$4 &lt;= tabelC[[#This Row],[Batas Atas]]), 1, 0)</f>
        <v>0</v>
      </c>
      <c r="M9" s="105">
        <v>8850000</v>
      </c>
      <c r="N9" s="105">
        <v>9800000</v>
      </c>
      <c r="O9" s="103">
        <v>1.2500000000000001E-2</v>
      </c>
    </row>
    <row r="10" spans="2:15">
      <c r="B10" s="128">
        <f>IF(AND('PPh 21 TER'!$E$4 &gt; tabelA[[#This Row],[Batas Bawah]], 'PPh 21 TER'!$E$4 &lt;= tabelA[[#This Row],[Batas Atas]]), 1, 0)</f>
        <v>0</v>
      </c>
      <c r="C10" s="105">
        <v>7500000</v>
      </c>
      <c r="D10" s="105">
        <v>8550000</v>
      </c>
      <c r="E10" s="103">
        <v>1.5000000000000001E-2</v>
      </c>
      <c r="G10" s="128">
        <f>IF(AND('PPh 21 TER'!$E$4 &gt; tabelB[[#This Row],[Batas Bawah]], 'PPh 21 TER'!$E$4 &lt;= tabelB[[#This Row],[Batas Atas]]), 1, 0)</f>
        <v>0</v>
      </c>
      <c r="H10" s="105">
        <v>10750000</v>
      </c>
      <c r="I10" s="105">
        <v>11250000</v>
      </c>
      <c r="J10" s="103">
        <v>0.02</v>
      </c>
      <c r="L10" s="128">
        <f>IF(AND('PPh 21 TER'!$E$4 &gt; tabelC[[#This Row],[Batas Bawah]], 'PPh 21 TER'!$E$4 &lt;= tabelC[[#This Row],[Batas Atas]]), 1, 0)</f>
        <v>1</v>
      </c>
      <c r="M10" s="105">
        <v>9800000</v>
      </c>
      <c r="N10" s="105">
        <v>10950000</v>
      </c>
      <c r="O10" s="103">
        <v>1.4999999999999999E-2</v>
      </c>
    </row>
    <row r="11" spans="2:15">
      <c r="B11" s="129">
        <f>IF(AND('PPh 21 TER'!$E$4 &gt; tabelA[[#This Row],[Batas Bawah]], 'PPh 21 TER'!$E$4 &lt;= tabelA[[#This Row],[Batas Atas]]), 1, 0)</f>
        <v>0</v>
      </c>
      <c r="C11" s="105">
        <v>8550000</v>
      </c>
      <c r="D11" s="105">
        <v>9650000</v>
      </c>
      <c r="E11" s="103">
        <v>1.7500000000000002E-2</v>
      </c>
      <c r="G11" s="129">
        <f>IF(AND('PPh 21 TER'!$E$4 &gt; tabelB[[#This Row],[Batas Bawah]], 'PPh 21 TER'!$E$4 &lt;= tabelB[[#This Row],[Batas Atas]]), 1, 0)</f>
        <v>0</v>
      </c>
      <c r="H11" s="105">
        <v>11250000</v>
      </c>
      <c r="I11" s="105">
        <v>11600000</v>
      </c>
      <c r="J11" s="103">
        <v>2.5000000000000001E-2</v>
      </c>
      <c r="L11" s="129">
        <f>IF(AND('PPh 21 TER'!$E$4 &gt; tabelC[[#This Row],[Batas Bawah]], 'PPh 21 TER'!$E$4 &lt;= tabelC[[#This Row],[Batas Atas]]), 1, 0)</f>
        <v>0</v>
      </c>
      <c r="M11" s="105">
        <v>10950000</v>
      </c>
      <c r="N11" s="105">
        <v>11200000</v>
      </c>
      <c r="O11" s="103">
        <v>1.7500000000000002E-2</v>
      </c>
    </row>
    <row r="12" spans="2:15">
      <c r="B12" s="128">
        <f>IF(AND('PPh 21 TER'!$E$4 &gt; tabelA[[#This Row],[Batas Bawah]], 'PPh 21 TER'!$E$4 &lt;= tabelA[[#This Row],[Batas Atas]]), 1, 0)</f>
        <v>1</v>
      </c>
      <c r="C12" s="105">
        <v>9650000</v>
      </c>
      <c r="D12" s="105">
        <v>10050000</v>
      </c>
      <c r="E12" s="103">
        <v>0.02</v>
      </c>
      <c r="G12" s="128">
        <f>IF(AND('PPh 21 TER'!$E$4 &gt; tabelB[[#This Row],[Batas Bawah]], 'PPh 21 TER'!$E$4 &lt;= tabelB[[#This Row],[Batas Atas]]), 1, 0)</f>
        <v>0</v>
      </c>
      <c r="H12" s="105">
        <v>11600000</v>
      </c>
      <c r="I12" s="105">
        <v>12600000</v>
      </c>
      <c r="J12" s="103">
        <v>0.03</v>
      </c>
      <c r="L12" s="128">
        <f>IF(AND('PPh 21 TER'!$E$4 &gt; tabelC[[#This Row],[Batas Bawah]], 'PPh 21 TER'!$E$4 &lt;= tabelC[[#This Row],[Batas Atas]]), 1, 0)</f>
        <v>0</v>
      </c>
      <c r="M12" s="105">
        <v>11200000</v>
      </c>
      <c r="N12" s="105">
        <v>12050000</v>
      </c>
      <c r="O12" s="103">
        <v>0.02</v>
      </c>
    </row>
    <row r="13" spans="2:15">
      <c r="B13" s="129">
        <f>IF(AND('PPh 21 TER'!$E$4 &gt; tabelA[[#This Row],[Batas Bawah]], 'PPh 21 TER'!$E$4 &lt;= tabelA[[#This Row],[Batas Atas]]), 1, 0)</f>
        <v>0</v>
      </c>
      <c r="C13" s="105">
        <v>10050000</v>
      </c>
      <c r="D13" s="105">
        <v>10350000</v>
      </c>
      <c r="E13" s="103">
        <v>2.2499999999999999E-2</v>
      </c>
      <c r="G13" s="129">
        <f>IF(AND('PPh 21 TER'!$E$4 &gt; tabelB[[#This Row],[Batas Bawah]], 'PPh 21 TER'!$E$4 &lt;= tabelB[[#This Row],[Batas Atas]]), 1, 0)</f>
        <v>0</v>
      </c>
      <c r="H13" s="105">
        <v>12600000</v>
      </c>
      <c r="I13" s="105">
        <v>13600000</v>
      </c>
      <c r="J13" s="103">
        <v>0.04</v>
      </c>
      <c r="L13" s="129">
        <f>IF(AND('PPh 21 TER'!$E$4 &gt; tabelC[[#This Row],[Batas Bawah]], 'PPh 21 TER'!$E$4 &lt;= tabelC[[#This Row],[Batas Atas]]), 1, 0)</f>
        <v>0</v>
      </c>
      <c r="M13" s="105">
        <v>12050000</v>
      </c>
      <c r="N13" s="105">
        <v>12950000</v>
      </c>
      <c r="O13" s="103">
        <v>0.03</v>
      </c>
    </row>
    <row r="14" spans="2:15">
      <c r="B14" s="128">
        <f>IF(AND('PPh 21 TER'!$E$4 &gt; tabelA[[#This Row],[Batas Bawah]], 'PPh 21 TER'!$E$4 &lt;= tabelA[[#This Row],[Batas Atas]]), 1, 0)</f>
        <v>0</v>
      </c>
      <c r="C14" s="105">
        <v>10350000</v>
      </c>
      <c r="D14" s="105">
        <v>10700000</v>
      </c>
      <c r="E14" s="103">
        <v>2.4999999999999998E-2</v>
      </c>
      <c r="G14" s="128">
        <f>IF(AND('PPh 21 TER'!$E$4 &gt; tabelB[[#This Row],[Batas Bawah]], 'PPh 21 TER'!$E$4 &lt;= tabelB[[#This Row],[Batas Atas]]), 1, 0)</f>
        <v>0</v>
      </c>
      <c r="H14" s="105">
        <v>13600000</v>
      </c>
      <c r="I14" s="105">
        <v>14950000</v>
      </c>
      <c r="J14" s="103">
        <v>0.05</v>
      </c>
      <c r="L14" s="128">
        <f>IF(AND('PPh 21 TER'!$E$4 &gt; tabelC[[#This Row],[Batas Bawah]], 'PPh 21 TER'!$E$4 &lt;= tabelC[[#This Row],[Batas Atas]]), 1, 0)</f>
        <v>0</v>
      </c>
      <c r="M14" s="105">
        <v>12950000</v>
      </c>
      <c r="N14" s="105">
        <v>14150000</v>
      </c>
      <c r="O14" s="103">
        <v>0.04</v>
      </c>
    </row>
    <row r="15" spans="2:15">
      <c r="B15" s="129">
        <f>IF(AND('PPh 21 TER'!$E$4 &gt; tabelA[[#This Row],[Batas Bawah]], 'PPh 21 TER'!$E$4 &lt;= tabelA[[#This Row],[Batas Atas]]), 1, 0)</f>
        <v>0</v>
      </c>
      <c r="C15" s="105">
        <v>10700000</v>
      </c>
      <c r="D15" s="105">
        <v>11050000</v>
      </c>
      <c r="E15" s="103">
        <v>0.03</v>
      </c>
      <c r="G15" s="129">
        <f>IF(AND('PPh 21 TER'!$E$4 &gt; tabelB[[#This Row],[Batas Bawah]], 'PPh 21 TER'!$E$4 &lt;= tabelB[[#This Row],[Batas Atas]]), 1, 0)</f>
        <v>0</v>
      </c>
      <c r="H15" s="105">
        <v>14950000</v>
      </c>
      <c r="I15" s="105">
        <v>16400000</v>
      </c>
      <c r="J15" s="103">
        <v>0.06</v>
      </c>
      <c r="L15" s="129">
        <f>IF(AND('PPh 21 TER'!$E$4 &gt; tabelC[[#This Row],[Batas Bawah]], 'PPh 21 TER'!$E$4 &lt;= tabelC[[#This Row],[Batas Atas]]), 1, 0)</f>
        <v>0</v>
      </c>
      <c r="M15" s="105">
        <v>14150000</v>
      </c>
      <c r="N15" s="105">
        <v>15500000</v>
      </c>
      <c r="O15" s="103">
        <v>0.05</v>
      </c>
    </row>
    <row r="16" spans="2:15">
      <c r="B16" s="128">
        <f>IF(AND('PPh 21 TER'!$E$4 &gt; tabelA[[#This Row],[Batas Bawah]], 'PPh 21 TER'!$E$4 &lt;= tabelA[[#This Row],[Batas Atas]]), 1, 0)</f>
        <v>0</v>
      </c>
      <c r="C16" s="105">
        <v>11050000</v>
      </c>
      <c r="D16" s="105">
        <v>11600000</v>
      </c>
      <c r="E16" s="103">
        <v>3.5000000000000003E-2</v>
      </c>
      <c r="G16" s="128">
        <f>IF(AND('PPh 21 TER'!$E$4 &gt; tabelB[[#This Row],[Batas Bawah]], 'PPh 21 TER'!$E$4 &lt;= tabelB[[#This Row],[Batas Atas]]), 1, 0)</f>
        <v>0</v>
      </c>
      <c r="H16" s="105">
        <v>16400000</v>
      </c>
      <c r="I16" s="105">
        <v>18450000</v>
      </c>
      <c r="J16" s="103">
        <v>7.0000000000000007E-2</v>
      </c>
      <c r="L16" s="128">
        <f>IF(AND('PPh 21 TER'!$E$4 &gt; tabelC[[#This Row],[Batas Bawah]], 'PPh 21 TER'!$E$4 &lt;= tabelC[[#This Row],[Batas Atas]]), 1, 0)</f>
        <v>0</v>
      </c>
      <c r="M16" s="105">
        <v>15500000</v>
      </c>
      <c r="N16" s="105">
        <v>17050000</v>
      </c>
      <c r="O16" s="103">
        <v>0.06</v>
      </c>
    </row>
    <row r="17" spans="2:15">
      <c r="B17" s="129">
        <f>IF(AND('PPh 21 TER'!$E$4 &gt; tabelA[[#This Row],[Batas Bawah]], 'PPh 21 TER'!$E$4 &lt;= tabelA[[#This Row],[Batas Atas]]), 1, 0)</f>
        <v>0</v>
      </c>
      <c r="C17" s="105">
        <v>11600000</v>
      </c>
      <c r="D17" s="105">
        <v>12500000</v>
      </c>
      <c r="E17" s="103">
        <v>0.04</v>
      </c>
      <c r="G17" s="129">
        <f>IF(AND('PPh 21 TER'!$E$4 &gt; tabelB[[#This Row],[Batas Bawah]], 'PPh 21 TER'!$E$4 &lt;= tabelB[[#This Row],[Batas Atas]]), 1, 0)</f>
        <v>0</v>
      </c>
      <c r="H17" s="105">
        <v>18450000</v>
      </c>
      <c r="I17" s="105">
        <v>21850000</v>
      </c>
      <c r="J17" s="103">
        <v>0.08</v>
      </c>
      <c r="L17" s="129">
        <f>IF(AND('PPh 21 TER'!$E$4 &gt; tabelC[[#This Row],[Batas Bawah]], 'PPh 21 TER'!$E$4 &lt;= tabelC[[#This Row],[Batas Atas]]), 1, 0)</f>
        <v>0</v>
      </c>
      <c r="M17" s="105">
        <v>17050000</v>
      </c>
      <c r="N17" s="105">
        <v>19500000</v>
      </c>
      <c r="O17" s="103">
        <v>7.0000000000000007E-2</v>
      </c>
    </row>
    <row r="18" spans="2:15">
      <c r="B18" s="128">
        <f>IF(AND('PPh 21 TER'!$E$4 &gt; tabelA[[#This Row],[Batas Bawah]], 'PPh 21 TER'!$E$4 &lt;= tabelA[[#This Row],[Batas Atas]]), 1, 0)</f>
        <v>0</v>
      </c>
      <c r="C18" s="105">
        <v>12500000</v>
      </c>
      <c r="D18" s="105">
        <v>13750000</v>
      </c>
      <c r="E18" s="103">
        <v>0.05</v>
      </c>
      <c r="G18" s="128">
        <f>IF(AND('PPh 21 TER'!$E$4 &gt; tabelB[[#This Row],[Batas Bawah]], 'PPh 21 TER'!$E$4 &lt;= tabelB[[#This Row],[Batas Atas]]), 1, 0)</f>
        <v>0</v>
      </c>
      <c r="H18" s="105">
        <v>21850000</v>
      </c>
      <c r="I18" s="105">
        <v>26000000</v>
      </c>
      <c r="J18" s="103">
        <v>0.09</v>
      </c>
      <c r="L18" s="128">
        <f>IF(AND('PPh 21 TER'!$E$4 &gt; tabelC[[#This Row],[Batas Bawah]], 'PPh 21 TER'!$E$4 &lt;= tabelC[[#This Row],[Batas Atas]]), 1, 0)</f>
        <v>0</v>
      </c>
      <c r="M18" s="105">
        <v>19500000</v>
      </c>
      <c r="N18" s="105">
        <v>22700000</v>
      </c>
      <c r="O18" s="103">
        <v>0.08</v>
      </c>
    </row>
    <row r="19" spans="2:15">
      <c r="B19" s="129">
        <f>IF(AND('PPh 21 TER'!$E$4 &gt; tabelA[[#This Row],[Batas Bawah]], 'PPh 21 TER'!$E$4 &lt;= tabelA[[#This Row],[Batas Atas]]), 1, 0)</f>
        <v>0</v>
      </c>
      <c r="C19" s="105">
        <v>13750000</v>
      </c>
      <c r="D19" s="105">
        <v>15100000</v>
      </c>
      <c r="E19" s="103">
        <v>0.06</v>
      </c>
      <c r="G19" s="129">
        <f>IF(AND('PPh 21 TER'!$E$4 &gt; tabelB[[#This Row],[Batas Bawah]], 'PPh 21 TER'!$E$4 &lt;= tabelB[[#This Row],[Batas Atas]]), 1, 0)</f>
        <v>0</v>
      </c>
      <c r="H19" s="105">
        <v>26000000</v>
      </c>
      <c r="I19" s="105">
        <v>27700000</v>
      </c>
      <c r="J19" s="103">
        <v>0.1</v>
      </c>
      <c r="L19" s="129">
        <f>IF(AND('PPh 21 TER'!$E$4 &gt; tabelC[[#This Row],[Batas Bawah]], 'PPh 21 TER'!$E$4 &lt;= tabelC[[#This Row],[Batas Atas]]), 1, 0)</f>
        <v>0</v>
      </c>
      <c r="M19" s="105">
        <v>22700000</v>
      </c>
      <c r="N19" s="105">
        <v>26600000</v>
      </c>
      <c r="O19" s="103">
        <v>0.09</v>
      </c>
    </row>
    <row r="20" spans="2:15">
      <c r="B20" s="128">
        <f>IF(AND('PPh 21 TER'!$E$4 &gt; tabelA[[#This Row],[Batas Bawah]], 'PPh 21 TER'!$E$4 &lt;= tabelA[[#This Row],[Batas Atas]]), 1, 0)</f>
        <v>0</v>
      </c>
      <c r="C20" s="105">
        <v>15100000</v>
      </c>
      <c r="D20" s="105">
        <v>16950000</v>
      </c>
      <c r="E20" s="103">
        <v>7.0000000000000007E-2</v>
      </c>
      <c r="G20" s="128">
        <f>IF(AND('PPh 21 TER'!$E$4 &gt; tabelB[[#This Row],[Batas Bawah]], 'PPh 21 TER'!$E$4 &lt;= tabelB[[#This Row],[Batas Atas]]), 1, 0)</f>
        <v>0</v>
      </c>
      <c r="H20" s="105">
        <v>27700000</v>
      </c>
      <c r="I20" s="105">
        <v>29350000</v>
      </c>
      <c r="J20" s="103">
        <v>0.11</v>
      </c>
      <c r="L20" s="128">
        <f>IF(AND('PPh 21 TER'!$E$4 &gt; tabelC[[#This Row],[Batas Bawah]], 'PPh 21 TER'!$E$4 &lt;= tabelC[[#This Row],[Batas Atas]]), 1, 0)</f>
        <v>0</v>
      </c>
      <c r="M20" s="105">
        <v>26600000</v>
      </c>
      <c r="N20" s="105">
        <v>28100000</v>
      </c>
      <c r="O20" s="103">
        <v>0.1</v>
      </c>
    </row>
    <row r="21" spans="2:15">
      <c r="B21" s="129">
        <f>IF(AND('PPh 21 TER'!$E$4 &gt; tabelA[[#This Row],[Batas Bawah]], 'PPh 21 TER'!$E$4 &lt;= tabelA[[#This Row],[Batas Atas]]), 1, 0)</f>
        <v>0</v>
      </c>
      <c r="C21" s="105">
        <v>16950000</v>
      </c>
      <c r="D21" s="105">
        <v>19750000</v>
      </c>
      <c r="E21" s="103">
        <v>0.08</v>
      </c>
      <c r="G21" s="129">
        <f>IF(AND('PPh 21 TER'!$E$4 &gt; tabelB[[#This Row],[Batas Bawah]], 'PPh 21 TER'!$E$4 &lt;= tabelB[[#This Row],[Batas Atas]]), 1, 0)</f>
        <v>0</v>
      </c>
      <c r="H21" s="105">
        <v>29350000</v>
      </c>
      <c r="I21" s="105">
        <v>31450000</v>
      </c>
      <c r="J21" s="103">
        <v>0.12</v>
      </c>
      <c r="L21" s="129">
        <f>IF(AND('PPh 21 TER'!$E$4 &gt; tabelC[[#This Row],[Batas Bawah]], 'PPh 21 TER'!$E$4 &lt;= tabelC[[#This Row],[Batas Atas]]), 1, 0)</f>
        <v>0</v>
      </c>
      <c r="M21" s="105">
        <v>28100000</v>
      </c>
      <c r="N21" s="105">
        <v>30100000</v>
      </c>
      <c r="O21" s="103">
        <v>0.11</v>
      </c>
    </row>
    <row r="22" spans="2:15">
      <c r="B22" s="128">
        <f>IF(AND('PPh 21 TER'!$E$4 &gt; tabelA[[#This Row],[Batas Bawah]], 'PPh 21 TER'!$E$4 &lt;= tabelA[[#This Row],[Batas Atas]]), 1, 0)</f>
        <v>0</v>
      </c>
      <c r="C22" s="105">
        <v>19750000</v>
      </c>
      <c r="D22" s="105">
        <v>24150000</v>
      </c>
      <c r="E22" s="103">
        <v>0.09</v>
      </c>
      <c r="G22" s="128">
        <f>IF(AND('PPh 21 TER'!$E$4 &gt; tabelB[[#This Row],[Batas Bawah]], 'PPh 21 TER'!$E$4 &lt;= tabelB[[#This Row],[Batas Atas]]), 1, 0)</f>
        <v>0</v>
      </c>
      <c r="H22" s="105">
        <v>31450000</v>
      </c>
      <c r="I22" s="105">
        <v>33950000</v>
      </c>
      <c r="J22" s="103">
        <v>0.13</v>
      </c>
      <c r="L22" s="128">
        <f>IF(AND('PPh 21 TER'!$E$4 &gt; tabelC[[#This Row],[Batas Bawah]], 'PPh 21 TER'!$E$4 &lt;= tabelC[[#This Row],[Batas Atas]]), 1, 0)</f>
        <v>0</v>
      </c>
      <c r="M22" s="105">
        <v>30100000</v>
      </c>
      <c r="N22" s="105">
        <v>32600000</v>
      </c>
      <c r="O22" s="103">
        <v>0.12</v>
      </c>
    </row>
    <row r="23" spans="2:15">
      <c r="B23" s="129">
        <f>IF(AND('PPh 21 TER'!$E$4 &gt; tabelA[[#This Row],[Batas Bawah]], 'PPh 21 TER'!$E$4 &lt;= tabelA[[#This Row],[Batas Atas]]), 1, 0)</f>
        <v>0</v>
      </c>
      <c r="C23" s="105">
        <v>24150000</v>
      </c>
      <c r="D23" s="105">
        <v>26450000</v>
      </c>
      <c r="E23" s="103">
        <v>0.1</v>
      </c>
      <c r="G23" s="129">
        <f>IF(AND('PPh 21 TER'!$E$4 &gt; tabelB[[#This Row],[Batas Bawah]], 'PPh 21 TER'!$E$4 &lt;= tabelB[[#This Row],[Batas Atas]]), 1, 0)</f>
        <v>0</v>
      </c>
      <c r="H23" s="105">
        <v>33950000</v>
      </c>
      <c r="I23" s="105">
        <v>37100000</v>
      </c>
      <c r="J23" s="103">
        <v>0.14000000000000001</v>
      </c>
      <c r="L23" s="129">
        <f>IF(AND('PPh 21 TER'!$E$4 &gt; tabelC[[#This Row],[Batas Bawah]], 'PPh 21 TER'!$E$4 &lt;= tabelC[[#This Row],[Batas Atas]]), 1, 0)</f>
        <v>0</v>
      </c>
      <c r="M23" s="105">
        <v>32600000</v>
      </c>
      <c r="N23" s="105">
        <v>35400000</v>
      </c>
      <c r="O23" s="103">
        <v>0.13</v>
      </c>
    </row>
    <row r="24" spans="2:15">
      <c r="B24" s="128">
        <f>IF(AND('PPh 21 TER'!$E$4 &gt; tabelA[[#This Row],[Batas Bawah]], 'PPh 21 TER'!$E$4 &lt;= tabelA[[#This Row],[Batas Atas]]), 1, 0)</f>
        <v>0</v>
      </c>
      <c r="C24" s="105">
        <v>26450000</v>
      </c>
      <c r="D24" s="105">
        <v>28000000</v>
      </c>
      <c r="E24" s="103">
        <v>0.11</v>
      </c>
      <c r="G24" s="128">
        <f>IF(AND('PPh 21 TER'!$E$4 &gt; tabelB[[#This Row],[Batas Bawah]], 'PPh 21 TER'!$E$4 &lt;= tabelB[[#This Row],[Batas Atas]]), 1, 0)</f>
        <v>0</v>
      </c>
      <c r="H24" s="105">
        <v>37100000</v>
      </c>
      <c r="I24" s="105">
        <v>41100000</v>
      </c>
      <c r="J24" s="103">
        <v>0.15</v>
      </c>
      <c r="L24" s="128">
        <f>IF(AND('PPh 21 TER'!$E$4 &gt; tabelC[[#This Row],[Batas Bawah]], 'PPh 21 TER'!$E$4 &lt;= tabelC[[#This Row],[Batas Atas]]), 1, 0)</f>
        <v>0</v>
      </c>
      <c r="M24" s="105">
        <v>35400000</v>
      </c>
      <c r="N24" s="105">
        <v>38900000</v>
      </c>
      <c r="O24" s="103">
        <v>0.14000000000000001</v>
      </c>
    </row>
    <row r="25" spans="2:15">
      <c r="B25" s="129">
        <f>IF(AND('PPh 21 TER'!$E$4 &gt; tabelA[[#This Row],[Batas Bawah]], 'PPh 21 TER'!$E$4 &lt;= tabelA[[#This Row],[Batas Atas]]), 1, 0)</f>
        <v>0</v>
      </c>
      <c r="C25" s="105">
        <v>28000000</v>
      </c>
      <c r="D25" s="105">
        <v>30050000</v>
      </c>
      <c r="E25" s="103">
        <v>0.12</v>
      </c>
      <c r="G25" s="129">
        <f>IF(AND('PPh 21 TER'!$E$4 &gt; tabelB[[#This Row],[Batas Bawah]], 'PPh 21 TER'!$E$4 &lt;= tabelB[[#This Row],[Batas Atas]]), 1, 0)</f>
        <v>0</v>
      </c>
      <c r="H25" s="105">
        <v>41100000</v>
      </c>
      <c r="I25" s="105">
        <v>45800000</v>
      </c>
      <c r="J25" s="103">
        <v>0.16</v>
      </c>
      <c r="L25" s="129">
        <f>IF(AND('PPh 21 TER'!$E$4 &gt; tabelC[[#This Row],[Batas Bawah]], 'PPh 21 TER'!$E$4 &lt;= tabelC[[#This Row],[Batas Atas]]), 1, 0)</f>
        <v>0</v>
      </c>
      <c r="M25" s="105">
        <v>38900000</v>
      </c>
      <c r="N25" s="105">
        <v>43000000</v>
      </c>
      <c r="O25" s="103">
        <v>0.15</v>
      </c>
    </row>
    <row r="26" spans="2:15">
      <c r="B26" s="128">
        <f>IF(AND('PPh 21 TER'!$E$4 &gt; tabelA[[#This Row],[Batas Bawah]], 'PPh 21 TER'!$E$4 &lt;= tabelA[[#This Row],[Batas Atas]]), 1, 0)</f>
        <v>0</v>
      </c>
      <c r="C26" s="105">
        <v>30050000</v>
      </c>
      <c r="D26" s="105">
        <v>32400000</v>
      </c>
      <c r="E26" s="103">
        <v>0.13</v>
      </c>
      <c r="G26" s="128">
        <f>IF(AND('PPh 21 TER'!$E$4 &gt; tabelB[[#This Row],[Batas Bawah]], 'PPh 21 TER'!$E$4 &lt;= tabelB[[#This Row],[Batas Atas]]), 1, 0)</f>
        <v>0</v>
      </c>
      <c r="H26" s="105">
        <v>45800000</v>
      </c>
      <c r="I26" s="105">
        <v>49500000</v>
      </c>
      <c r="J26" s="103">
        <v>0.17</v>
      </c>
      <c r="L26" s="128">
        <f>IF(AND('PPh 21 TER'!$E$4 &gt; tabelC[[#This Row],[Batas Bawah]], 'PPh 21 TER'!$E$4 &lt;= tabelC[[#This Row],[Batas Atas]]), 1, 0)</f>
        <v>0</v>
      </c>
      <c r="M26" s="105">
        <v>43000000</v>
      </c>
      <c r="N26" s="105">
        <v>47400000</v>
      </c>
      <c r="O26" s="103">
        <v>0.16</v>
      </c>
    </row>
    <row r="27" spans="2:15">
      <c r="B27" s="129">
        <f>IF(AND('PPh 21 TER'!$E$4 &gt; tabelA[[#This Row],[Batas Bawah]], 'PPh 21 TER'!$E$4 &lt;= tabelA[[#This Row],[Batas Atas]]), 1, 0)</f>
        <v>0</v>
      </c>
      <c r="C27" s="105">
        <v>32400000</v>
      </c>
      <c r="D27" s="105">
        <v>35400000</v>
      </c>
      <c r="E27" s="103">
        <v>0.14000000000000001</v>
      </c>
      <c r="G27" s="129">
        <f>IF(AND('PPh 21 TER'!$E$4 &gt; tabelB[[#This Row],[Batas Bawah]], 'PPh 21 TER'!$E$4 &lt;= tabelB[[#This Row],[Batas Atas]]), 1, 0)</f>
        <v>0</v>
      </c>
      <c r="H27" s="105">
        <v>49500000</v>
      </c>
      <c r="I27" s="105">
        <v>53800000</v>
      </c>
      <c r="J27" s="103">
        <v>0.18</v>
      </c>
      <c r="L27" s="129">
        <f>IF(AND('PPh 21 TER'!$E$4 &gt; tabelC[[#This Row],[Batas Bawah]], 'PPh 21 TER'!$E$4 &lt;= tabelC[[#This Row],[Batas Atas]]), 1, 0)</f>
        <v>0</v>
      </c>
      <c r="M27" s="105">
        <v>47400000</v>
      </c>
      <c r="N27" s="105">
        <v>51200000</v>
      </c>
      <c r="O27" s="103">
        <v>0.17</v>
      </c>
    </row>
    <row r="28" spans="2:15">
      <c r="B28" s="128">
        <f>IF(AND('PPh 21 TER'!$E$4 &gt; tabelA[[#This Row],[Batas Bawah]], 'PPh 21 TER'!$E$4 &lt;= tabelA[[#This Row],[Batas Atas]]), 1, 0)</f>
        <v>0</v>
      </c>
      <c r="C28" s="105">
        <v>35400000</v>
      </c>
      <c r="D28" s="105">
        <v>39100000</v>
      </c>
      <c r="E28" s="103">
        <v>0.15</v>
      </c>
      <c r="G28" s="128">
        <f>IF(AND('PPh 21 TER'!$E$4 &gt; tabelB[[#This Row],[Batas Bawah]], 'PPh 21 TER'!$E$4 &lt;= tabelB[[#This Row],[Batas Atas]]), 1, 0)</f>
        <v>0</v>
      </c>
      <c r="H28" s="105">
        <v>53800000</v>
      </c>
      <c r="I28" s="105">
        <v>58500000</v>
      </c>
      <c r="J28" s="103">
        <v>0.19</v>
      </c>
      <c r="L28" s="128">
        <f>IF(AND('PPh 21 TER'!$E$4 &gt; tabelC[[#This Row],[Batas Bawah]], 'PPh 21 TER'!$E$4 &lt;= tabelC[[#This Row],[Batas Atas]]), 1, 0)</f>
        <v>0</v>
      </c>
      <c r="M28" s="105">
        <v>51200000</v>
      </c>
      <c r="N28" s="105">
        <v>55800000</v>
      </c>
      <c r="O28" s="103">
        <v>0.18</v>
      </c>
    </row>
    <row r="29" spans="2:15">
      <c r="B29" s="129">
        <f>IF(AND('PPh 21 TER'!$E$4 &gt; tabelA[[#This Row],[Batas Bawah]], 'PPh 21 TER'!$E$4 &lt;= tabelA[[#This Row],[Batas Atas]]), 1, 0)</f>
        <v>0</v>
      </c>
      <c r="C29" s="105">
        <v>39100000</v>
      </c>
      <c r="D29" s="105">
        <v>43850000</v>
      </c>
      <c r="E29" s="103">
        <v>0.16</v>
      </c>
      <c r="G29" s="129">
        <f>IF(AND('PPh 21 TER'!$E$4 &gt; tabelB[[#This Row],[Batas Bawah]], 'PPh 21 TER'!$E$4 &lt;= tabelB[[#This Row],[Batas Atas]]), 1, 0)</f>
        <v>0</v>
      </c>
      <c r="H29" s="105">
        <v>58500000</v>
      </c>
      <c r="I29" s="105">
        <v>64000000</v>
      </c>
      <c r="J29" s="103">
        <v>0.2</v>
      </c>
      <c r="L29" s="129">
        <f>IF(AND('PPh 21 TER'!$E$4 &gt; tabelC[[#This Row],[Batas Bawah]], 'PPh 21 TER'!$E$4 &lt;= tabelC[[#This Row],[Batas Atas]]), 1, 0)</f>
        <v>0</v>
      </c>
      <c r="M29" s="105">
        <v>55800000</v>
      </c>
      <c r="N29" s="105">
        <v>60400000</v>
      </c>
      <c r="O29" s="103">
        <v>0.19</v>
      </c>
    </row>
    <row r="30" spans="2:15">
      <c r="B30" s="128">
        <f>IF(AND('PPh 21 TER'!$E$4 &gt; tabelA[[#This Row],[Batas Bawah]], 'PPh 21 TER'!$E$4 &lt;= tabelA[[#This Row],[Batas Atas]]), 1, 0)</f>
        <v>0</v>
      </c>
      <c r="C30" s="105">
        <v>43850000</v>
      </c>
      <c r="D30" s="105">
        <v>47800000</v>
      </c>
      <c r="E30" s="103">
        <v>0.17</v>
      </c>
      <c r="G30" s="128">
        <f>IF(AND('PPh 21 TER'!$E$4 &gt; tabelB[[#This Row],[Batas Bawah]], 'PPh 21 TER'!$E$4 &lt;= tabelB[[#This Row],[Batas Atas]]), 1, 0)</f>
        <v>0</v>
      </c>
      <c r="H30" s="105">
        <v>64000000</v>
      </c>
      <c r="I30" s="105">
        <v>71000000</v>
      </c>
      <c r="J30" s="103">
        <v>0.21</v>
      </c>
      <c r="L30" s="128">
        <f>IF(AND('PPh 21 TER'!$E$4 &gt; tabelC[[#This Row],[Batas Bawah]], 'PPh 21 TER'!$E$4 &lt;= tabelC[[#This Row],[Batas Atas]]), 1, 0)</f>
        <v>0</v>
      </c>
      <c r="M30" s="105">
        <v>60400000</v>
      </c>
      <c r="N30" s="105">
        <v>66700000</v>
      </c>
      <c r="O30" s="103">
        <v>0.2</v>
      </c>
    </row>
    <row r="31" spans="2:15">
      <c r="B31" s="129">
        <f>IF(AND('PPh 21 TER'!$E$4 &gt; tabelA[[#This Row],[Batas Bawah]], 'PPh 21 TER'!$E$4 &lt;= tabelA[[#This Row],[Batas Atas]]), 1, 0)</f>
        <v>0</v>
      </c>
      <c r="C31" s="105">
        <v>47800000</v>
      </c>
      <c r="D31" s="105">
        <v>51400000</v>
      </c>
      <c r="E31" s="103">
        <v>0.18</v>
      </c>
      <c r="G31" s="129">
        <f>IF(AND('PPh 21 TER'!$E$4 &gt; tabelB[[#This Row],[Batas Bawah]], 'PPh 21 TER'!$E$4 &lt;= tabelB[[#This Row],[Batas Atas]]), 1, 0)</f>
        <v>0</v>
      </c>
      <c r="H31" s="105">
        <v>71000000</v>
      </c>
      <c r="I31" s="105">
        <v>80000000</v>
      </c>
      <c r="J31" s="103">
        <v>0.22</v>
      </c>
      <c r="L31" s="129">
        <f>IF(AND('PPh 21 TER'!$E$4 &gt; tabelC[[#This Row],[Batas Bawah]], 'PPh 21 TER'!$E$4 &lt;= tabelC[[#This Row],[Batas Atas]]), 1, 0)</f>
        <v>0</v>
      </c>
      <c r="M31" s="105">
        <v>66700000</v>
      </c>
      <c r="N31" s="105">
        <v>74500000</v>
      </c>
      <c r="O31" s="103">
        <v>0.21</v>
      </c>
    </row>
    <row r="32" spans="2:15">
      <c r="B32" s="128">
        <f>IF(AND('PPh 21 TER'!$E$4 &gt; tabelA[[#This Row],[Batas Bawah]], 'PPh 21 TER'!$E$4 &lt;= tabelA[[#This Row],[Batas Atas]]), 1, 0)</f>
        <v>0</v>
      </c>
      <c r="C32" s="105">
        <v>51400000</v>
      </c>
      <c r="D32" s="105">
        <v>56300000</v>
      </c>
      <c r="E32" s="103">
        <v>0.19</v>
      </c>
      <c r="G32" s="128">
        <f>IF(AND('PPh 21 TER'!$E$4 &gt; tabelB[[#This Row],[Batas Bawah]], 'PPh 21 TER'!$E$4 &lt;= tabelB[[#This Row],[Batas Atas]]), 1, 0)</f>
        <v>0</v>
      </c>
      <c r="H32" s="105">
        <v>80000000</v>
      </c>
      <c r="I32" s="105">
        <v>93000000</v>
      </c>
      <c r="J32" s="103">
        <v>0.23</v>
      </c>
      <c r="L32" s="128">
        <f>IF(AND('PPh 21 TER'!$E$4 &gt; tabelC[[#This Row],[Batas Bawah]], 'PPh 21 TER'!$E$4 &lt;= tabelC[[#This Row],[Batas Atas]]), 1, 0)</f>
        <v>0</v>
      </c>
      <c r="M32" s="105">
        <v>74500000</v>
      </c>
      <c r="N32" s="105">
        <v>83200000</v>
      </c>
      <c r="O32" s="103">
        <v>0.22</v>
      </c>
    </row>
    <row r="33" spans="2:15">
      <c r="B33" s="129">
        <f>IF(AND('PPh 21 TER'!$E$4 &gt; tabelA[[#This Row],[Batas Bawah]], 'PPh 21 TER'!$E$4 &lt;= tabelA[[#This Row],[Batas Atas]]), 1, 0)</f>
        <v>0</v>
      </c>
      <c r="C33" s="105">
        <v>56300000</v>
      </c>
      <c r="D33" s="105">
        <v>62200000</v>
      </c>
      <c r="E33" s="103">
        <v>0.2</v>
      </c>
      <c r="G33" s="129">
        <f>IF(AND('PPh 21 TER'!$E$4 &gt; tabelB[[#This Row],[Batas Bawah]], 'PPh 21 TER'!$E$4 &lt;= tabelB[[#This Row],[Batas Atas]]), 1, 0)</f>
        <v>0</v>
      </c>
      <c r="H33" s="105">
        <v>93000000</v>
      </c>
      <c r="I33" s="105">
        <v>109000000</v>
      </c>
      <c r="J33" s="103">
        <v>0.24</v>
      </c>
      <c r="L33" s="129">
        <f>IF(AND('PPh 21 TER'!$E$4 &gt; tabelC[[#This Row],[Batas Bawah]], 'PPh 21 TER'!$E$4 &lt;= tabelC[[#This Row],[Batas Atas]]), 1, 0)</f>
        <v>0</v>
      </c>
      <c r="M33" s="105">
        <v>83200000</v>
      </c>
      <c r="N33" s="105">
        <v>95600000</v>
      </c>
      <c r="O33" s="103">
        <v>0.23</v>
      </c>
    </row>
    <row r="34" spans="2:15">
      <c r="B34" s="128">
        <f>IF(AND('PPh 21 TER'!$E$4 &gt; tabelA[[#This Row],[Batas Bawah]], 'PPh 21 TER'!$E$4 &lt;= tabelA[[#This Row],[Batas Atas]]), 1, 0)</f>
        <v>0</v>
      </c>
      <c r="C34" s="105">
        <v>62200000</v>
      </c>
      <c r="D34" s="105">
        <v>68600000</v>
      </c>
      <c r="E34" s="103">
        <v>0.21</v>
      </c>
      <c r="G34" s="128">
        <f>IF(AND('PPh 21 TER'!$E$4 &gt; tabelB[[#This Row],[Batas Bawah]], 'PPh 21 TER'!$E$4 &lt;= tabelB[[#This Row],[Batas Atas]]), 1, 0)</f>
        <v>0</v>
      </c>
      <c r="H34" s="105">
        <v>109000000</v>
      </c>
      <c r="I34" s="105">
        <v>129000000</v>
      </c>
      <c r="J34" s="103">
        <v>0.25</v>
      </c>
      <c r="L34" s="128">
        <f>IF(AND('PPh 21 TER'!$E$4 &gt; tabelC[[#This Row],[Batas Bawah]], 'PPh 21 TER'!$E$4 &lt;= tabelC[[#This Row],[Batas Atas]]), 1, 0)</f>
        <v>0</v>
      </c>
      <c r="M34" s="105">
        <v>95600000</v>
      </c>
      <c r="N34" s="105">
        <v>110000000</v>
      </c>
      <c r="O34" s="103">
        <v>0.24</v>
      </c>
    </row>
    <row r="35" spans="2:15">
      <c r="B35" s="129">
        <f>IF(AND('PPh 21 TER'!$E$4 &gt; tabelA[[#This Row],[Batas Bawah]], 'PPh 21 TER'!$E$4 &lt;= tabelA[[#This Row],[Batas Atas]]), 1, 0)</f>
        <v>0</v>
      </c>
      <c r="C35" s="105">
        <v>68600000</v>
      </c>
      <c r="D35" s="105">
        <v>77500000</v>
      </c>
      <c r="E35" s="103">
        <v>0.22</v>
      </c>
      <c r="G35" s="129">
        <f>IF(AND('PPh 21 TER'!$E$4 &gt; tabelB[[#This Row],[Batas Bawah]], 'PPh 21 TER'!$E$4 &lt;= tabelB[[#This Row],[Batas Atas]]), 1, 0)</f>
        <v>0</v>
      </c>
      <c r="H35" s="105">
        <v>129000000</v>
      </c>
      <c r="I35" s="105">
        <v>163000000</v>
      </c>
      <c r="J35" s="103">
        <v>0.26</v>
      </c>
      <c r="L35" s="129">
        <f>IF(AND('PPh 21 TER'!$E$4 &gt; tabelC[[#This Row],[Batas Bawah]], 'PPh 21 TER'!$E$4 &lt;= tabelC[[#This Row],[Batas Atas]]), 1, 0)</f>
        <v>0</v>
      </c>
      <c r="M35" s="105">
        <v>110000000</v>
      </c>
      <c r="N35" s="105">
        <v>134000000</v>
      </c>
      <c r="O35" s="103">
        <v>0.25</v>
      </c>
    </row>
    <row r="36" spans="2:15">
      <c r="B36" s="128">
        <f>IF(AND('PPh 21 TER'!$E$4 &gt; tabelA[[#This Row],[Batas Bawah]], 'PPh 21 TER'!$E$4 &lt;= tabelA[[#This Row],[Batas Atas]]), 1, 0)</f>
        <v>0</v>
      </c>
      <c r="C36" s="105">
        <v>77500000</v>
      </c>
      <c r="D36" s="105">
        <v>89000000</v>
      </c>
      <c r="E36" s="103">
        <v>0.23</v>
      </c>
      <c r="G36" s="128">
        <f>IF(AND('PPh 21 TER'!$E$4 &gt; tabelB[[#This Row],[Batas Bawah]], 'PPh 21 TER'!$E$4 &lt;= tabelB[[#This Row],[Batas Atas]]), 1, 0)</f>
        <v>0</v>
      </c>
      <c r="H36" s="105">
        <v>163000000</v>
      </c>
      <c r="I36" s="105">
        <v>211000000</v>
      </c>
      <c r="J36" s="103">
        <v>0.27</v>
      </c>
      <c r="L36" s="128">
        <f>IF(AND('PPh 21 TER'!$E$4 &gt; tabelC[[#This Row],[Batas Bawah]], 'PPh 21 TER'!$E$4 &lt;= tabelC[[#This Row],[Batas Atas]]), 1, 0)</f>
        <v>0</v>
      </c>
      <c r="M36" s="105">
        <v>134000000</v>
      </c>
      <c r="N36" s="105">
        <v>169000000</v>
      </c>
      <c r="O36" s="103">
        <v>0.26</v>
      </c>
    </row>
    <row r="37" spans="2:15">
      <c r="B37" s="129">
        <f>IF(AND('PPh 21 TER'!$E$4 &gt; tabelA[[#This Row],[Batas Bawah]], 'PPh 21 TER'!$E$4 &lt;= tabelA[[#This Row],[Batas Atas]]), 1, 0)</f>
        <v>0</v>
      </c>
      <c r="C37" s="105">
        <v>89000000</v>
      </c>
      <c r="D37" s="105">
        <v>103000000</v>
      </c>
      <c r="E37" s="103">
        <v>0.24</v>
      </c>
      <c r="G37" s="129">
        <f>IF(AND('PPh 21 TER'!$E$4 &gt; tabelB[[#This Row],[Batas Bawah]], 'PPh 21 TER'!$E$4 &lt;= tabelB[[#This Row],[Batas Atas]]), 1, 0)</f>
        <v>0</v>
      </c>
      <c r="H37" s="105">
        <v>211000000</v>
      </c>
      <c r="I37" s="105">
        <v>374000000</v>
      </c>
      <c r="J37" s="103">
        <v>0.28000000000000003</v>
      </c>
      <c r="L37" s="129">
        <f>IF(AND('PPh 21 TER'!$E$4 &gt; tabelC[[#This Row],[Batas Bawah]], 'PPh 21 TER'!$E$4 &lt;= tabelC[[#This Row],[Batas Atas]]), 1, 0)</f>
        <v>0</v>
      </c>
      <c r="M37" s="105">
        <v>169000000</v>
      </c>
      <c r="N37" s="105">
        <v>221000000</v>
      </c>
      <c r="O37" s="103">
        <v>0.27</v>
      </c>
    </row>
    <row r="38" spans="2:15">
      <c r="B38" s="128">
        <f>IF(AND('PPh 21 TER'!$E$4 &gt; tabelA[[#This Row],[Batas Bawah]], 'PPh 21 TER'!$E$4 &lt;= tabelA[[#This Row],[Batas Atas]]), 1, 0)</f>
        <v>0</v>
      </c>
      <c r="C38" s="105">
        <v>103000000</v>
      </c>
      <c r="D38" s="105">
        <v>125000000</v>
      </c>
      <c r="E38" s="103">
        <v>0.25</v>
      </c>
      <c r="G38" s="128">
        <f>IF(AND('PPh 21 TER'!$E$4 &gt; tabelB[[#This Row],[Batas Bawah]], 'PPh 21 TER'!$E$4 &lt;= tabelB[[#This Row],[Batas Atas]]), 1, 0)</f>
        <v>0</v>
      </c>
      <c r="H38" s="105">
        <v>374000000</v>
      </c>
      <c r="I38" s="105">
        <v>459000000</v>
      </c>
      <c r="J38" s="103">
        <v>0.28999999999999998</v>
      </c>
      <c r="L38" s="128">
        <f>IF(AND('PPh 21 TER'!$E$4 &gt; tabelC[[#This Row],[Batas Bawah]], 'PPh 21 TER'!$E$4 &lt;= tabelC[[#This Row],[Batas Atas]]), 1, 0)</f>
        <v>0</v>
      </c>
      <c r="M38" s="105">
        <v>221000000</v>
      </c>
      <c r="N38" s="105">
        <v>390000000</v>
      </c>
      <c r="O38" s="103">
        <v>0.28000000000000003</v>
      </c>
    </row>
    <row r="39" spans="2:15">
      <c r="B39" s="129">
        <f>IF(AND('PPh 21 TER'!$E$4 &gt; tabelA[[#This Row],[Batas Bawah]], 'PPh 21 TER'!$E$4 &lt;= tabelA[[#This Row],[Batas Atas]]), 1, 0)</f>
        <v>0</v>
      </c>
      <c r="C39" s="105">
        <v>125000000</v>
      </c>
      <c r="D39" s="105">
        <v>157000000</v>
      </c>
      <c r="E39" s="103">
        <v>0.26</v>
      </c>
      <c r="G39" s="129">
        <f>IF(AND('PPh 21 TER'!$E$4 &gt; tabelB[[#This Row],[Batas Bawah]], 'PPh 21 TER'!$E$4 &lt;= tabelB[[#This Row],[Batas Atas]]), 1, 0)</f>
        <v>0</v>
      </c>
      <c r="H39" s="105">
        <v>459000000</v>
      </c>
      <c r="I39" s="105">
        <v>555000000</v>
      </c>
      <c r="J39" s="103">
        <v>0.3</v>
      </c>
      <c r="L39" s="129">
        <f>IF(AND('PPh 21 TER'!$E$4 &gt; tabelC[[#This Row],[Batas Bawah]], 'PPh 21 TER'!$E$4 &lt;= tabelC[[#This Row],[Batas Atas]]), 1, 0)</f>
        <v>0</v>
      </c>
      <c r="M39" s="105">
        <v>390000000</v>
      </c>
      <c r="N39" s="105">
        <v>463000000</v>
      </c>
      <c r="O39" s="103">
        <v>0.28999999999999998</v>
      </c>
    </row>
    <row r="40" spans="2:15">
      <c r="B40" s="128">
        <f>IF(AND('PPh 21 TER'!$E$4 &gt; tabelA[[#This Row],[Batas Bawah]], 'PPh 21 TER'!$E$4 &lt;= tabelA[[#This Row],[Batas Atas]]), 1, 0)</f>
        <v>0</v>
      </c>
      <c r="C40" s="105">
        <v>157000000</v>
      </c>
      <c r="D40" s="105">
        <v>206000000</v>
      </c>
      <c r="E40" s="103">
        <v>0.27</v>
      </c>
      <c r="G40" s="128">
        <f>IF(AND('PPh 21 TER'!$E$4 &gt; tabelB[[#This Row],[Batas Bawah]], 'PPh 21 TER'!$E$4 &lt;= tabelB[[#This Row],[Batas Atas]]), 1, 0)</f>
        <v>0</v>
      </c>
      <c r="H40" s="105">
        <v>555000000</v>
      </c>
      <c r="I40" s="105">
        <v>704000000</v>
      </c>
      <c r="J40" s="103">
        <v>0.31</v>
      </c>
      <c r="L40" s="128">
        <f>IF(AND('PPh 21 TER'!$E$4 &gt; tabelC[[#This Row],[Batas Bawah]], 'PPh 21 TER'!$E$4 &lt;= tabelC[[#This Row],[Batas Atas]]), 1, 0)</f>
        <v>0</v>
      </c>
      <c r="M40" s="105">
        <v>463000000</v>
      </c>
      <c r="N40" s="105">
        <v>561000000</v>
      </c>
      <c r="O40" s="103">
        <v>0.3</v>
      </c>
    </row>
    <row r="41" spans="2:15">
      <c r="B41" s="129">
        <f>IF(AND('PPh 21 TER'!$E$4 &gt; tabelA[[#This Row],[Batas Bawah]], 'PPh 21 TER'!$E$4 &lt;= tabelA[[#This Row],[Batas Atas]]), 1, 0)</f>
        <v>0</v>
      </c>
      <c r="C41" s="105">
        <v>206000000</v>
      </c>
      <c r="D41" s="105">
        <v>337000000</v>
      </c>
      <c r="E41" s="103">
        <v>0.28000000000000003</v>
      </c>
      <c r="G41" s="129">
        <f>IF(AND('PPh 21 TER'!$E$4 &gt; tabelB[[#This Row],[Batas Bawah]], 'PPh 21 TER'!$E$4 &lt;= tabelB[[#This Row],[Batas Atas]]), 1, 0)</f>
        <v>0</v>
      </c>
      <c r="H41" s="105">
        <v>704000000</v>
      </c>
      <c r="I41" s="105">
        <v>957000000</v>
      </c>
      <c r="J41" s="103">
        <v>0.32</v>
      </c>
      <c r="L41" s="129">
        <f>IF(AND('PPh 21 TER'!$E$4 &gt; tabelC[[#This Row],[Batas Bawah]], 'PPh 21 TER'!$E$4 &lt;= tabelC[[#This Row],[Batas Atas]]), 1, 0)</f>
        <v>0</v>
      </c>
      <c r="M41" s="105">
        <v>561000000</v>
      </c>
      <c r="N41" s="105">
        <v>709000000</v>
      </c>
      <c r="O41" s="103">
        <v>0.31</v>
      </c>
    </row>
    <row r="42" spans="2:15">
      <c r="B42" s="128">
        <f>IF(AND('PPh 21 TER'!$E$4 &gt; tabelA[[#This Row],[Batas Bawah]], 'PPh 21 TER'!$E$4 &lt;= tabelA[[#This Row],[Batas Atas]]), 1, 0)</f>
        <v>0</v>
      </c>
      <c r="C42" s="105">
        <v>337000000</v>
      </c>
      <c r="D42" s="105">
        <v>454000000</v>
      </c>
      <c r="E42" s="103">
        <v>0.28999999999999998</v>
      </c>
      <c r="G42" s="128">
        <f>IF(AND('PPh 21 TER'!$E$4 &gt; tabelB[[#This Row],[Batas Bawah]], 'PPh 21 TER'!$E$4 &lt;= tabelB[[#This Row],[Batas Atas]]), 1, 0)</f>
        <v>0</v>
      </c>
      <c r="H42" s="105">
        <v>957000000</v>
      </c>
      <c r="I42" s="105">
        <v>1405000000</v>
      </c>
      <c r="J42" s="103">
        <v>0.33</v>
      </c>
      <c r="L42" s="128">
        <f>IF(AND('PPh 21 TER'!$E$4 &gt; tabelC[[#This Row],[Batas Bawah]], 'PPh 21 TER'!$E$4 &lt;= tabelC[[#This Row],[Batas Atas]]), 1, 0)</f>
        <v>0</v>
      </c>
      <c r="M42" s="105">
        <v>709000000</v>
      </c>
      <c r="N42" s="105">
        <v>965000000</v>
      </c>
      <c r="O42" s="103">
        <v>0.32</v>
      </c>
    </row>
    <row r="43" spans="2:15">
      <c r="B43" s="129">
        <f>IF(AND('PPh 21 TER'!$E$4 &gt; tabelA[[#This Row],[Batas Bawah]], 'PPh 21 TER'!$E$4 &lt;= tabelA[[#This Row],[Batas Atas]]), 1, 0)</f>
        <v>0</v>
      </c>
      <c r="C43" s="105">
        <v>454000000</v>
      </c>
      <c r="D43" s="105">
        <v>550000000</v>
      </c>
      <c r="E43" s="103">
        <v>0.3</v>
      </c>
      <c r="G43" s="129">
        <f>IF(AND('PPh 21 TER'!$E$4 &gt; tabelB[[#This Row],[Batas Bawah]], 'PPh 21 TER'!$E$4 &lt;= tabelB[[#This Row],[Batas Atas]]), 1, 0)</f>
        <v>0</v>
      </c>
      <c r="H43" s="105">
        <v>1405000000</v>
      </c>
      <c r="I43" s="105"/>
      <c r="J43" s="103">
        <v>0.34</v>
      </c>
      <c r="L43" s="129">
        <f>IF(AND('PPh 21 TER'!$E$4 &gt; tabelC[[#This Row],[Batas Bawah]], 'PPh 21 TER'!$E$4 &lt;= tabelC[[#This Row],[Batas Atas]]), 1, 0)</f>
        <v>0</v>
      </c>
      <c r="M43" s="105">
        <v>965000000</v>
      </c>
      <c r="N43" s="105">
        <v>1419000000</v>
      </c>
      <c r="O43" s="103">
        <v>0.33</v>
      </c>
    </row>
    <row r="44" spans="2:15">
      <c r="B44" s="128">
        <f>IF(AND('PPh 21 TER'!$E$4 &gt; tabelA[[#This Row],[Batas Bawah]], 'PPh 21 TER'!$E$4 &lt;= tabelA[[#This Row],[Batas Atas]]), 1, 0)</f>
        <v>0</v>
      </c>
      <c r="C44" s="105">
        <v>550000000</v>
      </c>
      <c r="D44" s="105">
        <v>695000000</v>
      </c>
      <c r="E44" s="103">
        <v>0.31</v>
      </c>
      <c r="L44" s="128">
        <f>IF(AND('PPh 21 TER'!$E$4 &gt; tabelC[[#This Row],[Batas Bawah]], 'PPh 21 TER'!$E$4 &lt;= tabelC[[#This Row],[Batas Atas]]), 1, 0)</f>
        <v>0</v>
      </c>
      <c r="M44" s="105">
        <v>1419000000</v>
      </c>
      <c r="N44" s="105"/>
      <c r="O44" s="103">
        <v>0.34</v>
      </c>
    </row>
    <row r="45" spans="2:15">
      <c r="B45" s="129">
        <f>IF(AND('PPh 21 TER'!$E$4 &gt; tabelA[[#This Row],[Batas Bawah]], 'PPh 21 TER'!$E$4 &lt;= tabelA[[#This Row],[Batas Atas]]), 1, 0)</f>
        <v>0</v>
      </c>
      <c r="C45" s="105">
        <v>695000000</v>
      </c>
      <c r="D45" s="105">
        <v>910000000</v>
      </c>
      <c r="E45" s="103">
        <v>0.32</v>
      </c>
    </row>
    <row r="46" spans="2:15">
      <c r="B46" s="128">
        <f>IF(AND('PPh 21 TER'!$E$4 &gt; tabelA[[#This Row],[Batas Bawah]], 'PPh 21 TER'!$E$4 &lt;= tabelA[[#This Row],[Batas Atas]]), 1, 0)</f>
        <v>0</v>
      </c>
      <c r="C46" s="105">
        <v>910000000</v>
      </c>
      <c r="D46" s="105">
        <v>1400000000</v>
      </c>
      <c r="E46" s="103">
        <v>0.33</v>
      </c>
    </row>
    <row r="47" spans="2:15">
      <c r="B47" s="129">
        <f>IF(AND('PPh 21 TER'!$E$4 &gt; tabelA[[#This Row],[Batas Bawah]], 'PPh 21 TER'!$E$4 &lt;= tabelA[[#This Row],[Batas Atas]]), 1, 0)</f>
        <v>0</v>
      </c>
      <c r="C47" s="105">
        <v>1400000000</v>
      </c>
      <c r="D47" s="104"/>
      <c r="E47" s="103">
        <v>0.34</v>
      </c>
    </row>
  </sheetData>
  <mergeCells count="3">
    <mergeCell ref="M2:N2"/>
    <mergeCell ref="C2:D2"/>
    <mergeCell ref="H2:I2"/>
  </mergeCells>
  <pageMargins left="0.7" right="0.7" top="0.75" bottom="0.75" header="0.3" footer="0.3"/>
  <pageSetup paperSize="120" orientation="landscape" horizontalDpi="4294967293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PPh Final 0,5</vt:lpstr>
      <vt:lpstr>PPh 21 Lama</vt:lpstr>
      <vt:lpstr>PPh 21 TER</vt:lpstr>
      <vt:lpstr>PPh 29 OP</vt:lpstr>
      <vt:lpstr>PPh 29 Badan</vt:lpstr>
      <vt:lpstr>Data Umum</vt:lpstr>
      <vt:lpstr>Data TER</vt:lpstr>
      <vt:lpstr>'PPh 21 Lama'!Batas_Atas</vt:lpstr>
      <vt:lpstr>'PPh 21 TER'!Batas_Atas</vt:lpstr>
      <vt:lpstr>'PPh 29 Badan'!Batas_Atas</vt:lpstr>
      <vt:lpstr>Batas_Atas</vt:lpstr>
      <vt:lpstr>'PPh 21 Lama'!Batas_Bawah</vt:lpstr>
      <vt:lpstr>'PPh 21 TER'!Batas_Bawah</vt:lpstr>
      <vt:lpstr>'PPh 29 Badan'!Batas_Bawah</vt:lpstr>
      <vt:lpstr>Batas_Bawah</vt:lpstr>
      <vt:lpstr>kategori_TER</vt:lpstr>
      <vt:lpstr>'PPh 21 Lama'!Kode_PTKP</vt:lpstr>
      <vt:lpstr>'PPh 21 TER'!Kode_PTKP</vt:lpstr>
      <vt:lpstr>'PPh 29 Badan'!Kode_PTKP</vt:lpstr>
      <vt:lpstr>Kode_PTKP</vt:lpstr>
      <vt:lpstr>'PPh 21 Lama'!Nilai_Max</vt:lpstr>
      <vt:lpstr>'PPh 21 TER'!Nilai_Max</vt:lpstr>
      <vt:lpstr>'PPh 29 Badan'!Nilai_Max</vt:lpstr>
      <vt:lpstr>Nilai_Max</vt:lpstr>
      <vt:lpstr>Penjualan</vt:lpstr>
      <vt:lpstr>'PPh 29 Badan'!PKPBadBuk</vt:lpstr>
      <vt:lpstr>'PPh 21 TER'!PKPOpBuk</vt:lpstr>
      <vt:lpstr>PKPOpBuk</vt:lpstr>
      <vt:lpstr>PKPOpNor</vt:lpstr>
      <vt:lpstr>PKPOpSebln</vt:lpstr>
      <vt:lpstr>'PPh 21 Lama'!PKPOpSethn</vt:lpstr>
      <vt:lpstr>'PPh 21 Lama'!Tarif</vt:lpstr>
      <vt:lpstr>'PPh 21 TER'!Tarif</vt:lpstr>
      <vt:lpstr>'PPh 29 Badan'!Tarif</vt:lpstr>
      <vt:lpstr>Tarif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SAM</cp:lastModifiedBy>
  <dcterms:created xsi:type="dcterms:W3CDTF">2015-06-05T18:17:20Z</dcterms:created>
  <dcterms:modified xsi:type="dcterms:W3CDTF">2024-01-04T09:13:09Z</dcterms:modified>
</cp:coreProperties>
</file>